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"/>
    </mc:Choice>
  </mc:AlternateContent>
  <xr:revisionPtr revIDLastSave="0" documentId="13_ncr:40009_{64C8C1FB-A3C8-49E7-AD96-AC0993C14B70}" xr6:coauthVersionLast="47" xr6:coauthVersionMax="47" xr10:uidLastSave="{00000000-0000-0000-0000-000000000000}"/>
  <bookViews>
    <workbookView xWindow="-120" yWindow="-120" windowWidth="20730" windowHeight="11760" activeTab="1"/>
  </bookViews>
  <sheets>
    <sheet name="HM_all_stores" sheetId="1" r:id="rId1"/>
    <sheet name="Analyzed" sheetId="2" r:id="rId2"/>
  </sheets>
  <definedNames>
    <definedName name="_xlnm._FilterDatabase" localSheetId="1" hidden="1">Analyzed!$A$1:$G$871</definedName>
  </definedNames>
  <calcPr calcId="0"/>
</workbook>
</file>

<file path=xl/calcChain.xml><?xml version="1.0" encoding="utf-8"?>
<calcChain xmlns="http://schemas.openxmlformats.org/spreadsheetml/2006/main">
  <c r="D12" i="1" l="1"/>
  <c r="D2" i="1"/>
  <c r="D3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6" i="1"/>
  <c r="D167" i="1"/>
  <c r="D169" i="1"/>
  <c r="D170" i="1"/>
  <c r="D171" i="1"/>
  <c r="D172" i="1"/>
  <c r="D173" i="1"/>
  <c r="D174" i="1"/>
  <c r="D175" i="1"/>
  <c r="D176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7" i="1"/>
  <c r="D318" i="1"/>
  <c r="D319" i="1"/>
  <c r="D320" i="1"/>
  <c r="D321" i="1"/>
  <c r="D322" i="1"/>
  <c r="D323" i="1"/>
  <c r="D324" i="1"/>
  <c r="D325" i="1"/>
  <c r="D326" i="1"/>
  <c r="D328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6" i="1"/>
  <c r="D427" i="1"/>
  <c r="D428" i="1"/>
  <c r="D429" i="1"/>
  <c r="D430" i="1"/>
  <c r="D431" i="1"/>
  <c r="D432" i="1"/>
  <c r="D433" i="1"/>
  <c r="D435" i="1"/>
  <c r="D436" i="1"/>
  <c r="D437" i="1"/>
  <c r="D438" i="1"/>
  <c r="D439" i="1"/>
  <c r="D440" i="1"/>
  <c r="D442" i="1"/>
  <c r="D444" i="1"/>
  <c r="D445" i="1"/>
  <c r="D450" i="1"/>
  <c r="D453" i="1"/>
  <c r="D454" i="1"/>
  <c r="D455" i="1"/>
  <c r="D457" i="1"/>
  <c r="D458" i="1"/>
  <c r="D459" i="1"/>
  <c r="D461" i="1"/>
  <c r="D463" i="1"/>
  <c r="D465" i="1"/>
  <c r="D466" i="1"/>
  <c r="D468" i="1"/>
  <c r="D473" i="1"/>
  <c r="D474" i="1"/>
  <c r="D475" i="1"/>
  <c r="D476" i="1"/>
  <c r="D477" i="1"/>
  <c r="D478" i="1"/>
  <c r="D482" i="1"/>
  <c r="D485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7" i="1"/>
  <c r="D708" i="1"/>
  <c r="D710" i="1"/>
  <c r="D711" i="1"/>
  <c r="D712" i="1"/>
  <c r="D713" i="1"/>
  <c r="D715" i="1"/>
  <c r="D716" i="1"/>
  <c r="D717" i="1"/>
  <c r="D718" i="1"/>
  <c r="D719" i="1"/>
  <c r="D720" i="1"/>
  <c r="D721" i="1"/>
  <c r="D722" i="1"/>
  <c r="D723" i="1"/>
  <c r="D724" i="1"/>
  <c r="D725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5" i="1"/>
  <c r="D776" i="1"/>
  <c r="D777" i="1"/>
  <c r="D778" i="1"/>
  <c r="D779" i="1"/>
  <c r="D782" i="1"/>
  <c r="D783" i="1"/>
  <c r="D784" i="1"/>
  <c r="D785" i="1"/>
  <c r="D786" i="1"/>
  <c r="D787" i="1"/>
  <c r="D788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7" i="1"/>
  <c r="D808" i="1"/>
  <c r="D809" i="1"/>
  <c r="D810" i="1"/>
  <c r="D812" i="1"/>
  <c r="D814" i="1"/>
  <c r="D815" i="1"/>
  <c r="D820" i="1"/>
  <c r="D825" i="1"/>
  <c r="D827" i="1"/>
  <c r="D828" i="1"/>
  <c r="D832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2" i="1"/>
  <c r="D993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4" i="1"/>
  <c r="D1385" i="1"/>
  <c r="D1386" i="1"/>
  <c r="D1387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7" i="1"/>
  <c r="D1748" i="1"/>
  <c r="D1749" i="1"/>
  <c r="D1750" i="1"/>
  <c r="D1751" i="1"/>
  <c r="D1752" i="1"/>
  <c r="D1753" i="1"/>
  <c r="D1754" i="1"/>
  <c r="D1755" i="1"/>
  <c r="D1756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4" i="1"/>
  <c r="D1895" i="1"/>
  <c r="D1896" i="1"/>
  <c r="D1897" i="1"/>
  <c r="D1898" i="1"/>
  <c r="D1899" i="1"/>
  <c r="D1900" i="1"/>
  <c r="D1901" i="1"/>
  <c r="D1902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9" i="1"/>
  <c r="D1970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3" i="1"/>
  <c r="D2125" i="1"/>
  <c r="D2126" i="1"/>
  <c r="D2127" i="1"/>
  <c r="D2129" i="1"/>
  <c r="D2130" i="1"/>
  <c r="D2131" i="1"/>
  <c r="D2132" i="1"/>
  <c r="D2133" i="1"/>
  <c r="D2134" i="1"/>
  <c r="D2136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6" i="1"/>
  <c r="D2218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6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4" i="1"/>
  <c r="D2545" i="1"/>
  <c r="D2546" i="1"/>
  <c r="D2547" i="1"/>
  <c r="D2548" i="1"/>
  <c r="D2549" i="1"/>
  <c r="D2550" i="1"/>
  <c r="D2551" i="1"/>
  <c r="D2552" i="1"/>
  <c r="D2554" i="1"/>
  <c r="D2555" i="1"/>
  <c r="D2557" i="1"/>
  <c r="D2558" i="1"/>
  <c r="D2559" i="1"/>
  <c r="D2560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9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5" i="1"/>
  <c r="D2896" i="1"/>
  <c r="D2897" i="1"/>
  <c r="D2898" i="1"/>
  <c r="D2899" i="1"/>
  <c r="D2900" i="1"/>
  <c r="D2901" i="1"/>
  <c r="D2904" i="1"/>
  <c r="D2907" i="1"/>
  <c r="D2910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9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1" i="1"/>
  <c r="D3372" i="1"/>
  <c r="D3373" i="1"/>
  <c r="D3374" i="1"/>
  <c r="D3377" i="1"/>
  <c r="D3378" i="1"/>
  <c r="D3379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1" i="1"/>
  <c r="D3422" i="1"/>
  <c r="D3424" i="1"/>
  <c r="D3425" i="1"/>
  <c r="D3426" i="1"/>
  <c r="D3427" i="1"/>
  <c r="D3428" i="1"/>
  <c r="D3429" i="1"/>
  <c r="D3430" i="1"/>
  <c r="D3431" i="1"/>
  <c r="D3432" i="1"/>
  <c r="D3433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40" i="1"/>
  <c r="D3642" i="1"/>
  <c r="D3643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4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</calcChain>
</file>

<file path=xl/sharedStrings.xml><?xml version="1.0" encoding="utf-8"?>
<sst xmlns="http://schemas.openxmlformats.org/spreadsheetml/2006/main" count="73414" uniqueCount="19952">
  <si>
    <t>storeCode</t>
  </si>
  <si>
    <t>storeClass</t>
  </si>
  <si>
    <t>name</t>
  </si>
  <si>
    <t>phone</t>
  </si>
  <si>
    <t>city</t>
  </si>
  <si>
    <t>country</t>
  </si>
  <si>
    <t>countryCode</t>
  </si>
  <si>
    <t>longitude</t>
  </si>
  <si>
    <t>latitude</t>
  </si>
  <si>
    <t>timeZoneIndex</t>
  </si>
  <si>
    <t>Mon_open_hours</t>
  </si>
  <si>
    <t>Tue_open_hours</t>
  </si>
  <si>
    <t>Wed_open_hours</t>
  </si>
  <si>
    <t>Thu_open_hours</t>
  </si>
  <si>
    <t>Fri_open_hours</t>
  </si>
  <si>
    <t>Sat_open_hours</t>
  </si>
  <si>
    <t>Sun_open_hours</t>
  </si>
  <si>
    <t>streetName1</t>
  </si>
  <si>
    <t>streetName2</t>
  </si>
  <si>
    <t>state</t>
  </si>
  <si>
    <t>address_string</t>
  </si>
  <si>
    <t>AE0122</t>
  </si>
  <si>
    <t>Red</t>
  </si>
  <si>
    <t>Mirdiff city center</t>
  </si>
  <si>
    <t>Dubai</t>
  </si>
  <si>
    <t>United Arab Emirates</t>
  </si>
  <si>
    <t>AE</t>
  </si>
  <si>
    <t>10:00-22:00</t>
  </si>
  <si>
    <t>10:00-23:55</t>
  </si>
  <si>
    <t>Sheikh Mohammad Bin Zayed Road</t>
  </si>
  <si>
    <t>Mirdiff city center;Sheikh Mohammad Bin Zayed Road;Dubai;Dubai;Dubai</t>
  </si>
  <si>
    <t>AE0149</t>
  </si>
  <si>
    <t>Flagship</t>
  </si>
  <si>
    <t>Dubai Mall</t>
  </si>
  <si>
    <t>10:00-23:00</t>
  </si>
  <si>
    <t>Sheikh Zayed Road</t>
  </si>
  <si>
    <t>Dubai Mall;Sheikh Zayed Road;Dubai;Dubai;Dubai</t>
  </si>
  <si>
    <t>AE0209</t>
  </si>
  <si>
    <t>Blue</t>
  </si>
  <si>
    <t>Al Markaziyah</t>
  </si>
  <si>
    <t>Abu Dhabi</t>
  </si>
  <si>
    <t>World Trade Center Mall</t>
  </si>
  <si>
    <t>Al Markaziyah;World Trade Center Mall;123;Abu Dhabi</t>
  </si>
  <si>
    <t>AE0223</t>
  </si>
  <si>
    <t>Abu Dhabi-Dubai Rd - Abu Dhabi</t>
  </si>
  <si>
    <t>10:00-20:00</t>
  </si>
  <si>
    <t>Al Bahia - Al Shahama</t>
  </si>
  <si>
    <t>Abu Dhabi-Dubai Rd - Abu Dhabi;Al Bahia - Al Shahama;Abu Dhabi;39996;Abu Dhabi</t>
  </si>
  <si>
    <t>AE0273</t>
  </si>
  <si>
    <t>Yas Mall</t>
  </si>
  <si>
    <t>Yas Mall;;x;Abu Dhabi</t>
  </si>
  <si>
    <t>AE0412</t>
  </si>
  <si>
    <t>Street E</t>
  </si>
  <si>
    <t>Dubai Marina Mall</t>
  </si>
  <si>
    <t>Street E;Dubai Marina Mall;9440;St. E, Dubai Marina Mall, U.A.E.;Dubai</t>
  </si>
  <si>
    <t>AE0420</t>
  </si>
  <si>
    <t>Fujairah City Center</t>
  </si>
  <si>
    <t>Fujairah</t>
  </si>
  <si>
    <t>New Al Najaimat rd.</t>
  </si>
  <si>
    <t>Fujairah City Center;New Al Najaimat rd.;Fujairah;Fujairah;Fujairah</t>
  </si>
  <si>
    <t>AE0427</t>
  </si>
  <si>
    <t>Al whada mall</t>
  </si>
  <si>
    <t>Hazaa Bin Zayed the First Street, Al Wahdah</t>
  </si>
  <si>
    <t>Al whada mall;Hazaa Bin Zayed the First Street, Al Wahdah;Abu Dhabi;Abu Dhabi;Abu Dhabi</t>
  </si>
  <si>
    <t>AE0428</t>
  </si>
  <si>
    <t>Manar Mall</t>
  </si>
  <si>
    <t>Ras Al Khaimah</t>
  </si>
  <si>
    <t>Manar Mall;;RAK;Ras Al Khaimah;Ras Al Khaimah</t>
  </si>
  <si>
    <t>AE0433</t>
  </si>
  <si>
    <t>dubai</t>
  </si>
  <si>
    <t>dubai;;00971;Dubai</t>
  </si>
  <si>
    <t>AE0440</t>
  </si>
  <si>
    <t>Dalma Mall</t>
  </si>
  <si>
    <t>Musaffah Road</t>
  </si>
  <si>
    <t>Dalma Mall;Musaffah Road;Abu Dhabi;Abu Dhabi;Dubai</t>
  </si>
  <si>
    <t>AE0515</t>
  </si>
  <si>
    <t>Arabian plaza</t>
  </si>
  <si>
    <t>10:00-22:30</t>
  </si>
  <si>
    <t>Al Kawaneej RD</t>
  </si>
  <si>
    <t>Arabian plaza;Al Kawaneej RD;Dubai;Dubai;Dubai</t>
  </si>
  <si>
    <t>AE0847</t>
  </si>
  <si>
    <t>Abu Dhabi Mall</t>
  </si>
  <si>
    <t>Tourist club</t>
  </si>
  <si>
    <t>Abu Dhabi Mall;Tourist club;Abu Dhabi;Abu Dhabi;Abu Dhabi</t>
  </si>
  <si>
    <t>AE0860</t>
  </si>
  <si>
    <t>Sahara Centre</t>
  </si>
  <si>
    <t>Sharjah</t>
  </si>
  <si>
    <t>14:00-23:55</t>
  </si>
  <si>
    <t>AL NAHDA ROAD</t>
  </si>
  <si>
    <t>Sahara Centre;AL NAHDA ROAD;Sharjah;Sharjah;Sharjah</t>
  </si>
  <si>
    <t>AE0865</t>
  </si>
  <si>
    <t>Deira City Centre</t>
  </si>
  <si>
    <t>10:00-00:00</t>
  </si>
  <si>
    <t>Port Saeed</t>
  </si>
  <si>
    <t>Deira City Centre;Port Saeed;Dubai;Dubai;Dubai</t>
  </si>
  <si>
    <t>AE0866</t>
  </si>
  <si>
    <t>AE0909</t>
  </si>
  <si>
    <t>Me'Aisem City Centre</t>
  </si>
  <si>
    <t>Me'Aisem City Centre;;x;Dubai</t>
  </si>
  <si>
    <t>AE0920</t>
  </si>
  <si>
    <t>Bawadi Mall</t>
  </si>
  <si>
    <t>Al Ain</t>
  </si>
  <si>
    <t>Zayed Bin Sultan Street</t>
  </si>
  <si>
    <t>Bawadi Mall;Zayed Bin Sultan Street;Al Ain;Al Ain;Dubai</t>
  </si>
  <si>
    <t>AE0934</t>
  </si>
  <si>
    <t>Al Ain Mall</t>
  </si>
  <si>
    <t>Al-Touba</t>
  </si>
  <si>
    <t>Al Ain Mall;Al-Touba;Al Ain;Al Ain;Dubai</t>
  </si>
  <si>
    <t>AE0935</t>
  </si>
  <si>
    <t>Bawabat Al Sharq Mall</t>
  </si>
  <si>
    <t>Bawabat</t>
  </si>
  <si>
    <t>Bawabat Al Sharq Mall;Bawabat;Abu Dhabi;Abu Dhabi;Abu Dhabi</t>
  </si>
  <si>
    <t>AE0947</t>
  </si>
  <si>
    <t>Maina Mall</t>
  </si>
  <si>
    <t>ABU DAHABI CORNICHE BREAK WATER</t>
  </si>
  <si>
    <t>Maina Mall;ABU DAHABI CORNICHE BREAK WATER;Abu Dhabi;Abu Dhabi;Abu Dhabi</t>
  </si>
  <si>
    <t>AE0948</t>
  </si>
  <si>
    <t>Deira Ciry Centre</t>
  </si>
  <si>
    <t>St. Port Saeed Dubai</t>
  </si>
  <si>
    <t>Deira Ciry Centre;St. Port Saeed Dubai;Dubai;Dubai;Dubai</t>
  </si>
  <si>
    <t>AE0953</t>
  </si>
  <si>
    <t>Al Hamra</t>
  </si>
  <si>
    <t>Ras Al Khayma</t>
  </si>
  <si>
    <t>Al Hamra;Ras Al Khayma;x;Ras Al Khaimah</t>
  </si>
  <si>
    <t>AE0964</t>
  </si>
  <si>
    <t>Burjuman Center</t>
  </si>
  <si>
    <t>Khalid Bin Al Waleed Road</t>
  </si>
  <si>
    <t>Burjuman Center;Khalid Bin Al Waleed Road;8022;Dubai</t>
  </si>
  <si>
    <t>AE1047</t>
  </si>
  <si>
    <t>Dubai Festival City</t>
  </si>
  <si>
    <t>Dubai Festival City;;XXX;Dubai</t>
  </si>
  <si>
    <t>AE1056</t>
  </si>
  <si>
    <t>Al Ettehad Street</t>
  </si>
  <si>
    <t>Ajman</t>
  </si>
  <si>
    <t>Al Ettehad Street;;X;Abu Dhabi</t>
  </si>
  <si>
    <t>AE1062</t>
  </si>
  <si>
    <t>Hamdan Bin Mohammad Street</t>
  </si>
  <si>
    <t>Abu Dhabi, UAE</t>
  </si>
  <si>
    <t>Hamdan Bin Mohammad Street;Abu Dhabi, UAE;X;Abu Dhabi</t>
  </si>
  <si>
    <t>AE1411</t>
  </si>
  <si>
    <t>Dubai Airport Terminal 3</t>
  </si>
  <si>
    <t>00:00-23:55</t>
  </si>
  <si>
    <t>Dubai Airport Terminal 3;;x;Abu Dhabi</t>
  </si>
  <si>
    <t>AE1415</t>
  </si>
  <si>
    <t>Mercat Town Center</t>
  </si>
  <si>
    <t>Mercat Town Center;;x;Dubai</t>
  </si>
  <si>
    <t>AE1421</t>
  </si>
  <si>
    <t>IBN Battuta Mall, D51</t>
  </si>
  <si>
    <t>IBN Battuta Mall, D51;;261177;Dubai</t>
  </si>
  <si>
    <t>AE1425</t>
  </si>
  <si>
    <t>Nakheel Mall</t>
  </si>
  <si>
    <t>The Palm</t>
  </si>
  <si>
    <t>Nakheel Mall;The Palm;17777;Dubai</t>
  </si>
  <si>
    <t>AE1431</t>
  </si>
  <si>
    <t>Al Maryah Central</t>
  </si>
  <si>
    <t>Al Maryah Central;;27522;Abu Dhabi</t>
  </si>
  <si>
    <t>AE1435</t>
  </si>
  <si>
    <t>The Dubai Mall</t>
  </si>
  <si>
    <t>Financial Center Road</t>
  </si>
  <si>
    <t>The Dubai Mall;Financial Center Road;X;Dubai</t>
  </si>
  <si>
    <t>AT0003</t>
  </si>
  <si>
    <t>Forum 1</t>
  </si>
  <si>
    <t>Salzburg</t>
  </si>
  <si>
    <t>Austria</t>
  </si>
  <si>
    <t>AT</t>
  </si>
  <si>
    <t>09:00-19:00</t>
  </si>
  <si>
    <t>09:00-18:00</t>
  </si>
  <si>
    <t>SÃ¼dtiroler Platz 11</t>
  </si>
  <si>
    <t>SÃ¼dtiroler Platz 11;;5020;Salzburg;Salzburg</t>
  </si>
  <si>
    <t>AT0004</t>
  </si>
  <si>
    <t>Stadtgalerien Schwaz</t>
  </si>
  <si>
    <t>Schwaz</t>
  </si>
  <si>
    <t>Andreas Hofer-Strasse 10</t>
  </si>
  <si>
    <t>Tirol</t>
  </si>
  <si>
    <t>Andreas Hofer-Strasse 10;;6130;Schwaz;Tirol</t>
  </si>
  <si>
    <t>AT0005</t>
  </si>
  <si>
    <t>Shopping Nord</t>
  </si>
  <si>
    <t>Graz</t>
  </si>
  <si>
    <t>Wiener StraÃŸe 351</t>
  </si>
  <si>
    <t>Steiermark</t>
  </si>
  <si>
    <t>Wiener StraÃŸe 351;;8051;Graz;Steiermark</t>
  </si>
  <si>
    <t>AT0006</t>
  </si>
  <si>
    <t>G3 Shopping Resort Gerasdorf</t>
  </si>
  <si>
    <t>Gerasdorf</t>
  </si>
  <si>
    <t>09:30-19:00</t>
  </si>
  <si>
    <t>09:30-20:00</t>
  </si>
  <si>
    <t>G3 Platz 1</t>
  </si>
  <si>
    <t>NiederÃ¶sterreich</t>
  </si>
  <si>
    <t>G3 Platz 1;;2201;Gerasdorf bei Wien;NiederÃ¶sterreich</t>
  </si>
  <si>
    <t>AT0007</t>
  </si>
  <si>
    <t>Wien Mitte The Mall</t>
  </si>
  <si>
    <t>Wien</t>
  </si>
  <si>
    <t>09:00-20:00</t>
  </si>
  <si>
    <t>Landstrasser Hauptstrasse 1b</t>
  </si>
  <si>
    <t>Landstrasser Hauptstrasse 1b;;1030;Wien;Wien</t>
  </si>
  <si>
    <t>AT0008</t>
  </si>
  <si>
    <t>H&amp;M FÃ¼rstenfeld</t>
  </si>
  <si>
    <t>FÃ¼rstenfeld</t>
  </si>
  <si>
    <t>09:00-18:30</t>
  </si>
  <si>
    <t>HauptstraÃŸe 5</t>
  </si>
  <si>
    <t>HauptstraÃŸe 5;;8280;FÃ¼rstenfeld;Steiermark</t>
  </si>
  <si>
    <t>AT0010</t>
  </si>
  <si>
    <t>Weberzeile</t>
  </si>
  <si>
    <t>Ried im Innkreis</t>
  </si>
  <si>
    <t>Weberzeile 1</t>
  </si>
  <si>
    <t>OberÃ¶sterreich</t>
  </si>
  <si>
    <t>Weberzeile 1;;4910;Ried im Innkreis;OberÃ¶sterreich</t>
  </si>
  <si>
    <t>AT0011</t>
  </si>
  <si>
    <t>H&amp;M Unterer Platz</t>
  </si>
  <si>
    <t>St.Veit an der Glan</t>
  </si>
  <si>
    <t>Unterer Platz 2</t>
  </si>
  <si>
    <t>KÃ¤rnten</t>
  </si>
  <si>
    <t>Unterer Platz 2;;9300;St.Veit an der Glan;KÃ¤rnten</t>
  </si>
  <si>
    <t>AT0012</t>
  </si>
  <si>
    <t>Stadtoase Tulln</t>
  </si>
  <si>
    <t>Tulln</t>
  </si>
  <si>
    <t>Hauptplatz 19-20</t>
  </si>
  <si>
    <t>Hauptplatz 19-20;;3430;Tulln;NiederÃ¶sterreich</t>
  </si>
  <si>
    <t>AT0014</t>
  </si>
  <si>
    <t>Fischapark</t>
  </si>
  <si>
    <t>Wr Neustadt</t>
  </si>
  <si>
    <t>ZehnergÃ¼rtel 12-24</t>
  </si>
  <si>
    <t>ZehnergÃ¼rtel 12-24;;2700;Wr.Neustadt;NiederÃ¶sterreich</t>
  </si>
  <si>
    <t>AT0015</t>
  </si>
  <si>
    <t>HUMA Eleven</t>
  </si>
  <si>
    <t>LandwehrstraÃŸe 6/Top 15</t>
  </si>
  <si>
    <t>LandwehrstraÃŸe 6/Top 15;;1110 Wien;Wien;Wien</t>
  </si>
  <si>
    <t>AT0016</t>
  </si>
  <si>
    <t>Shopping Arena Alpenstrasse</t>
  </si>
  <si>
    <t>Alpenstrasse 114</t>
  </si>
  <si>
    <t>Alpenstrasse 114;;5020;Salzburg;Salzburg</t>
  </si>
  <si>
    <t>AT0017</t>
  </si>
  <si>
    <t>Stadion Center</t>
  </si>
  <si>
    <t>Olympiaplatz 2</t>
  </si>
  <si>
    <t>Olympiaplatz 2;;1020;Wien;Wien</t>
  </si>
  <si>
    <t>AT0018</t>
  </si>
  <si>
    <t>Tenorio Wolfsberg</t>
  </si>
  <si>
    <t>Wolfsberg</t>
  </si>
  <si>
    <t>Bahnhofplatz 1</t>
  </si>
  <si>
    <t>Bahnhofplatz 1;;9400;Wolfsberg;KÃ¤rnten</t>
  </si>
  <si>
    <t>AT0019</t>
  </si>
  <si>
    <t>H&amp;M Bischofshofen</t>
  </si>
  <si>
    <t>Bischofshofen</t>
  </si>
  <si>
    <t>Bahnhofsstrasse 34-36</t>
  </si>
  <si>
    <t>Bahnhofsstrasse 34-36;;5500;Bischofshofen;Salzburg</t>
  </si>
  <si>
    <t>AT0020</t>
  </si>
  <si>
    <t>H&amp;M Mistelbach</t>
  </si>
  <si>
    <t>Mistelbach</t>
  </si>
  <si>
    <t>08:30-18:00</t>
  </si>
  <si>
    <t>Hauptplatz 33</t>
  </si>
  <si>
    <t>Hauptplatz 33;;2130;Mistelbach;NiederÃ¶sterreich</t>
  </si>
  <si>
    <t>AT0024</t>
  </si>
  <si>
    <t>Murpark</t>
  </si>
  <si>
    <t>09:00-19:30</t>
  </si>
  <si>
    <t>OstbahnstraÃŸe 3</t>
  </si>
  <si>
    <t>OstbahnstraÃŸe 3;;8041;Graz;Steiermark</t>
  </si>
  <si>
    <t>AT0025</t>
  </si>
  <si>
    <t>Merkur City</t>
  </si>
  <si>
    <t>StadionstraÃŸe 10-12</t>
  </si>
  <si>
    <t>StadionstraÃŸe 10-12;;2700;Wr.Neustadt;NiederÃ¶sterreich</t>
  </si>
  <si>
    <t>AT0027</t>
  </si>
  <si>
    <t>MariahilferstraÃŸe 47</t>
  </si>
  <si>
    <t>09:30-18:00</t>
  </si>
  <si>
    <t>MariahilferstraÃŸe 47;;1060;Wien;Wien</t>
  </si>
  <si>
    <t>AT0029</t>
  </si>
  <si>
    <t>H&amp;M Weiz</t>
  </si>
  <si>
    <t>Weiz</t>
  </si>
  <si>
    <t>Kapruner Generator Strasse 1</t>
  </si>
  <si>
    <t>Kapruner Generator Strasse 1;;8160;Weiz;Steiermark</t>
  </si>
  <si>
    <t>AT0030</t>
  </si>
  <si>
    <t>PADO Galerien</t>
  </si>
  <si>
    <t>Parndorf</t>
  </si>
  <si>
    <t>Richard-Erlinger-Platz 2</t>
  </si>
  <si>
    <t>Burgenland</t>
  </si>
  <si>
    <t>Richard-Erlinger-Platz 2;;7111;Parndorf;Burgenland</t>
  </si>
  <si>
    <t>AT0101</t>
  </si>
  <si>
    <t>SCS-VÃ¶sendorf</t>
  </si>
  <si>
    <t>VÃ¶sendorfer SÃ¼dring/Top 132A</t>
  </si>
  <si>
    <t>VÃ¶sendorfer SÃ¼dring/Top 132A;;2334;VÃ¶sendorf;NiederÃ¶sterreich</t>
  </si>
  <si>
    <t>AT0102</t>
  </si>
  <si>
    <t>Center West</t>
  </si>
  <si>
    <t>Weblinger GÃ¼rtel 25</t>
  </si>
  <si>
    <t>Weblinger GÃ¼rtel 25;;8054;Graz;Steiermark</t>
  </si>
  <si>
    <t>AT0103</t>
  </si>
  <si>
    <t>Center Haid</t>
  </si>
  <si>
    <t>Linz</t>
  </si>
  <si>
    <t>Ikeaplatz 3</t>
  </si>
  <si>
    <t>Ikeaplatz 3;;4053;Haid;OberÃ¶sterreich</t>
  </si>
  <si>
    <t>AT0107</t>
  </si>
  <si>
    <t>Plus City</t>
  </si>
  <si>
    <t>09:30-21:00</t>
  </si>
  <si>
    <t>PluskaufstraÃŸe 7</t>
  </si>
  <si>
    <t>PluskaufstraÃŸe 7;;4066;Pasching;OberÃ¶sterreich</t>
  </si>
  <si>
    <t>AT0108</t>
  </si>
  <si>
    <t>DEZ</t>
  </si>
  <si>
    <t>Innsbruck</t>
  </si>
  <si>
    <t>Amraser-See-StraÃŸe 56a</t>
  </si>
  <si>
    <t>Amraser-See-StraÃŸe 56a;;6020;Innsbruck;Tirol</t>
  </si>
  <si>
    <t>AT0109</t>
  </si>
  <si>
    <t>Mariahilferstrasse 78-80</t>
  </si>
  <si>
    <t>Mariahilferstrasse 78-80;;1070;Wien;Wien</t>
  </si>
  <si>
    <t>AT0111</t>
  </si>
  <si>
    <t>H&amp;M Alter Platz</t>
  </si>
  <si>
    <t>Klagenfurt</t>
  </si>
  <si>
    <t>Alter Platz 3</t>
  </si>
  <si>
    <t>Alter Platz 3;;9020;Klagenfurt;KÃ¤rnten</t>
  </si>
  <si>
    <t>AT0112</t>
  </si>
  <si>
    <t>H&amp;M FavoritenstraÃŸe</t>
  </si>
  <si>
    <t>FavoritenstraÃŸe 93</t>
  </si>
  <si>
    <t>FavoritenstraÃŸe 93;;1100;Wien;Wien</t>
  </si>
  <si>
    <t>AT0113</t>
  </si>
  <si>
    <t>Europark</t>
  </si>
  <si>
    <t>09:00-21:00</t>
  </si>
  <si>
    <t>EuropastraÃŸe 1</t>
  </si>
  <si>
    <t>EuropastraÃŸe 1;;5020;Salzburg;Salzburg</t>
  </si>
  <si>
    <t>AT0116</t>
  </si>
  <si>
    <t>Donau Zentrum</t>
  </si>
  <si>
    <t>WagramerstraÃŸe 83</t>
  </si>
  <si>
    <t>WagramerstraÃŸe 83;;1220;Wien;Wien</t>
  </si>
  <si>
    <t>AT0118</t>
  </si>
  <si>
    <t>H&amp;M Meidlinger HauptstraÃŸe</t>
  </si>
  <si>
    <t>Meidlinger HauptstraÃŸe 56</t>
  </si>
  <si>
    <t>Meidlinger HauptstraÃŸe 56;;1120;Wien;Wien</t>
  </si>
  <si>
    <t>AT0120</t>
  </si>
  <si>
    <t>City Shopping Promenade</t>
  </si>
  <si>
    <t>St. PÃ¶lten</t>
  </si>
  <si>
    <t>09:00-17:00</t>
  </si>
  <si>
    <t>Brunngasse 13</t>
  </si>
  <si>
    <t>Brunngasse 13;;3100;St.PÃ¶lten;NiederÃ¶sterreich</t>
  </si>
  <si>
    <t>AT0122</t>
  </si>
  <si>
    <t>Messepark</t>
  </si>
  <si>
    <t>Dornbirn</t>
  </si>
  <si>
    <t>MessestraÃŸe 2</t>
  </si>
  <si>
    <t>Vorarlberg</t>
  </si>
  <si>
    <t>MessestraÃŸe 2;;6854;Dornbirn;Vorarlberg</t>
  </si>
  <si>
    <t>AT0123</t>
  </si>
  <si>
    <t>BÃ¼hl Center</t>
  </si>
  <si>
    <t>Krems</t>
  </si>
  <si>
    <t>WienerstraÃŸe 96-102</t>
  </si>
  <si>
    <t>WienerstraÃŸe 96-102;;3500;Krems;NiederÃ¶sterreich</t>
  </si>
  <si>
    <t>AT0124</t>
  </si>
  <si>
    <t>Hauptplatz 10-11</t>
  </si>
  <si>
    <t>Hauptplatz 10-11;;8010;Graz;Steiermark</t>
  </si>
  <si>
    <t>AT0125</t>
  </si>
  <si>
    <t>Lugner City</t>
  </si>
  <si>
    <t>Gablenzgasse 11</t>
  </si>
  <si>
    <t>Gablenzgasse 11;;1150;Wien;Wien</t>
  </si>
  <si>
    <t>AT0126</t>
  </si>
  <si>
    <t>Shopping Center Nord</t>
  </si>
  <si>
    <t>Ignaz-KÃ¶ck-StraÃŸe 1</t>
  </si>
  <si>
    <t>Ignaz-KÃ¶ck-StraÃŸe 1;;1210;Wien;Wien</t>
  </si>
  <si>
    <t>AT0127</t>
  </si>
  <si>
    <t>Citypark</t>
  </si>
  <si>
    <t>LazarettgÃ¼rtel 55</t>
  </si>
  <si>
    <t>LazarettgÃ¼rtel 55;;8020;Graz;Steiermark</t>
  </si>
  <si>
    <t>AT0130</t>
  </si>
  <si>
    <t>Millennium City</t>
  </si>
  <si>
    <t>Handelskai 94-96</t>
  </si>
  <si>
    <t>Handelskai 94-96;;1200;Wien;Wien</t>
  </si>
  <si>
    <t>AT0131</t>
  </si>
  <si>
    <t>LandstraÃŸe 44</t>
  </si>
  <si>
    <t>LandstraÃŸe 44;;4020;Linz;OberÃ¶sterreich</t>
  </si>
  <si>
    <t>AT0133</t>
  </si>
  <si>
    <t>ECE Kapfenberg</t>
  </si>
  <si>
    <t>Kapfenberg</t>
  </si>
  <si>
    <t>08:30-18:30</t>
  </si>
  <si>
    <t>WienerstraÃŸe 35A</t>
  </si>
  <si>
    <t>WienerstraÃŸe 35A;;8605;Kapfenberg;Steiermark</t>
  </si>
  <si>
    <t>AT0135</t>
  </si>
  <si>
    <t>City Point Steyr</t>
  </si>
  <si>
    <t>Steyr</t>
  </si>
  <si>
    <t>Leopold Werndl StraÃŸe 2</t>
  </si>
  <si>
    <t>Leopold Werndl StraÃŸe 2;;4400;Steyr;OberÃ¶sterreich</t>
  </si>
  <si>
    <t>AT0136</t>
  </si>
  <si>
    <t>Traisenpark</t>
  </si>
  <si>
    <t>Dr. Adolf SchÃ¤rf StraÃŸe 9-12</t>
  </si>
  <si>
    <t>Dr. Adolf SchÃ¤rf StraÃŸe 9-12;;3107;St.PÃ¶lten;NiederÃ¶sterreich</t>
  </si>
  <si>
    <t>AT0138</t>
  </si>
  <si>
    <t>H&amp;M Rosengasse</t>
  </si>
  <si>
    <t>Lienz</t>
  </si>
  <si>
    <t>Rosengasse 1</t>
  </si>
  <si>
    <t>Osttirol</t>
  </si>
  <si>
    <t>Rosengasse 1;;9900;Lienz;Osttirol</t>
  </si>
  <si>
    <t>AT0139</t>
  </si>
  <si>
    <t>M4 WÃ¶rgl</t>
  </si>
  <si>
    <t>WÃ¶rgl</t>
  </si>
  <si>
    <t>Salzburger StraÃŸe 32</t>
  </si>
  <si>
    <t>Salzburger StraÃŸe 32;;6300;WÃ¶rgl;Tirol</t>
  </si>
  <si>
    <t>AT0140</t>
  </si>
  <si>
    <t>H&amp;M RingstraÃŸe</t>
  </si>
  <si>
    <t>Wels</t>
  </si>
  <si>
    <t>RingstraÃŸe 35</t>
  </si>
  <si>
    <t>RingstraÃŸe 35;;4600;Wels;OberÃ¶sterreich</t>
  </si>
  <si>
    <t>AT0141</t>
  </si>
  <si>
    <t>CCA Amstetten</t>
  </si>
  <si>
    <t>Amstetten</t>
  </si>
  <si>
    <t>Waidhofner StraÃŸe 2</t>
  </si>
  <si>
    <t>Waidhofner StraÃŸe 2;;3300;Amstetten;NiederÃ¶sterreich</t>
  </si>
  <si>
    <t>AT0142</t>
  </si>
  <si>
    <t>Zimbapark</t>
  </si>
  <si>
    <t>Bludenz</t>
  </si>
  <si>
    <t>Almteilweg 1</t>
  </si>
  <si>
    <t>Almteilweg 1;;6706;BÃ¼rs;Vorarlberg</t>
  </si>
  <si>
    <t>AT0144</t>
  </si>
  <si>
    <t>Zentrum Simmering</t>
  </si>
  <si>
    <t>Simmeringer HauptstraÃŸe 96A</t>
  </si>
  <si>
    <t>Simmeringer HauptstraÃŸe 96A;;1110;Wien;Wien</t>
  </si>
  <si>
    <t>AT0145</t>
  </si>
  <si>
    <t>Shopping Center Seiersberg</t>
  </si>
  <si>
    <t>Seiersberg</t>
  </si>
  <si>
    <t>Shopping Center Seiersberg 5</t>
  </si>
  <si>
    <t>Shopping Center Seiersberg 5;;8055;Seiersberg;Steiermark</t>
  </si>
  <si>
    <t>AT0146</t>
  </si>
  <si>
    <t>H&amp;M HauptstraÃŸe</t>
  </si>
  <si>
    <t>Eisenstadt</t>
  </si>
  <si>
    <t>HauptstraÃŸe 50</t>
  </si>
  <si>
    <t>HauptstraÃŸe 50;;7000;Eisenstadt;Burgenland</t>
  </si>
  <si>
    <t>AT0147</t>
  </si>
  <si>
    <t>H&amp;M Eisernes Tor</t>
  </si>
  <si>
    <t>Eisernes Tor 11</t>
  </si>
  <si>
    <t>Eisernes Tor 11;;8010;Graz;Steiermark</t>
  </si>
  <si>
    <t>AT0148</t>
  </si>
  <si>
    <t>H&amp;M Marktgasse</t>
  </si>
  <si>
    <t>Feldkirch</t>
  </si>
  <si>
    <t>Marktgasse 11</t>
  </si>
  <si>
    <t>Marktgasse 11;;6800;Feldkirch;Vorarlberg</t>
  </si>
  <si>
    <t>AT0149</t>
  </si>
  <si>
    <t>H&amp;M KÃ¤rntnerstraÃŸe</t>
  </si>
  <si>
    <t>10:00-18:00</t>
  </si>
  <si>
    <t>KÃ¤rntnerstraÃŸe 28</t>
  </si>
  <si>
    <t>KÃ¤rntnerstraÃŸe 28;;1010;Wien;Wien</t>
  </si>
  <si>
    <t>AT0152</t>
  </si>
  <si>
    <t>Auhofcenter</t>
  </si>
  <si>
    <t>Albert-Schweitzer-Gasse 6</t>
  </si>
  <si>
    <t>Albert-Schweitzer-Gasse 6;;1140;Wien;Wien</t>
  </si>
  <si>
    <t>AT0153</t>
  </si>
  <si>
    <t>max.center</t>
  </si>
  <si>
    <t>Gunskirchener StraÃŸe 7</t>
  </si>
  <si>
    <t>Gunskirchener StraÃŸe 7;;4600;Wels;OberÃ¶sterreich</t>
  </si>
  <si>
    <t>AT0154</t>
  </si>
  <si>
    <t>Stadtpark Center Spittal</t>
  </si>
  <si>
    <t>Spittal an der Drau</t>
  </si>
  <si>
    <t>09:00-17:30</t>
  </si>
  <si>
    <t>BahnhofstraÃŸe 16</t>
  </si>
  <si>
    <t>BahnhofstraÃŸe 16;;9800;Spittal an der Drau;KÃ¤rnten</t>
  </si>
  <si>
    <t>AT0155</t>
  </si>
  <si>
    <t>SÃ¼dpark</t>
  </si>
  <si>
    <t>SÃ¼dpark 1</t>
  </si>
  <si>
    <t>SÃ¼dpark 1;;9020;Klagenfurt;KÃ¤rnten</t>
  </si>
  <si>
    <t>AT0156</t>
  </si>
  <si>
    <t>Graben</t>
  </si>
  <si>
    <t>Spiegelgasse 1</t>
  </si>
  <si>
    <t>Graben;Spiegelgasse 1;1010;Vienna;Wien</t>
  </si>
  <si>
    <t>AT0158</t>
  </si>
  <si>
    <t>Q19</t>
  </si>
  <si>
    <t>Kreilplatz 1</t>
  </si>
  <si>
    <t>Q19;Kreilplatz 1;1190;Wien;Wien</t>
  </si>
  <si>
    <t>AT0159</t>
  </si>
  <si>
    <t>Atrio</t>
  </si>
  <si>
    <t>Villach</t>
  </si>
  <si>
    <t>KÃ¤rntnerstraÃŸe 34</t>
  </si>
  <si>
    <t>Atrio;KÃ¤rntnerstraÃŸe 34;9500;Villach;KÃ¤rnten</t>
  </si>
  <si>
    <t>AT0160</t>
  </si>
  <si>
    <t>City Arkaden Klagenfurt</t>
  </si>
  <si>
    <t>Heuplatz 5</t>
  </si>
  <si>
    <t>Heuplatz 5;;9020;Klagenfurt;KÃ¤rnten</t>
  </si>
  <si>
    <t>AT0162</t>
  </si>
  <si>
    <t>Leoben City Shopping</t>
  </si>
  <si>
    <t>Leoben</t>
  </si>
  <si>
    <t>Hauptplatz 19</t>
  </si>
  <si>
    <t>Hauptplatz 19;;8700;Leoben;Steiermark</t>
  </si>
  <si>
    <t>AT0163</t>
  </si>
  <si>
    <t>EKZ Sillpark</t>
  </si>
  <si>
    <t>MuseumstraÃŸe 38</t>
  </si>
  <si>
    <t>MuseumstraÃŸe 38;;6020;Innsbruck;Tirol</t>
  </si>
  <si>
    <t>AT0164</t>
  </si>
  <si>
    <t>LandstraÃŸe 4-6</t>
  </si>
  <si>
    <t>LandstraÃŸe 4-6;;4020;Linz;OberÃ¶sterreich</t>
  </si>
  <si>
    <t>AT0165</t>
  </si>
  <si>
    <t>PEZZ</t>
  </si>
  <si>
    <t>Zell am See</t>
  </si>
  <si>
    <t>KitzsteinhornstraÃŸe 40</t>
  </si>
  <si>
    <t>KitzsteinhornstraÃŸe 40;;5700;Zell Am See;Salzburg</t>
  </si>
  <si>
    <t>AT0166</t>
  </si>
  <si>
    <t>Shopping City Seiersberg</t>
  </si>
  <si>
    <t>Shopping City Seiersberg 9</t>
  </si>
  <si>
    <t>Top 6/1/2</t>
  </si>
  <si>
    <t>Shopping City Seiersberg 9;Top 6/1/2;8055;Seiersberg;Steiermark</t>
  </si>
  <si>
    <t>AT0167</t>
  </si>
  <si>
    <t>eo Einkaufszentrum Oberwart</t>
  </si>
  <si>
    <t>Oberwart</t>
  </si>
  <si>
    <t>Europastrasse 1</t>
  </si>
  <si>
    <t>eo Einkaufszentrum Oberwart;Europastrasse 1;7400;Oberwart;Burgenland</t>
  </si>
  <si>
    <t>AT0168</t>
  </si>
  <si>
    <t>Riverside Liesing</t>
  </si>
  <si>
    <t>Breitenfurter StraÃŸe 372</t>
  </si>
  <si>
    <t>Breitenfurter StraÃŸe 372;;1230;Wien;Wien</t>
  </si>
  <si>
    <t>AT0169</t>
  </si>
  <si>
    <t>Oase Liezen</t>
  </si>
  <si>
    <t>Liezen</t>
  </si>
  <si>
    <t>HauptstraÃŸe 35</t>
  </si>
  <si>
    <t>HauptstraÃŸe 35;;8940;Liezen;Steiermark</t>
  </si>
  <si>
    <t>AT0170</t>
  </si>
  <si>
    <t>Varena</t>
  </si>
  <si>
    <t>VÃ¶cklabruck</t>
  </si>
  <si>
    <t>Linzer StraÃŸe 50</t>
  </si>
  <si>
    <t>Linzer StraÃŸe 50;;4840;VÃ¶cklabruck;OberÃ¶sterreich</t>
  </si>
  <si>
    <t>AT0171</t>
  </si>
  <si>
    <t>Inntalcenter</t>
  </si>
  <si>
    <t>Telfs</t>
  </si>
  <si>
    <t>Weissenbachgasse 9</t>
  </si>
  <si>
    <t>Weissenbachgasse 9;;6410;Telfs;Tirol</t>
  </si>
  <si>
    <t>AT0172</t>
  </si>
  <si>
    <t>H&amp;M Getreidegasse</t>
  </si>
  <si>
    <t>Getreidegasse 5-7</t>
  </si>
  <si>
    <t>Getreidegasse 5-7;;5020;Salzburg;Salzburg</t>
  </si>
  <si>
    <t>AT0173</t>
  </si>
  <si>
    <t>Kaufhaus Tyrol</t>
  </si>
  <si>
    <t>Maria-Theresien-StraÃŸe 31</t>
  </si>
  <si>
    <t>Maria-Theresien-StraÃŸe 31;;6020;Innsbruck;Tirol</t>
  </si>
  <si>
    <t>AT0176</t>
  </si>
  <si>
    <t>Kufstein Galerien</t>
  </si>
  <si>
    <t>Kufstein</t>
  </si>
  <si>
    <t>Feldgasse 1</t>
  </si>
  <si>
    <t>Feldgasse 1;;6330;Kufstein;Tirol</t>
  </si>
  <si>
    <t>AT0179</t>
  </si>
  <si>
    <t>EKZ Weinland</t>
  </si>
  <si>
    <t>Leibnitz</t>
  </si>
  <si>
    <t>WasserwerkstraÃŸe 30d</t>
  </si>
  <si>
    <t>WasserwerkstraÃŸe 30d;;8430;Leibnitz;Steiermark</t>
  </si>
  <si>
    <t>AU0001</t>
  </si>
  <si>
    <t>GPO Melbourne</t>
  </si>
  <si>
    <t>Melbourne</t>
  </si>
  <si>
    <t>Australia</t>
  </si>
  <si>
    <t>AU</t>
  </si>
  <si>
    <t>10:00-19:00</t>
  </si>
  <si>
    <t>10:00-21:00</t>
  </si>
  <si>
    <t>350 Bourke Street</t>
  </si>
  <si>
    <t>Victoria</t>
  </si>
  <si>
    <t>350 Bourke Street;;3000;Melbourne;Victoria</t>
  </si>
  <si>
    <t>AU0003</t>
  </si>
  <si>
    <t>Glasshouse Shopping Centre</t>
  </si>
  <si>
    <t>Sydney</t>
  </si>
  <si>
    <t>150 Pitt Street (Corner of King Street)</t>
  </si>
  <si>
    <t>New South Wales</t>
  </si>
  <si>
    <t>150 Pitt Street (Corner of King Street);;2000;Sydney;New South Wales</t>
  </si>
  <si>
    <t>AU0004</t>
  </si>
  <si>
    <t>Macquarie Centre</t>
  </si>
  <si>
    <t>197-223 Herring Road</t>
  </si>
  <si>
    <t>197-223 Herring Road;;2113;North Ryde;New South Wales</t>
  </si>
  <si>
    <t>AU0005</t>
  </si>
  <si>
    <t>Westfield Garden City</t>
  </si>
  <si>
    <t>Brisbane</t>
  </si>
  <si>
    <t>10:00-17:00</t>
  </si>
  <si>
    <t>Corner of Logan Road &amp; Kessels Road</t>
  </si>
  <si>
    <t>Queensland</t>
  </si>
  <si>
    <t>Corner of Logan Road &amp; Kessels Road;;4122;Upper Mt Gravatt;Queensland</t>
  </si>
  <si>
    <t>AU0006</t>
  </si>
  <si>
    <t>Indooroopilly Shopping Centre</t>
  </si>
  <si>
    <t>322 Moggill Road</t>
  </si>
  <si>
    <t>322 Moggill Road;;4068;Indooroopilly;Queensland</t>
  </si>
  <si>
    <t>AU0007</t>
  </si>
  <si>
    <t>Lakeside Shopping Centre</t>
  </si>
  <si>
    <t>Perth</t>
  </si>
  <si>
    <t>11:00-17:00</t>
  </si>
  <si>
    <t>420 Joondalup Drive</t>
  </si>
  <si>
    <t>Western Australia</t>
  </si>
  <si>
    <t>420 Joondalup Drive;;6027;Joondalup;Western Australia</t>
  </si>
  <si>
    <t>AU0008</t>
  </si>
  <si>
    <t>Eastland Shopping Centre</t>
  </si>
  <si>
    <t>171-175 Maroondah Highway</t>
  </si>
  <si>
    <t>171-175 Maroondah Highway;;3134;Ringwood;Victoria</t>
  </si>
  <si>
    <t>AU0009</t>
  </si>
  <si>
    <t>Queen Street Mall</t>
  </si>
  <si>
    <t>170 Queen Street</t>
  </si>
  <si>
    <t>170 Queen Street;;4000;Brisbane;Queensland</t>
  </si>
  <si>
    <t>AU0010</t>
  </si>
  <si>
    <t>GPO Perth</t>
  </si>
  <si>
    <t>09:30-17:00</t>
  </si>
  <si>
    <t>1/378 Wellington Street</t>
  </si>
  <si>
    <t>1/378 Wellington Street;;6000;Perth;Western Australia</t>
  </si>
  <si>
    <t>AU0011</t>
  </si>
  <si>
    <t>Broadway Shopping Centre</t>
  </si>
  <si>
    <t>1 Bay Street</t>
  </si>
  <si>
    <t>1 Bay Street;;2007;Broadway;New South Wales</t>
  </si>
  <si>
    <t>AU0012</t>
  </si>
  <si>
    <t>Chadstone Shopping Centre</t>
  </si>
  <si>
    <t>1341 Dandenong Road</t>
  </si>
  <si>
    <t>1341 Dandenong Road;;3148;Chadstone;Victoria</t>
  </si>
  <si>
    <t>AU0013</t>
  </si>
  <si>
    <t>Pacific Fair</t>
  </si>
  <si>
    <t>Gold Coast</t>
  </si>
  <si>
    <t>2-32 Hooker Boulevard</t>
  </si>
  <si>
    <t>2-32 Hooker Boulevard;;4218;Broadbeach;Queensland</t>
  </si>
  <si>
    <t>AU0014</t>
  </si>
  <si>
    <t>Charlestown Square Shopping Centre</t>
  </si>
  <si>
    <t>Newcastle</t>
  </si>
  <si>
    <t>30 Pearson Street</t>
  </si>
  <si>
    <t>30 Pearson Street;;2290;Charlestown;New South Wales</t>
  </si>
  <si>
    <t>AU0016</t>
  </si>
  <si>
    <t>Westfield Chermside</t>
  </si>
  <si>
    <t>Corner of Gympie Road &amp; Hamilton Road</t>
  </si>
  <si>
    <t>Corner of Gympie Road &amp; Hamilton Road;;4032;Chermside;Queensland</t>
  </si>
  <si>
    <t>AU0017</t>
  </si>
  <si>
    <t>Westfield Warringah Mall</t>
  </si>
  <si>
    <t>Corner of Condamine Street &amp; Old Pittwater Road</t>
  </si>
  <si>
    <t>Corner of Condamine Street &amp; Old Pittwater Road;;2100;Brookvale;New South Wales</t>
  </si>
  <si>
    <t>AU0019</t>
  </si>
  <si>
    <t>Pacific Werribee Shopping Centre</t>
  </si>
  <si>
    <t>Corner of Derrimut Road &amp; Heaths Road</t>
  </si>
  <si>
    <t>Corner of Derrimut Road &amp; Heaths Road;;3030;Werribee;Victoria</t>
  </si>
  <si>
    <t>AU0020</t>
  </si>
  <si>
    <t>Westfield Parramatta</t>
  </si>
  <si>
    <t>159-175 Church Street</t>
  </si>
  <si>
    <t>159-175 Church Street;;2150;Parramatta;New South Wales</t>
  </si>
  <si>
    <t>AU0021</t>
  </si>
  <si>
    <t>Macarthur Square</t>
  </si>
  <si>
    <t>200 Gilchrist Drive</t>
  </si>
  <si>
    <t>200 Gilchrist Drive;;2560;Campbelltown;New South Wales</t>
  </si>
  <si>
    <t>AU0022</t>
  </si>
  <si>
    <t>Wollongong Central</t>
  </si>
  <si>
    <t>Wollongong</t>
  </si>
  <si>
    <t>10:00-16:00</t>
  </si>
  <si>
    <t>Corner of Keira Street &amp; Crown Street</t>
  </si>
  <si>
    <t>Corner of Keira Street &amp; Crown Street;;2500;Wollongong;New South Wales</t>
  </si>
  <si>
    <t>AU0023</t>
  </si>
  <si>
    <t>Rundle Mall</t>
  </si>
  <si>
    <t>Adelaide</t>
  </si>
  <si>
    <t>South Australia</t>
  </si>
  <si>
    <t>Rundle Mall;;5000;Adelaide;South Australia</t>
  </si>
  <si>
    <t>AU0024</t>
  </si>
  <si>
    <t>Westfield Kotara</t>
  </si>
  <si>
    <t>Corner of Northcott Drive &amp; Park Avenue</t>
  </si>
  <si>
    <t>Corner of Northcott Drive &amp; Park Avenue;;2289;Kotara;New South Wales</t>
  </si>
  <si>
    <t>AU0025</t>
  </si>
  <si>
    <t>Grand Central Shopping Centre</t>
  </si>
  <si>
    <t>Corner of Margaret Street &amp; Dent Street</t>
  </si>
  <si>
    <t>Corner of Margaret Street &amp; Dent Street;;4350;Toowoomba;Queensland</t>
  </si>
  <si>
    <t>AU0027</t>
  </si>
  <si>
    <t>Robina Town Centre</t>
  </si>
  <si>
    <t>Robina Town Centre Drive</t>
  </si>
  <si>
    <t>Robina Town Centre Drive;;4230;Robina;Queensland</t>
  </si>
  <si>
    <t>AU0028</t>
  </si>
  <si>
    <t>Canberra Centre</t>
  </si>
  <si>
    <t>Canberra</t>
  </si>
  <si>
    <t>Bunda Street</t>
  </si>
  <si>
    <t>Australian Capital Territory</t>
  </si>
  <si>
    <t>Bunda Street;;2608;Canberra;Australian Capital Territory</t>
  </si>
  <si>
    <t>AU0029</t>
  </si>
  <si>
    <t>Westfield Carousel</t>
  </si>
  <si>
    <t>1382 Albany Highway</t>
  </si>
  <si>
    <t>1382 Albany Highway;;6107;Cannington;Western Australia</t>
  </si>
  <si>
    <t>AU0032</t>
  </si>
  <si>
    <t>Sunshine Plaza</t>
  </si>
  <si>
    <t>Sunshine Coast</t>
  </si>
  <si>
    <t>154-164 Horton Parade</t>
  </si>
  <si>
    <t>154-164 Horton Parade;;4558;Maroochydore;Queensland</t>
  </si>
  <si>
    <t>AU0035</t>
  </si>
  <si>
    <t>The District</t>
  </si>
  <si>
    <t>10:00-17:30</t>
  </si>
  <si>
    <t>429-437 Docklands Drive</t>
  </si>
  <si>
    <t>429-437 Docklands Drive;;3008;Melbourne;Victoria</t>
  </si>
  <si>
    <t>AU0037</t>
  </si>
  <si>
    <t>Narellan Town Centre</t>
  </si>
  <si>
    <t>326 Camden Valley Way</t>
  </si>
  <si>
    <t>326 Camden Valley Way;;2567;Narellan;New South Wales</t>
  </si>
  <si>
    <t>AU0039</t>
  </si>
  <si>
    <t>The Cat &amp; Fiddle Arcade</t>
  </si>
  <si>
    <t>Hobart</t>
  </si>
  <si>
    <t>51 Murray Street</t>
  </si>
  <si>
    <t>Tasmania</t>
  </si>
  <si>
    <t>51 Murray Street;;7000;Hobart;Tasmania</t>
  </si>
  <si>
    <t>AU0041</t>
  </si>
  <si>
    <t>Mandurah Forum</t>
  </si>
  <si>
    <t>330 Pinjarra Road</t>
  </si>
  <si>
    <t>330 Pinjarra Road;;6210;Mandurah;Western Australia</t>
  </si>
  <si>
    <t>AU0043</t>
  </si>
  <si>
    <t>The Glen</t>
  </si>
  <si>
    <t>235 Springvale Road</t>
  </si>
  <si>
    <t>235 Springvale Road;;3150;Glen Waverley;Victoria</t>
  </si>
  <si>
    <t>AU0044</t>
  </si>
  <si>
    <t>Karrinyup</t>
  </si>
  <si>
    <t>200 Karrinyup Road</t>
  </si>
  <si>
    <t>200 Karrinyup Road;;6018;Karrinyup;Western Australia</t>
  </si>
  <si>
    <t>AU0046</t>
  </si>
  <si>
    <t>Northland</t>
  </si>
  <si>
    <t>2-50 Murray Road</t>
  </si>
  <si>
    <t>2-50 Murray Road;;3072;Preston;Victoria</t>
  </si>
  <si>
    <t>AU0048</t>
  </si>
  <si>
    <t>Stockland Green Hills</t>
  </si>
  <si>
    <t>1 Molly Morgan Drive</t>
  </si>
  <si>
    <t>1 Molly Morgan Drive;;2323;East Maitland;New South Wales</t>
  </si>
  <si>
    <t>AU0050</t>
  </si>
  <si>
    <t>Westfield Tuggerah</t>
  </si>
  <si>
    <t>50 Wyong Road</t>
  </si>
  <si>
    <t>50 Wyong Road;;2259;Tuggerah;New South Wales</t>
  </si>
  <si>
    <t>AU0052</t>
  </si>
  <si>
    <t>Westfield Coomera</t>
  </si>
  <si>
    <t>103 Foxwell Rd</t>
  </si>
  <si>
    <t>103 Foxwell Rd;;4209;Coomera;Queensland</t>
  </si>
  <si>
    <t>BA0301</t>
  </si>
  <si>
    <t>Delta Planet</t>
  </si>
  <si>
    <t>Banja Luka</t>
  </si>
  <si>
    <t>Bosnia and Herzegovina</t>
  </si>
  <si>
    <t>BA</t>
  </si>
  <si>
    <t>Bulevar srpske vojske 8/Top L6</t>
  </si>
  <si>
    <t>Delta Planet;Bulevar srpske vojske 8/Top L6;78000;Banja Luka</t>
  </si>
  <si>
    <t>BA0302</t>
  </si>
  <si>
    <t>Bingo City Center</t>
  </si>
  <si>
    <t>Tuzla</t>
  </si>
  <si>
    <t>Mitra TrifunoviÄ‡a 2</t>
  </si>
  <si>
    <t>Bingo City Center;Mitra TrifunoviÄ‡a 2;75000;Tuzla</t>
  </si>
  <si>
    <t>BE0101</t>
  </si>
  <si>
    <t>avenue Louise 24</t>
  </si>
  <si>
    <t>Bruxelles</t>
  </si>
  <si>
    <t>Belgium</t>
  </si>
  <si>
    <t>BE</t>
  </si>
  <si>
    <t>11:00-19:00</t>
  </si>
  <si>
    <t>avenue Louise 24;;1050;Bruxelles</t>
  </si>
  <si>
    <t>BE0202</t>
  </si>
  <si>
    <t>Shopping Center M2</t>
  </si>
  <si>
    <t>Maasmechelen</t>
  </si>
  <si>
    <t>Koninginnelaan 115/6</t>
  </si>
  <si>
    <t>(unknown)</t>
  </si>
  <si>
    <t>Shopping Center M2;Koninginnelaan 115/6;3630;Maasmechelen;(unknown)</t>
  </si>
  <si>
    <t>BE0206</t>
  </si>
  <si>
    <t>Veldstraat 23-27</t>
  </si>
  <si>
    <t>Gent</t>
  </si>
  <si>
    <t>09:30-18:30</t>
  </si>
  <si>
    <t>Area 1</t>
  </si>
  <si>
    <t>Veldstraat 23-27;;9000;Gent;Area 1</t>
  </si>
  <si>
    <t>BE0209</t>
  </si>
  <si>
    <t>Nieuwstraat 27-29</t>
  </si>
  <si>
    <t>Aalst</t>
  </si>
  <si>
    <t>Nieuwstraat 27-29;;9300;Aalst;Area 1</t>
  </si>
  <si>
    <t>BE0214</t>
  </si>
  <si>
    <t>Centre Commercial Cora</t>
  </si>
  <si>
    <t>La LouviÃ¨re</t>
  </si>
  <si>
    <t>Cora Centre Commercial</t>
  </si>
  <si>
    <t>Rue de la Franco-Belge 228</t>
  </si>
  <si>
    <t>Area 3</t>
  </si>
  <si>
    <t>Cora Centre Commercial;Rue de la Franco-Belge 228;7100;La LouviÃ¨re;Area 3</t>
  </si>
  <si>
    <t>BE0217</t>
  </si>
  <si>
    <t>Steenstraat 80</t>
  </si>
  <si>
    <t>Brugge</t>
  </si>
  <si>
    <t>10:00-18:30</t>
  </si>
  <si>
    <t>Steenstraat 80;;8000;Brugge;(unknown)</t>
  </si>
  <si>
    <t>BE0218</t>
  </si>
  <si>
    <t>LiÃ¨ge</t>
  </si>
  <si>
    <t>Centre Commercial Belle-Ile</t>
  </si>
  <si>
    <t>Quai des Vennes 1</t>
  </si>
  <si>
    <t>Area 4</t>
  </si>
  <si>
    <t>Centre Commercial Belle-Ile;Quai des Vennes 1;4020;LiÃ¨ge;Area 4</t>
  </si>
  <si>
    <t>BE0222</t>
  </si>
  <si>
    <t>Arlon</t>
  </si>
  <si>
    <t>Rue dÂ´Arlon 220</t>
  </si>
  <si>
    <t>Rue dÂ´Arlon 220;;6780;Arlon (Messancy);Area 4</t>
  </si>
  <si>
    <t>BE0226</t>
  </si>
  <si>
    <t>Hornu</t>
  </si>
  <si>
    <t>09:30-19:30</t>
  </si>
  <si>
    <t>Route de Mons 163</t>
  </si>
  <si>
    <t>Route de Mons 163;;7301;Hornu;Area 3</t>
  </si>
  <si>
    <t>BE0227</t>
  </si>
  <si>
    <t>Bondgenotenlaan 69</t>
  </si>
  <si>
    <t>Leuven</t>
  </si>
  <si>
    <t>Bontgenotenlaan 69</t>
  </si>
  <si>
    <t>Area 2</t>
  </si>
  <si>
    <t>Bontgenotenlaan 69;;3000;Leuven;Area 2</t>
  </si>
  <si>
    <t>BE0236</t>
  </si>
  <si>
    <t>Ooststraat 76</t>
  </si>
  <si>
    <t>Roeselare</t>
  </si>
  <si>
    <t>Ooststraat 76;;8800;Roeselare;(unknown)</t>
  </si>
  <si>
    <t>BE0237</t>
  </si>
  <si>
    <t>Westland Shopping Center</t>
  </si>
  <si>
    <t>10:00-19:30</t>
  </si>
  <si>
    <t>Boulevard Sylvain Dupuis 433</t>
  </si>
  <si>
    <t>Boulevard Sylvain Dupuis 433;;1070;Brussels;(unknown)</t>
  </si>
  <si>
    <t>BE0239</t>
  </si>
  <si>
    <t>Nieuwstraat 17-21 Rue Neuve</t>
  </si>
  <si>
    <t>Nieuwstraat 17-21 Rue Neuve;;1000;Brussels;(unknown)</t>
  </si>
  <si>
    <t>BE0241</t>
  </si>
  <si>
    <t>Waasland Shopping Center</t>
  </si>
  <si>
    <t>Sint Niklaas</t>
  </si>
  <si>
    <t>Kapelstraat 100</t>
  </si>
  <si>
    <t>Kapelstraat 100;;9100;Sint Niklaas;(unknown)</t>
  </si>
  <si>
    <t>BE0248</t>
  </si>
  <si>
    <t>Feest- en Cultuurpaleis</t>
  </si>
  <si>
    <t>Oostende</t>
  </si>
  <si>
    <t>Wapenplein</t>
  </si>
  <si>
    <t>Witnonnestraat 13</t>
  </si>
  <si>
    <t>Wapenplein;Witnonnestraat 13;8400;Oostende;(unknown)</t>
  </si>
  <si>
    <t>BE0250</t>
  </si>
  <si>
    <t>Meir 89-97</t>
  </si>
  <si>
    <t>Antwerpen</t>
  </si>
  <si>
    <t>Meir 89-97;;2000;Antwerpen;(unknown)</t>
  </si>
  <si>
    <t>BE0251</t>
  </si>
  <si>
    <t>Wijnegem Shopping Center</t>
  </si>
  <si>
    <t>Wijnegem</t>
  </si>
  <si>
    <t>turnhoutsebaan 5</t>
  </si>
  <si>
    <t>turnhoutsebaan 5;;2110;Wijnegem;(unknown)</t>
  </si>
  <si>
    <t>BE0253</t>
  </si>
  <si>
    <t>H&amp;M Namur</t>
  </si>
  <si>
    <t>Namur</t>
  </si>
  <si>
    <t>Rue de l'Ange 24</t>
  </si>
  <si>
    <t>Rue de l'Ange 24;;5000;Namur;Area 4</t>
  </si>
  <si>
    <t>BE0255</t>
  </si>
  <si>
    <t>H&amp;M Den Tir SC</t>
  </si>
  <si>
    <t>Den Tir - Sint Bernardsesteenweg 320</t>
  </si>
  <si>
    <t>Den Tir - Sint Bernardsesteenweg 320;;2020;Antwerpen/Kiel;Area 2</t>
  </si>
  <si>
    <t>BE0256</t>
  </si>
  <si>
    <t>Woluwe Shopping Center</t>
  </si>
  <si>
    <t>Boulevard de la Woluwe 70</t>
  </si>
  <si>
    <t>Boulevard de la Woluwe 70;;1200;Brussels;Area 3</t>
  </si>
  <si>
    <t>BE0257</t>
  </si>
  <si>
    <t>Centre Commercial L'Esplanade</t>
  </si>
  <si>
    <t>Louvain-la-Neuve</t>
  </si>
  <si>
    <t>Place de l'Accueil 10</t>
  </si>
  <si>
    <t>Centre Commercial L'Esplanade;Place de l'Accueil 10;1348;Louvain-la-Neuve;(unknown)</t>
  </si>
  <si>
    <t>BE0265</t>
  </si>
  <si>
    <t>Elsensesteenweg 15-19, ChaussÃ©e d'Ixelles</t>
  </si>
  <si>
    <t>Elsensesteenweg 15-19, ChaussÃ©e d'Ixelles;;1050;Brussels;(unknown)</t>
  </si>
  <si>
    <t>BE0266</t>
  </si>
  <si>
    <t>Genk Shopping 3</t>
  </si>
  <si>
    <t>Genk</t>
  </si>
  <si>
    <t>St-Martinusplein</t>
  </si>
  <si>
    <t>St-Martinusplein;;3600;Genk;(unknown)</t>
  </si>
  <si>
    <t>BE0269</t>
  </si>
  <si>
    <t>Waterloo</t>
  </si>
  <si>
    <t>ChaussÃ©e de Bruxelles 115</t>
  </si>
  <si>
    <t>ChaussÃ©e de Bruxelles 115;;1410;Waterloo;Area 3</t>
  </si>
  <si>
    <t>BE0603</t>
  </si>
  <si>
    <t>Cora Shopping Anderlecht</t>
  </si>
  <si>
    <t>Anderlecht</t>
  </si>
  <si>
    <t>DrÃ¨ve Olympique 15</t>
  </si>
  <si>
    <t>DrÃ¨ve Olympique 15;;1070;Anderlecht;(unknown)</t>
  </si>
  <si>
    <t>BE0604</t>
  </si>
  <si>
    <t>Luikerstraat 51</t>
  </si>
  <si>
    <t>Sint Truiden</t>
  </si>
  <si>
    <t>Luikerstraat 51;;3800;Sint-Truiden;Area 2</t>
  </si>
  <si>
    <t>BE0607</t>
  </si>
  <si>
    <t>Steenpoort 2</t>
  </si>
  <si>
    <t>Kortrijk</t>
  </si>
  <si>
    <t>Steenpoort 2;;8500;Kortrijk;(unknown)</t>
  </si>
  <si>
    <t>BE0609</t>
  </si>
  <si>
    <t>Bruul 42-44</t>
  </si>
  <si>
    <t>Mechelen</t>
  </si>
  <si>
    <t>Bruul 42-44;;2800;Mechelen;Area 1</t>
  </si>
  <si>
    <t>BE0610</t>
  </si>
  <si>
    <t>Grand rue 143</t>
  </si>
  <si>
    <t>Charleroi</t>
  </si>
  <si>
    <t>Grand rue 143;;6000;Charleroi;Area 3</t>
  </si>
  <si>
    <t>BE0611</t>
  </si>
  <si>
    <t>Antwerpsestraat 100</t>
  </si>
  <si>
    <t>Lier</t>
  </si>
  <si>
    <t>Antwerpsestraat 100;;2500;Lier;Area 2</t>
  </si>
  <si>
    <t>BE0616</t>
  </si>
  <si>
    <t>Warande Beveren</t>
  </si>
  <si>
    <t>Beveren</t>
  </si>
  <si>
    <t>Warandestraat 19</t>
  </si>
  <si>
    <t>Warandestraat 19;;9120;Beveren;Area 1</t>
  </si>
  <si>
    <t>BE0618</t>
  </si>
  <si>
    <t>Centre Commercial MÃ©diacitÃ©</t>
  </si>
  <si>
    <t>Centre commercial MÃ©diacitÃ©</t>
  </si>
  <si>
    <t>Boulevard Raymond PoincarÃ© 7/122</t>
  </si>
  <si>
    <t>Centre commercial MÃ©diacitÃ©;Boulevard Raymond PoincarÃ© 7/122;4020;LiÃ¨ge;Area 4</t>
  </si>
  <si>
    <t>BE0622</t>
  </si>
  <si>
    <t>ChaussÃ©e d'Alsemberg 769</t>
  </si>
  <si>
    <t>ChaussÃ©e d'Alsemberg 769;;1080;Bruxelles;Area 3</t>
  </si>
  <si>
    <t>BE0625</t>
  </si>
  <si>
    <t>Langemunt 38</t>
  </si>
  <si>
    <t>Langemunt 38;;9000;Gent;Area 1</t>
  </si>
  <si>
    <t>BE0627</t>
  </si>
  <si>
    <t>Rue de l'Alienau 5</t>
  </si>
  <si>
    <t>Libramont</t>
  </si>
  <si>
    <t>Rue de l'Alienau 5;;6800;Libramont</t>
  </si>
  <si>
    <t>BE0631</t>
  </si>
  <si>
    <t>ChaussÃ©e de Tongres 269-271</t>
  </si>
  <si>
    <t>Rocourt</t>
  </si>
  <si>
    <t>ChaussÃ©e de Tongres 269-271;;4000;LiÃ¨ge;Area 3</t>
  </si>
  <si>
    <t>BE0632</t>
  </si>
  <si>
    <t>Kloosterstraat 5-7</t>
  </si>
  <si>
    <t>Mol</t>
  </si>
  <si>
    <t>Kloosterstraat 5-7;;2400;Mol;Area 2</t>
  </si>
  <si>
    <t>BE0633</t>
  </si>
  <si>
    <t>Botermarkt 32-34</t>
  </si>
  <si>
    <t>Diest</t>
  </si>
  <si>
    <t>Botermarkt 32-34;;3290;Diest;Area 2</t>
  </si>
  <si>
    <t>BE0635</t>
  </si>
  <si>
    <t>Ring Shopping</t>
  </si>
  <si>
    <t>Kuurne</t>
  </si>
  <si>
    <t>Ringlaan 34</t>
  </si>
  <si>
    <t>Ringlaan 34;;8500;Kortrijk;Area 1</t>
  </si>
  <si>
    <t>BE0636</t>
  </si>
  <si>
    <t>ChaussÃ©e de Mons 18</t>
  </si>
  <si>
    <t>Nivelles</t>
  </si>
  <si>
    <t>ChaussÃ©e de Mons 18;;1400;Nivelles;Area 3</t>
  </si>
  <si>
    <t>BE0637</t>
  </si>
  <si>
    <t>Boomsesteenweg 35-37</t>
  </si>
  <si>
    <t>Schelle</t>
  </si>
  <si>
    <t>Boomsesteenweg 35-37;;2627;Schelle;Area 2</t>
  </si>
  <si>
    <t>BE0639</t>
  </si>
  <si>
    <t>Gasthuisstraat 5-7</t>
  </si>
  <si>
    <t>Turnhout</t>
  </si>
  <si>
    <t>Gasthuisstraat 5-7;;2300;Turnhout;Area 2</t>
  </si>
  <si>
    <t>BE0640</t>
  </si>
  <si>
    <t>CÃ©sar Snoecklaan 51</t>
  </si>
  <si>
    <t>Ronse</t>
  </si>
  <si>
    <t>CÃ©sar Snoecklaan 51;;9600;Ronse;Area 1</t>
  </si>
  <si>
    <t>BE0641</t>
  </si>
  <si>
    <t>Lippenslaan 240</t>
  </si>
  <si>
    <t>Knokke</t>
  </si>
  <si>
    <t>Lippenslaan 240;;8300;Knokke;Area 1</t>
  </si>
  <si>
    <t>BE0642</t>
  </si>
  <si>
    <t>Rue Pere Damien 4-6</t>
  </si>
  <si>
    <t>Mouscron</t>
  </si>
  <si>
    <t>Rue Pere Damien 4-6;;7700;Mouscron;Area 3</t>
  </si>
  <si>
    <t>BE0643</t>
  </si>
  <si>
    <t>Rue du Parc Industriel 5/1</t>
  </si>
  <si>
    <t>Marche</t>
  </si>
  <si>
    <t>Rue du Parc Industriel 5/1;;6900;Marche-en-Famenne;Area 4</t>
  </si>
  <si>
    <t>BE0644</t>
  </si>
  <si>
    <t>Antwerpsesteenweg 98</t>
  </si>
  <si>
    <t>Lochristi</t>
  </si>
  <si>
    <t>Antwerpsesteenweg 98;;9080;Lochristi;Area 1</t>
  </si>
  <si>
    <t>BE0646</t>
  </si>
  <si>
    <t>Bondgenotenlaan 51-53</t>
  </si>
  <si>
    <t>Bondgenotenlaan 51-53;;3000;Leuven;Area 2</t>
  </si>
  <si>
    <t>BE0649</t>
  </si>
  <si>
    <t>Place des Grands PrÃ©s Centre Commercial</t>
  </si>
  <si>
    <t>Mons</t>
  </si>
  <si>
    <t>Place des grands prÃ©s 1-B36</t>
  </si>
  <si>
    <t>Place des grands prÃ©s 1-B36;;7000;Mons;Area 3</t>
  </si>
  <si>
    <t>BE0650</t>
  </si>
  <si>
    <t>Oudenaardsestraat 39</t>
  </si>
  <si>
    <t>Geraardsbergen</t>
  </si>
  <si>
    <t>Oudenaardsestraat 39;;9500;Geraardsbergen;Area 1</t>
  </si>
  <si>
    <t>BE0651</t>
  </si>
  <si>
    <t>Krekelmotestraat 62</t>
  </si>
  <si>
    <t>Izegem</t>
  </si>
  <si>
    <t>Krekelmotestraat 62;;8870;Izegem;Area 1</t>
  </si>
  <si>
    <t>BE0652</t>
  </si>
  <si>
    <t>Dorp 25-28 A</t>
  </si>
  <si>
    <t>Lommel</t>
  </si>
  <si>
    <t>Dorp 25-28 A;;3920;Lommel;Area 2</t>
  </si>
  <si>
    <t>BE0653</t>
  </si>
  <si>
    <t>Rue Arnold Delsupexhe 50</t>
  </si>
  <si>
    <t>Herstal</t>
  </si>
  <si>
    <t>Rue Arnold Delsupexhe 50;;4040;Herstal;(unknown)</t>
  </si>
  <si>
    <t>BE0655</t>
  </si>
  <si>
    <t>BE-Mine 12</t>
  </si>
  <si>
    <t>Beringen</t>
  </si>
  <si>
    <t>BE-Mine 12;;3582;Beringen;Area 2</t>
  </si>
  <si>
    <t>BE0656</t>
  </si>
  <si>
    <t>Kapellen Promenade Shopping Center</t>
  </si>
  <si>
    <t>Kapellen</t>
  </si>
  <si>
    <t>Antwerpsesteenweg 39</t>
  </si>
  <si>
    <t>Antwerpsesteenweg 39;;2950;Kapellen;Area 2</t>
  </si>
  <si>
    <t>BE0657</t>
  </si>
  <si>
    <t>Leysstraat 12-16</t>
  </si>
  <si>
    <t>Leysstraat 12-16;;2000;Antwerpen;Area 2</t>
  </si>
  <si>
    <t>BE0659</t>
  </si>
  <si>
    <t>Basilix Shopping Center</t>
  </si>
  <si>
    <t>Avenue Charles Quint 420</t>
  </si>
  <si>
    <t>Avenue Charles Quint 420;;1082;Bruxelles;Area 3</t>
  </si>
  <si>
    <t>BE0660</t>
  </si>
  <si>
    <t>Rue de la Taverne de Maire 8</t>
  </si>
  <si>
    <t>Froyennes</t>
  </si>
  <si>
    <t>Rue de la Taverne de Maire 8;;7503;Froyennes;Area 3</t>
  </si>
  <si>
    <t>BE0662</t>
  </si>
  <si>
    <t>Rue de Herbesthal 203</t>
  </si>
  <si>
    <t>Eupen</t>
  </si>
  <si>
    <t>Rue de Herbesthal 203;;4700;Eupen</t>
  </si>
  <si>
    <t>BE0663</t>
  </si>
  <si>
    <t>Docks Shopping Center</t>
  </si>
  <si>
    <t>Boulevard Lambermont 1</t>
  </si>
  <si>
    <t>Boulevard Lambermont 1;;1000;Bruxelles;Area 3</t>
  </si>
  <si>
    <t>BE0666</t>
  </si>
  <si>
    <t>Rue des Archers, Area 3</t>
  </si>
  <si>
    <t>Soignies</t>
  </si>
  <si>
    <t>Rue des Archers, Area 3;;7060;Soignies;Area 3</t>
  </si>
  <si>
    <t>BE0667</t>
  </si>
  <si>
    <t>Gelatineboulevard 2/0.01</t>
  </si>
  <si>
    <t>Hasselt</t>
  </si>
  <si>
    <t>Gelatineboulevard 2/0.01;;3500;Hasselt;Area 2</t>
  </si>
  <si>
    <t>BE0676</t>
  </si>
  <si>
    <t>Place verte 20</t>
  </si>
  <si>
    <t>Place verte 20;;6000;Charleroi</t>
  </si>
  <si>
    <t>BE0677</t>
  </si>
  <si>
    <t>Lammerdries - Winkelstraat 4</t>
  </si>
  <si>
    <t>Olen</t>
  </si>
  <si>
    <t>Winkelunit A1.C</t>
  </si>
  <si>
    <t>Lammerdries - Winkelstraat 4;Winkelunit A1.C;2250;Olen;(unknown)</t>
  </si>
  <si>
    <t>BE0680</t>
  </si>
  <si>
    <t>Boulevard Walter de Marvis 22</t>
  </si>
  <si>
    <t>Tournai</t>
  </si>
  <si>
    <t>Boulevard Walter de Marvis 22;;7500;Tournai;(unknown)</t>
  </si>
  <si>
    <t>BG0501</t>
  </si>
  <si>
    <t>The Mall Sofia</t>
  </si>
  <si>
    <t>Sofia</t>
  </si>
  <si>
    <t>Bulgaria</t>
  </si>
  <si>
    <t>BG</t>
  </si>
  <si>
    <t>13:00-20:00</t>
  </si>
  <si>
    <t>115 Tsarigradsko Shose  Blvd.</t>
  </si>
  <si>
    <t>The Mall Sofia;115 Tsarigradsko Shose  Blvd.;1784;Sofia</t>
  </si>
  <si>
    <t>BG0502</t>
  </si>
  <si>
    <t>Grand Mall Varna</t>
  </si>
  <si>
    <t>Varna</t>
  </si>
  <si>
    <t>2 Andrey Saharov Str.</t>
  </si>
  <si>
    <t>Grand Mall Varna;2 Andrey Saharov Str.;9000;Varna</t>
  </si>
  <si>
    <t>BG0503</t>
  </si>
  <si>
    <t>Serdika Center</t>
  </si>
  <si>
    <t>12:00-20:00</t>
  </si>
  <si>
    <t>48 Sitniakovo  Blvd.</t>
  </si>
  <si>
    <t>Serdika Center;48 Sitniakovo  Blvd.;1505;Sofia</t>
  </si>
  <si>
    <t>BG0504</t>
  </si>
  <si>
    <t>Mall Galleria Burgas</t>
  </si>
  <si>
    <t>Burgas</t>
  </si>
  <si>
    <t>6 Yanko Komitov Blvd.</t>
  </si>
  <si>
    <t>Mall Galleria Burgas;6 Yanko Komitov Blvd.;8000;Burgas</t>
  </si>
  <si>
    <t>BG0505</t>
  </si>
  <si>
    <t>Bulgaria Mall</t>
  </si>
  <si>
    <t>69 Bulgaria  Blvd.</t>
  </si>
  <si>
    <t>Bulgaria Mall;69 Bulgaria  Blvd.;1000;Sofia</t>
  </si>
  <si>
    <t>BG0506</t>
  </si>
  <si>
    <t>Mall Plovdiv</t>
  </si>
  <si>
    <t>Plovdiv</t>
  </si>
  <si>
    <t>8 Perushtitsa  Str.</t>
  </si>
  <si>
    <t>Mall Plovdiv;8 Perushtitsa  Str.;4002;Plovdiv</t>
  </si>
  <si>
    <t>BG0507</t>
  </si>
  <si>
    <t>Paradise Center</t>
  </si>
  <si>
    <t>100 Cherni vrah  Blvd.</t>
  </si>
  <si>
    <t>Paradise Center;100 Cherni vrah  Blvd.;1000;Sofia</t>
  </si>
  <si>
    <t>BG0508</t>
  </si>
  <si>
    <t>Mall Of Sofia</t>
  </si>
  <si>
    <t>11:00-18:00</t>
  </si>
  <si>
    <t>11:00-20:00</t>
  </si>
  <si>
    <t>101 Aleksandar Stamboliyski blvd.</t>
  </si>
  <si>
    <t>Mall Of Sofia;101 Aleksandar Stamboliyski blvd.;1303;Sofia</t>
  </si>
  <si>
    <t>BG0510</t>
  </si>
  <si>
    <t>Mall Galleria</t>
  </si>
  <si>
    <t>Stara Zagora</t>
  </si>
  <si>
    <t>30 Han Asparuh  Str.</t>
  </si>
  <si>
    <t>Mall Galleria;30 Han Asparuh  Str.;6000;Stara Zagora</t>
  </si>
  <si>
    <t>BG0511</t>
  </si>
  <si>
    <t>Ring Mall</t>
  </si>
  <si>
    <t>210 Okolovrasten pat  Str.</t>
  </si>
  <si>
    <t>Ring Mall;210 Okolovrasten pat  Str.;1797;Sofia</t>
  </si>
  <si>
    <t>BG0512</t>
  </si>
  <si>
    <t>6 Vitosha  Blvd.</t>
  </si>
  <si>
    <t>6 Vitosha  Blvd.;;1000;Sofia</t>
  </si>
  <si>
    <t>BG0513</t>
  </si>
  <si>
    <t>Mega Mall</t>
  </si>
  <si>
    <t>15 Tsaritsa Yoanna Blvd.</t>
  </si>
  <si>
    <t>Mega Mall;15 Tsaritsa Yoanna Blvd.;1324;Sofia</t>
  </si>
  <si>
    <t>BG0514</t>
  </si>
  <si>
    <t>Mall Ruse</t>
  </si>
  <si>
    <t>Russe</t>
  </si>
  <si>
    <t>121 Lipnik  Blvd.</t>
  </si>
  <si>
    <t>Mall Ruse;121 Lipnik  Blvd.;7005;Rousse</t>
  </si>
  <si>
    <t>BG0515</t>
  </si>
  <si>
    <t>Panorama Mall</t>
  </si>
  <si>
    <t>Pleven</t>
  </si>
  <si>
    <t>1 Ivan Mendilikov  Str.</t>
  </si>
  <si>
    <t>Panorama Mall;1 Ivan Mendilikov  Str.;5800;Pleven</t>
  </si>
  <si>
    <t>BG0516</t>
  </si>
  <si>
    <t>Mall Veliko Tarnovo</t>
  </si>
  <si>
    <t>Veliko Tarnovo</t>
  </si>
  <si>
    <t>18 Oborishte Str.</t>
  </si>
  <si>
    <t>Mall Veliko Tarnovo;18 Oborishte Str.;5000;Veliko Tarnovo</t>
  </si>
  <si>
    <t>BG0517</t>
  </si>
  <si>
    <t>Largo Mall</t>
  </si>
  <si>
    <t>Blagoevgrad</t>
  </si>
  <si>
    <t>ÑƒÐ». "Ð¢Ð¾Ð´Ð¾Ñ€ ÐÐ»ÐµÐºÑÐ°Ð½Ð´Ñ€Ð¾Ð²" 2</t>
  </si>
  <si>
    <t>Largo Mall;ÑƒÐ». "Ð¢Ð¾Ð´Ð¾Ñ€ ÐÐ»ÐµÐºÑÐ°Ð½Ð´Ñ€Ð¾Ð²" 2;2700;Ð‘Ð»Ð°Ð³Ð¾ÐµÐ²Ð³Ñ€Ð°Ð´</t>
  </si>
  <si>
    <t>BG0519</t>
  </si>
  <si>
    <t>1A Tsar Osvoboditel Str.</t>
  </si>
  <si>
    <t>Sliven</t>
  </si>
  <si>
    <t>1A Tsar Osvoboditel Str.;;8800;Sliven</t>
  </si>
  <si>
    <t>BG0520</t>
  </si>
  <si>
    <t>11 Knyaz Alexander I Str.</t>
  </si>
  <si>
    <t>11 Knyaz Alexander I Str.;;4000;Plovdiv</t>
  </si>
  <si>
    <t>BG0522</t>
  </si>
  <si>
    <t>Mall Plovdiv Plaza</t>
  </si>
  <si>
    <t>3 Dr. Georgi Stranski Str</t>
  </si>
  <si>
    <t>Mall Plovdiv Plaza;3 Dr. Georgi Stranski Str;4006;Plovdiv</t>
  </si>
  <si>
    <t>BH0235</t>
  </si>
  <si>
    <t>Seef Mall</t>
  </si>
  <si>
    <t>Manama</t>
  </si>
  <si>
    <t>Bahrain</t>
  </si>
  <si>
    <t>BH</t>
  </si>
  <si>
    <t>Seef Mall;;Al Manama;Al Manama</t>
  </si>
  <si>
    <t>BH0549</t>
  </si>
  <si>
    <t>Al Muharraq Mall</t>
  </si>
  <si>
    <t>Muharraq</t>
  </si>
  <si>
    <t>Al Muharraq Mall;;x</t>
  </si>
  <si>
    <t>BH0993</t>
  </si>
  <si>
    <t>Bahrain City Centre</t>
  </si>
  <si>
    <t>Bahrain City Centre;;Al Manama;Al Manama</t>
  </si>
  <si>
    <t>BH1043</t>
  </si>
  <si>
    <t>King Faisal Highway</t>
  </si>
  <si>
    <t>King Faisal Highway;;x</t>
  </si>
  <si>
    <t>BY0001</t>
  </si>
  <si>
    <t>SC Galeria Minsk</t>
  </si>
  <si>
    <t>Minsk</t>
  </si>
  <si>
    <t>Belarus</t>
  </si>
  <si>
    <t>BY</t>
  </si>
  <si>
    <t>Prospekt Pobeditelei 9</t>
  </si>
  <si>
    <t>SC Galeria Minsk;Prospekt Pobeditelei 9;220004;Minsk</t>
  </si>
  <si>
    <t>BY0002</t>
  </si>
  <si>
    <t>SC Palazzo</t>
  </si>
  <si>
    <t>Timiryazeva, 74A</t>
  </si>
  <si>
    <t>SC Palazzo;Timiryazeva, 74A;220035;Minsk</t>
  </si>
  <si>
    <t>BY0003</t>
  </si>
  <si>
    <t>SC TRINITI</t>
  </si>
  <si>
    <t>Grodno</t>
  </si>
  <si>
    <t>Yanki Kupaly prospekt, 87</t>
  </si>
  <si>
    <t>SC TRINITI;Yanki Kupaly prospekt, 87;230026;Grodno</t>
  </si>
  <si>
    <t>CA0001</t>
  </si>
  <si>
    <t>Toronto Eaton Centre</t>
  </si>
  <si>
    <t>Toronto</t>
  </si>
  <si>
    <t>Canada</t>
  </si>
  <si>
    <t>CA</t>
  </si>
  <si>
    <t>1 Dundas Street West</t>
  </si>
  <si>
    <t>ON</t>
  </si>
  <si>
    <t>1 Dundas Street West;;M5G 1Z3;Toronto;ON</t>
  </si>
  <si>
    <t>CA0002</t>
  </si>
  <si>
    <t>Markville Shopping Centre</t>
  </si>
  <si>
    <t>5000 Highway 7 East #E008</t>
  </si>
  <si>
    <t>5000 Highway 7 East #E008;;L3R 4M9;Markham;ON</t>
  </si>
  <si>
    <t>CA0003</t>
  </si>
  <si>
    <t>Fairview Mall</t>
  </si>
  <si>
    <t>1800 Sheppard Ave. East</t>
  </si>
  <si>
    <t>1800 Sheppard Ave. East;;M2J 5A7;Toronto;ON</t>
  </si>
  <si>
    <t>CA0004</t>
  </si>
  <si>
    <t>The Promenade Shopping Centre</t>
  </si>
  <si>
    <t>1 Promenade Circle</t>
  </si>
  <si>
    <t>1 Promenade Circle;;L4J 4P8;Thornhill;ON</t>
  </si>
  <si>
    <t>CA0005</t>
  </si>
  <si>
    <t>Vaughan Mills</t>
  </si>
  <si>
    <t>1 Bass Pro Mills Drive</t>
  </si>
  <si>
    <t>1 Bass Pro Mills Drive;;L4K 2M9;Vaughan;ON</t>
  </si>
  <si>
    <t>CA0006</t>
  </si>
  <si>
    <t>Bloor Street West</t>
  </si>
  <si>
    <t>13-15 Bloor Street West</t>
  </si>
  <si>
    <t>13-15 Bloor Street West;;M4W 1A3;Toronto;ON</t>
  </si>
  <si>
    <t>CA0007</t>
  </si>
  <si>
    <t>Yorkdale Shopping Centre</t>
  </si>
  <si>
    <t>1 Yorkdale Road</t>
  </si>
  <si>
    <t>1 Yorkdale Road;;M6G 3A1;Toronto;ON</t>
  </si>
  <si>
    <t>CA0008</t>
  </si>
  <si>
    <t>Oakville Place</t>
  </si>
  <si>
    <t>Oakville</t>
  </si>
  <si>
    <t>240 Leighland Avenue</t>
  </si>
  <si>
    <t>240 Leighland Avenue;;L6H 3H6;Oakville;ON</t>
  </si>
  <si>
    <t>CA0009</t>
  </si>
  <si>
    <t>Square One Shopping Centre</t>
  </si>
  <si>
    <t>Mississauga</t>
  </si>
  <si>
    <t>100 City Centre Drive</t>
  </si>
  <si>
    <t>100 City Centre Drive;;L5B 2C9;Mississauga;ON</t>
  </si>
  <si>
    <t>CA0010</t>
  </si>
  <si>
    <t>Erin Mills Town Centre</t>
  </si>
  <si>
    <t>5100 Erin Mills Park Way</t>
  </si>
  <si>
    <t>5100 Erin Mills Park Way;;L5M 4Z5;Mississauga;ON</t>
  </si>
  <si>
    <t>CA0011</t>
  </si>
  <si>
    <t>Scarborough Town Centre</t>
  </si>
  <si>
    <t>Scarborough</t>
  </si>
  <si>
    <t>300 Borough Drive</t>
  </si>
  <si>
    <t>300 Borough Drive;;M1P 4P5;Scarborough;ON</t>
  </si>
  <si>
    <t>CA0012</t>
  </si>
  <si>
    <t>1100 Ste. Catherine St. West at Peel</t>
  </si>
  <si>
    <t>Montreal</t>
  </si>
  <si>
    <t>1100 Saint-Catherine St W</t>
  </si>
  <si>
    <t>QC</t>
  </si>
  <si>
    <t>1100 Saint-Catherine St W;;H3B 1H4;Montreal;QC</t>
  </si>
  <si>
    <t>CA0014</t>
  </si>
  <si>
    <t>Fairview Pointe Claire</t>
  </si>
  <si>
    <t>6801 Trans-Canada Highway Unit #K014C</t>
  </si>
  <si>
    <t>6801 Trans-Canada Highway Unit #K014C;;H9R 5J1;Montreal;QC</t>
  </si>
  <si>
    <t>CA0015</t>
  </si>
  <si>
    <t>Galeries d'Anjou</t>
  </si>
  <si>
    <t>7999 Galeries d'Anjou Boulevard, Unit #B005A</t>
  </si>
  <si>
    <t>7999 Galeries d'Anjou Boulevard, Unit #B005A;;H1M 1W9;Ville d'Anjou;QC</t>
  </si>
  <si>
    <t>CA0016</t>
  </si>
  <si>
    <t>Georgian Mall</t>
  </si>
  <si>
    <t>Barrie</t>
  </si>
  <si>
    <t>509 Bayfield Street</t>
  </si>
  <si>
    <t>509 Bayfield Street;;L4M 4Z8;Barrie;ON</t>
  </si>
  <si>
    <t>CA0017</t>
  </si>
  <si>
    <t>Champlain Mall</t>
  </si>
  <si>
    <t>10:00-20:30</t>
  </si>
  <si>
    <t>2151 LapiniÃ¨re Boulevard</t>
  </si>
  <si>
    <t>2151 LapiniÃ¨re Boulevard;;J4W 2T5;Brossard;QC</t>
  </si>
  <si>
    <t>CA0018</t>
  </si>
  <si>
    <t>Upper Canada Mall</t>
  </si>
  <si>
    <t>Newmarket</t>
  </si>
  <si>
    <t>17600 Yonge Street</t>
  </si>
  <si>
    <t>17600 Yonge Street;;L3Y 4Z1;Newmarket;ON</t>
  </si>
  <si>
    <t>CA0019</t>
  </si>
  <si>
    <t>Rockland Centre</t>
  </si>
  <si>
    <t>2305 Rockland Road</t>
  </si>
  <si>
    <t>2305 Rockland Road;;H3P 3E9;Montreal;QC</t>
  </si>
  <si>
    <t>CA0022</t>
  </si>
  <si>
    <t>Place RosemÃ¨re</t>
  </si>
  <si>
    <t>401 Labelle Boulevard</t>
  </si>
  <si>
    <t>401 Labelle Boulevard;;J7A 3T2;RosemÃ¨re;QC</t>
  </si>
  <si>
    <t>CA0025</t>
  </si>
  <si>
    <t>Pickering Town Centre</t>
  </si>
  <si>
    <t>Pickering</t>
  </si>
  <si>
    <t>1355 Kingston Road</t>
  </si>
  <si>
    <t>1355 Kingston Road;;L1V 1B8;Pickering;ON</t>
  </si>
  <si>
    <t>CA0026</t>
  </si>
  <si>
    <t>Pen Centre</t>
  </si>
  <si>
    <t>St. Catharines</t>
  </si>
  <si>
    <t>221 Glendale Avenue</t>
  </si>
  <si>
    <t>221 Glendale Avenue;;L2T 2K9;St. Catherines;ON</t>
  </si>
  <si>
    <t>CA0027</t>
  </si>
  <si>
    <t>Dufferin Mall</t>
  </si>
  <si>
    <t>900 Dufferin Street</t>
  </si>
  <si>
    <t>900 Dufferin Street;;M6H 4B1;Toronto;ON</t>
  </si>
  <si>
    <t>CA0028</t>
  </si>
  <si>
    <t>Devonshire Mall</t>
  </si>
  <si>
    <t>Windsor</t>
  </si>
  <si>
    <t>3100 Howard Avenue</t>
  </si>
  <si>
    <t>3100 Howard Avenue;;N8X 3Y8;Windsor;ON</t>
  </si>
  <si>
    <t>CA0029</t>
  </si>
  <si>
    <t>White Oaks Mall</t>
  </si>
  <si>
    <t>London</t>
  </si>
  <si>
    <t>1105 Wellington Road</t>
  </si>
  <si>
    <t>1105 Wellington Road;;N6E 1V4;London;ON</t>
  </si>
  <si>
    <t>CA0030</t>
  </si>
  <si>
    <t>Coquitlam Centre</t>
  </si>
  <si>
    <t>Coquitlam</t>
  </si>
  <si>
    <t>2929 Barnet Highway, Unit #2860</t>
  </si>
  <si>
    <t>BC</t>
  </si>
  <si>
    <t>2929 Barnet Highway, Unit #2860;;V3B 5R5;Coquitlam;BC</t>
  </si>
  <si>
    <t>CA0031</t>
  </si>
  <si>
    <t>Queen Street West</t>
  </si>
  <si>
    <t>427-429 Queen Street West</t>
  </si>
  <si>
    <t>427-429 Queen Street West;;M5V 2A5;Toronto;ON</t>
  </si>
  <si>
    <t>CA0033</t>
  </si>
  <si>
    <t>Lime Ridge Mall</t>
  </si>
  <si>
    <t>Hamilton</t>
  </si>
  <si>
    <t>99 Upper Wentworth Street</t>
  </si>
  <si>
    <t>99 Upper Wentworth Street;;L9A 4X5;Hamilton;ON</t>
  </si>
  <si>
    <t>CA0036</t>
  </si>
  <si>
    <t>West Edmonton Mall</t>
  </si>
  <si>
    <t>Edmonton</t>
  </si>
  <si>
    <t>8882-170 Street, Unit #2557</t>
  </si>
  <si>
    <t>AB</t>
  </si>
  <si>
    <t>8882-170 Street, Unit #2557;;T5T 4M2;Edmonton;AB</t>
  </si>
  <si>
    <t>CA0037</t>
  </si>
  <si>
    <t>The Pacific Centre</t>
  </si>
  <si>
    <t>Vancouver</t>
  </si>
  <si>
    <t>609 Granville St. Unit G028</t>
  </si>
  <si>
    <t>609 Granville St. Unit G028;;V7Y 1G5;Vancouver;BC</t>
  </si>
  <si>
    <t>CA0039</t>
  </si>
  <si>
    <t>Galeries de la Capitale</t>
  </si>
  <si>
    <t>Quebec</t>
  </si>
  <si>
    <t>5401 Galeries Blvd, Unit #106</t>
  </si>
  <si>
    <t>5401 Galeries Blvd, Unit #106;;G2K 1N4;Quebec;QC</t>
  </si>
  <si>
    <t>CA0040</t>
  </si>
  <si>
    <t>2700 boulevard Laurier UnitÃ© 24</t>
  </si>
  <si>
    <t>QuÃ©bec</t>
  </si>
  <si>
    <t>2700 boulevard Laurier UnitÃ© 24;;G1V 2L8;Sainte-Foy;QuÃ©bec</t>
  </si>
  <si>
    <t>CA0041</t>
  </si>
  <si>
    <t>CrossIron Mills</t>
  </si>
  <si>
    <t>Rockyview</t>
  </si>
  <si>
    <t>261055 CrossIron Blvd</t>
  </si>
  <si>
    <t>261055 CrossIron Blvd;;T4A 0G3;Rockyview;AB</t>
  </si>
  <si>
    <t>CA0042</t>
  </si>
  <si>
    <t>Carrefour de L'estrie</t>
  </si>
  <si>
    <t>Sherbrooke</t>
  </si>
  <si>
    <t>09:30-17:30</t>
  </si>
  <si>
    <t>3050 Portland Blvd</t>
  </si>
  <si>
    <t>3050 Portland Blvd;;J1L 1K1;Sherbrooke;QC</t>
  </si>
  <si>
    <t>CA0047</t>
  </si>
  <si>
    <t>Bower Place</t>
  </si>
  <si>
    <t>Red Deer</t>
  </si>
  <si>
    <t>4900 Molly Banister Dr.</t>
  </si>
  <si>
    <t>4900 Molly Banister Dr.;;T4R 1N9;Red Deer;AB</t>
  </si>
  <si>
    <t>CA0049</t>
  </si>
  <si>
    <t>Champlain Place</t>
  </si>
  <si>
    <t>Dieppe</t>
  </si>
  <si>
    <t>477 Paul St.</t>
  </si>
  <si>
    <t>NB</t>
  </si>
  <si>
    <t>477 Paul St.;;E1A 4X5;Dieppe;NB</t>
  </si>
  <si>
    <t>CA0050</t>
  </si>
  <si>
    <t>Halifax Shopping Centre</t>
  </si>
  <si>
    <t>Halifax</t>
  </si>
  <si>
    <t>12:00-17:00</t>
  </si>
  <si>
    <t>7001 Mumford Road Unit# 0235</t>
  </si>
  <si>
    <t>NS</t>
  </si>
  <si>
    <t>7001 Mumford Road Unit# 0235;;B3L 4N9;Halifax;NS</t>
  </si>
  <si>
    <t>CA0051</t>
  </si>
  <si>
    <t>Mapleview Shopping Centre</t>
  </si>
  <si>
    <t>Burlington</t>
  </si>
  <si>
    <t>900 Maple Avenue</t>
  </si>
  <si>
    <t>900 Maple Avenue;;L7S 2J8;Burlington;ON</t>
  </si>
  <si>
    <t>CA0052</t>
  </si>
  <si>
    <t>Heartland Town Centre</t>
  </si>
  <si>
    <t>5950 Rodeo Drive, Unit #2A</t>
  </si>
  <si>
    <t>5950 Rodeo Drive, Unit #2A;;L5R 3V6;Mississauga;ON</t>
  </si>
  <si>
    <t>CA0053</t>
  </si>
  <si>
    <t>Galeries Joliette</t>
  </si>
  <si>
    <t>Joliette</t>
  </si>
  <si>
    <t>1075 Firestone Blvd</t>
  </si>
  <si>
    <t>1075 Firestone Blvd;;J6E 6X6;Joliette;QC</t>
  </si>
  <si>
    <t>CA0055</t>
  </si>
  <si>
    <t>South Edmonton Common</t>
  </si>
  <si>
    <t>1404 Parsons Rd</t>
  </si>
  <si>
    <t>1404 Parsons Rd;;T6N 0B5;Edmonton;AB</t>
  </si>
  <si>
    <t>CA0056</t>
  </si>
  <si>
    <t>The Core</t>
  </si>
  <si>
    <t>Calgary</t>
  </si>
  <si>
    <t>510 8th Avenue SW Unit S305/S405</t>
  </si>
  <si>
    <t>510 8th Avenue SW Unit S305/S405;;T2P 4H9;Calgary;AB</t>
  </si>
  <si>
    <t>CA0059</t>
  </si>
  <si>
    <t>Metropolis at Metrotown</t>
  </si>
  <si>
    <t>Burnaby</t>
  </si>
  <si>
    <t>4720 Kingsway, Unit# M5</t>
  </si>
  <si>
    <t>4720 Kingsway, Unit# M5;;V5H 4J2;Burnaby;BC</t>
  </si>
  <si>
    <t>CA0060</t>
  </si>
  <si>
    <t>Bramalea City Centre</t>
  </si>
  <si>
    <t>Brampton</t>
  </si>
  <si>
    <t>25 Peel Centre Drive, Unit 617</t>
  </si>
  <si>
    <t>25 Peel Centre Drive, Unit 617;;L6T 3R5;Brampton;ON</t>
  </si>
  <si>
    <t>CA0061</t>
  </si>
  <si>
    <t>Conestoga Mall</t>
  </si>
  <si>
    <t>550 King Street North</t>
  </si>
  <si>
    <t>550 King Street North;;N2L 5W6;Waterloo;ON</t>
  </si>
  <si>
    <t>CA0062</t>
  </si>
  <si>
    <t>Lansdowne Place</t>
  </si>
  <si>
    <t>Peterborough</t>
  </si>
  <si>
    <t>645 Lansdowne Street West</t>
  </si>
  <si>
    <t>645 Lansdowne Street West;;K9J 7Y5;Peterborough;ON</t>
  </si>
  <si>
    <t>CA0063</t>
  </si>
  <si>
    <t>Place dâ€™Orleans Shopping Centre</t>
  </si>
  <si>
    <t>Ottawa</t>
  </si>
  <si>
    <t>110 Place dâ€™Orleans Drive</t>
  </si>
  <si>
    <t>110 Place dâ€™Orleans Drive;;K1C 2L9;K1C 2L9;ON</t>
  </si>
  <si>
    <t>CA0064</t>
  </si>
  <si>
    <t>The Polo Park Shopping Centre</t>
  </si>
  <si>
    <t>Winnipeg</t>
  </si>
  <si>
    <t>1485 Portage Avenue, Unit #172</t>
  </si>
  <si>
    <t>MB</t>
  </si>
  <si>
    <t>1485 Portage Avenue, Unit #172;;R3G 0W4;Winnipeg;MB</t>
  </si>
  <si>
    <t>CA0067</t>
  </si>
  <si>
    <t>Cataraqui Town Centre</t>
  </si>
  <si>
    <t>Kingston</t>
  </si>
  <si>
    <t>945 Gardiners Road, Unit #Y007</t>
  </si>
  <si>
    <t>945 Gardiners Road, Unit #Y007;;K7M 7H4;Kingston;ON</t>
  </si>
  <si>
    <t>CA0070</t>
  </si>
  <si>
    <t>Guildford Town Centre</t>
  </si>
  <si>
    <t>Surrey</t>
  </si>
  <si>
    <t>10355-152nd Street, Suite 1095</t>
  </si>
  <si>
    <t>10355-152nd Street, Suite 1095;;V3R7C1;Surrey;BC</t>
  </si>
  <si>
    <t>CA0071</t>
  </si>
  <si>
    <t>Chinook Centre</t>
  </si>
  <si>
    <t>6455 Macleod Trail South, Unit L004B</t>
  </si>
  <si>
    <t>6455 Macleod Trail South, Unit L004B;;T2H 0K8;Calgary;AB</t>
  </si>
  <si>
    <t>CA0072</t>
  </si>
  <si>
    <t>High Street</t>
  </si>
  <si>
    <t>Abbotsford</t>
  </si>
  <si>
    <t>3122 Mt. Lehman Road</t>
  </si>
  <si>
    <t>3122 Mt. Lehman Road;;V2T 0C5;Abbotsford;BC</t>
  </si>
  <si>
    <t>CA0073</t>
  </si>
  <si>
    <t>Bayshore Shopping Centre</t>
  </si>
  <si>
    <t>100 Bayshore Drive</t>
  </si>
  <si>
    <t>100 Bayshore Drive;;K2B 8C1;Ottawa;ON</t>
  </si>
  <si>
    <t>CA0074</t>
  </si>
  <si>
    <t>Promenades St-Bruno</t>
  </si>
  <si>
    <t>Saint-Bruno-de-Montarville</t>
  </si>
  <si>
    <t>189 boulevard des Promenades, Unit B-006A and B-006B</t>
  </si>
  <si>
    <t>189 boulevard des Promenades, Unit B-006A and B-006B;;J3V 5K2;St-Bruno;QC</t>
  </si>
  <si>
    <t>CA0075</t>
  </si>
  <si>
    <t>Uptown</t>
  </si>
  <si>
    <t>3671 Uptown Boulevard Unit#117</t>
  </si>
  <si>
    <t>3671 Uptown Boulevard Unit#117;;V8Z 0B9;Victoria;BC</t>
  </si>
  <si>
    <t>CA0076</t>
  </si>
  <si>
    <t>Sherway Gardens</t>
  </si>
  <si>
    <t>Etobicoke</t>
  </si>
  <si>
    <t>25 The West Mall, Suite 3010</t>
  </si>
  <si>
    <t>25 The West Mall, Suite 3010;;M9C 1B8;Etobicoke;ON</t>
  </si>
  <si>
    <t>CA0077</t>
  </si>
  <si>
    <t>Richmond Centre</t>
  </si>
  <si>
    <t>Richmond</t>
  </si>
  <si>
    <t>2236-6060 Minoru Blvd.</t>
  </si>
  <si>
    <t>2236-6060 Minoru Blvd.;;V6Y 2V7;Richmond;BC</t>
  </si>
  <si>
    <t>CA0079</t>
  </si>
  <si>
    <t>H&amp;M Lambton Mall</t>
  </si>
  <si>
    <t>Sarnia</t>
  </si>
  <si>
    <t>1380 London Road, Unit#30</t>
  </si>
  <si>
    <t>1380 London Road, Unit#30;;N7S 1P8;Sarnia;ON</t>
  </si>
  <si>
    <t>CA0080</t>
  </si>
  <si>
    <t>Station Mall</t>
  </si>
  <si>
    <t>Sault Sainte-Marie</t>
  </si>
  <si>
    <t>293 Bay Street, Unit D6-D7</t>
  </si>
  <si>
    <t>293 Bay Street, Unit D6-D7;;P6A 1X3;Sault Sainte-Marie;ON</t>
  </si>
  <si>
    <t>CA0081</t>
  </si>
  <si>
    <t>Stone Road Mall</t>
  </si>
  <si>
    <t>Guelph</t>
  </si>
  <si>
    <t>435 Stone Road West, Unit#D02</t>
  </si>
  <si>
    <t>435 Stone Road West, Unit#D02;;N1G 2X6;Guelph;ON</t>
  </si>
  <si>
    <t>CA0082</t>
  </si>
  <si>
    <t>3035 Boulevard le Carrefour</t>
  </si>
  <si>
    <t>Laval</t>
  </si>
  <si>
    <t>3035 Boulevard le Carrefour;;H7T 1C8;Laval;QC</t>
  </si>
  <si>
    <t>CA0083</t>
  </si>
  <si>
    <t>Carrefour Angrignon</t>
  </si>
  <si>
    <t>La Salle</t>
  </si>
  <si>
    <t>7077 Boulevard Newman, Unit 00430</t>
  </si>
  <si>
    <t>7077 Boulevard Newman, Unit 00430;;H8N1X1;LaSalle;QC</t>
  </si>
  <si>
    <t>CA0084</t>
  </si>
  <si>
    <t>Place du Royaume</t>
  </si>
  <si>
    <t>Chicoutimi</t>
  </si>
  <si>
    <t>1401 boul. Talbot, Unit 240</t>
  </si>
  <si>
    <t>1401 boul. Talbot, Unit 240;1401 boul. Talbot, Unit 240;G7H 4C1;Chicoutimi;QC</t>
  </si>
  <si>
    <t>CA0085</t>
  </si>
  <si>
    <t>Rideau Center</t>
  </si>
  <si>
    <t>50 Rideau St, Unit E107B</t>
  </si>
  <si>
    <t>50 Rideau St, Unit E107B;;ON K1N 9J7;Ottawa;ON</t>
  </si>
  <si>
    <t>CA0086</t>
  </si>
  <si>
    <t>Les Promenades Gatineau</t>
  </si>
  <si>
    <t>Gatineau</t>
  </si>
  <si>
    <t>1100 Boulevard Maloney Ouest, Unit 520</t>
  </si>
  <si>
    <t>1100 Boulevard Maloney Ouest, Unit 520;;J8T 6G3;Gatineau;QC</t>
  </si>
  <si>
    <t>CA0087</t>
  </si>
  <si>
    <t>Galeries Rive Nord</t>
  </si>
  <si>
    <t>Repentigny</t>
  </si>
  <si>
    <t>100 Boulevard Brien, Unit 182</t>
  </si>
  <si>
    <t>100 Boulevard Brien, Unit 182;;J6A 5N4;Repentigny;QC</t>
  </si>
  <si>
    <t>CA0088</t>
  </si>
  <si>
    <t>4225 des Forges boulevard, Unit C15</t>
  </si>
  <si>
    <t>Trois-Rivieres</t>
  </si>
  <si>
    <t>09:30-20:30</t>
  </si>
  <si>
    <t>4225 des Forges boulevard, Unit C15;;G8Y 1W2;Trois Rivieres;QC</t>
  </si>
  <si>
    <t>CA0089</t>
  </si>
  <si>
    <t>Tanger Outlets Cookstown</t>
  </si>
  <si>
    <t>Cookstown</t>
  </si>
  <si>
    <t>RR1 331 Simcoe Road 89, Unit A01</t>
  </si>
  <si>
    <t>RR1 331 Simcoe Road 89, Unit A01;;L0L 1L0;Cookstown;ON</t>
  </si>
  <si>
    <t>CA0091</t>
  </si>
  <si>
    <t>Tsawwassen Mills</t>
  </si>
  <si>
    <t>Tsawwassen</t>
  </si>
  <si>
    <t>5000 Canoe Pass Way Unit J015</t>
  </si>
  <si>
    <t>5000 Canoe Pass Way Unit J015;;V4M 4G9;Tsawwassen First Nation;BC</t>
  </si>
  <si>
    <t>CA0092</t>
  </si>
  <si>
    <t>H&amp;M CF Masonville Place</t>
  </si>
  <si>
    <t>1680 Richmond St, Unit Y006</t>
  </si>
  <si>
    <t>1680 Richmond St, Unit Y006;;N6G 3Y9;London;ON</t>
  </si>
  <si>
    <t>CA0093</t>
  </si>
  <si>
    <t>Charlottetown Mall</t>
  </si>
  <si>
    <t>670 University Avenue</t>
  </si>
  <si>
    <t>PE</t>
  </si>
  <si>
    <t>670 University Avenue;;C1E 1H6;Charlottetown;PE</t>
  </si>
  <si>
    <t>CA0094</t>
  </si>
  <si>
    <t>Hillcrest Mall</t>
  </si>
  <si>
    <t>Richmond Hill</t>
  </si>
  <si>
    <t>9350 Yonge St</t>
  </si>
  <si>
    <t>9350 Yonge St;;L4C 5G2;Richmond Hill;ON</t>
  </si>
  <si>
    <t>CA0095</t>
  </si>
  <si>
    <t>McAllister Place</t>
  </si>
  <si>
    <t>Saint John</t>
  </si>
  <si>
    <t>519 Westmorland Rd Unit Y007</t>
  </si>
  <si>
    <t>519 Westmorland Rd Unit Y007;;E2J 3W9;Saint John;NB</t>
  </si>
  <si>
    <t>CA0096</t>
  </si>
  <si>
    <t>Oshawa Centre</t>
  </si>
  <si>
    <t>Oshawa</t>
  </si>
  <si>
    <t>419 King St West</t>
  </si>
  <si>
    <t>419 King St West;;L1J 2K5;Oshawa;ON</t>
  </si>
  <si>
    <t>CA0098</t>
  </si>
  <si>
    <t>Kingsway Garden Mall</t>
  </si>
  <si>
    <t>109th Street &amp; Prinsess Elizabeth Avenue, Unit#004</t>
  </si>
  <si>
    <t>109th Street &amp; Prinsess Elizabeth Avenue, Unit#004;;T5G 3A6;Edmonton;AB</t>
  </si>
  <si>
    <t>CA0099</t>
  </si>
  <si>
    <t>2102 11th Avenue, CRU #40</t>
  </si>
  <si>
    <t>Regina</t>
  </si>
  <si>
    <t>SK</t>
  </si>
  <si>
    <t>2102 11th Avenue, CRU #40;;S4P 3Y6;Regina;SK</t>
  </si>
  <si>
    <t>CA0100</t>
  </si>
  <si>
    <t>Avalon Mall</t>
  </si>
  <si>
    <t>St. John's</t>
  </si>
  <si>
    <t>48 Kenmount Road</t>
  </si>
  <si>
    <t>NF</t>
  </si>
  <si>
    <t>48 Kenmount Road;;A1B1W3;NF</t>
  </si>
  <si>
    <t>CA0102</t>
  </si>
  <si>
    <t>H&amp;M Park Royal</t>
  </si>
  <si>
    <t>West Vancouver</t>
  </si>
  <si>
    <t>Park Royal S, Unit 959</t>
  </si>
  <si>
    <t>Park Royal S, Unit 959;;V7T 2W4;West Vancouver;BC</t>
  </si>
  <si>
    <t>CA0103</t>
  </si>
  <si>
    <t>Kildonan Place</t>
  </si>
  <si>
    <t>12:00-18:00</t>
  </si>
  <si>
    <t>1555 Regent Avenue West, Unit No T82</t>
  </si>
  <si>
    <t>1555 Regent Avenue West, Unit No T82;;R2C 4J2;Winnipeg;MB</t>
  </si>
  <si>
    <t>CA0104</t>
  </si>
  <si>
    <t>Londonderry Mall</t>
  </si>
  <si>
    <t>1 Londonderry Mall Northwest,#0200D</t>
  </si>
  <si>
    <t>1 Londonderry Mall Northwest,#0200D;;T5C 3C8;Edmonton;AB</t>
  </si>
  <si>
    <t>CA0105</t>
  </si>
  <si>
    <t>Edmonton Alberta</t>
  </si>
  <si>
    <t>11:00-21:00</t>
  </si>
  <si>
    <t>#1 Outlet Collection Way,Edmonton Internation Airport</t>
  </si>
  <si>
    <t>#1 Outlet Collection Way,Edmonton Internation Airport;;T9E 1J6;Edmonton;AB</t>
  </si>
  <si>
    <t>CA0106</t>
  </si>
  <si>
    <t>Willowbrook Shopping Centre</t>
  </si>
  <si>
    <t>Langley</t>
  </si>
  <si>
    <t>19705 Fraser Hwy</t>
  </si>
  <si>
    <t>19705 Fraser Hwy;;V3A 7E9;Langley;BC</t>
  </si>
  <si>
    <t>CA0109</t>
  </si>
  <si>
    <t>Deerfoot City</t>
  </si>
  <si>
    <t>901 64 Ave NE, Unit #3150</t>
  </si>
  <si>
    <t>901 64 Ave NE, Unit #3150;;T2E 7P4;Calgary;AB</t>
  </si>
  <si>
    <t>CA0110</t>
  </si>
  <si>
    <t>Mic Mac Mall</t>
  </si>
  <si>
    <t>Dartmouth</t>
  </si>
  <si>
    <t>21 Mic Mac Boulevard Unit #231A</t>
  </si>
  <si>
    <t>21 Mic Mac Boulevard Unit #231A;;B3A 4N3;Dartmouth;NS</t>
  </si>
  <si>
    <t>CA0111</t>
  </si>
  <si>
    <t>Premium Outlets Montreal</t>
  </si>
  <si>
    <t>Mirabel</t>
  </si>
  <si>
    <t>19001 Chemin Notre-Dame, Unit #716</t>
  </si>
  <si>
    <t>19001 Chemin Notre-Dame, Unit #716;;J7J 0T1;Mirabel;QC</t>
  </si>
  <si>
    <t>CA0112</t>
  </si>
  <si>
    <t>Southcentre Mall</t>
  </si>
  <si>
    <t>100 Anderson Rd SE, Unit 205</t>
  </si>
  <si>
    <t>100 Anderson Rd SE, Unit 205;;T2J 3V1;Calgary;AB</t>
  </si>
  <si>
    <t>CA0113</t>
  </si>
  <si>
    <t>Quartier DIX30</t>
  </si>
  <si>
    <t>9160 Boulevard Rome, Unit # S1K</t>
  </si>
  <si>
    <t>9160 Boulevard Rome, Unit # S1K;;J4Y 0B6;Brossard;QC</t>
  </si>
  <si>
    <t>CA0114</t>
  </si>
  <si>
    <t>Midtown Plaza</t>
  </si>
  <si>
    <t>Saskatoon</t>
  </si>
  <si>
    <t>201 1 Ave S, Saskatoon</t>
  </si>
  <si>
    <t>201 1 Ave S, Saskatoon;;S7K 1J9;Saskatoon;SK</t>
  </si>
  <si>
    <t>CA0115</t>
  </si>
  <si>
    <t>Lyden Park Mall</t>
  </si>
  <si>
    <t>Brantford</t>
  </si>
  <si>
    <t>84 Lynden Rd</t>
  </si>
  <si>
    <t>84 Lynden Rd;;N3R 6B8;Brantford;ON</t>
  </si>
  <si>
    <t>CA0116</t>
  </si>
  <si>
    <t>The Amazing Brentwood</t>
  </si>
  <si>
    <t>4567 Lougheed Hwy #260</t>
  </si>
  <si>
    <t>4567 Lougheed Hwy #260;;V5C 3Z6;Burnaby;BC</t>
  </si>
  <si>
    <t>CA0117</t>
  </si>
  <si>
    <t>New Sudbury Centre</t>
  </si>
  <si>
    <t>Sudbury</t>
  </si>
  <si>
    <t>1349 Lasalle Blvd</t>
  </si>
  <si>
    <t>Ontario</t>
  </si>
  <si>
    <t>1349 Lasalle Blvd;;P3A 1Z2;Sudbury;Ontario</t>
  </si>
  <si>
    <t>CA0124</t>
  </si>
  <si>
    <t>Winnipeg Outlets</t>
  </si>
  <si>
    <t>555 Sterling Lyon Parkway</t>
  </si>
  <si>
    <t>Manitoba</t>
  </si>
  <si>
    <t>555 Sterling Lyon Parkway;;R3P 2E3;Winnipeg;Manitoba</t>
  </si>
  <si>
    <t>CH0002</t>
  </si>
  <si>
    <t>Shopping Center Glatt</t>
  </si>
  <si>
    <t>Wallisellen</t>
  </si>
  <si>
    <t>Switzerland</t>
  </si>
  <si>
    <t>CH</t>
  </si>
  <si>
    <t>Neue Winterthurerstrasse 99</t>
  </si>
  <si>
    <t>ZÃ¼rich</t>
  </si>
  <si>
    <t>Neue Winterthurerstrasse 99;;8304;Wallisellen;ZÃ¼rich</t>
  </si>
  <si>
    <t>CH0003</t>
  </si>
  <si>
    <t>H&amp;M Home</t>
  </si>
  <si>
    <t>GenÃ¨ve</t>
  </si>
  <si>
    <t>Rue de la Croix-d'Or 3</t>
  </si>
  <si>
    <t>Rue de la Croix-d'Or 3;;1204;Geneva;GenÃ¨ve</t>
  </si>
  <si>
    <t>CH0056</t>
  </si>
  <si>
    <t>Landquart Fashion Outlet</t>
  </si>
  <si>
    <t>Landquart</t>
  </si>
  <si>
    <t>Tardistrasse 20</t>
  </si>
  <si>
    <t>Grisons</t>
  </si>
  <si>
    <t>Tardistrasse 20;;7302;Landquart;Grisons</t>
  </si>
  <si>
    <t>CH0057</t>
  </si>
  <si>
    <t>Letzipark Shopping Center</t>
  </si>
  <si>
    <t>Baslerstrasse 50</t>
  </si>
  <si>
    <t>Baslerstrasse 50;;8048;ZÃ¼rich;ZÃ¼rich</t>
  </si>
  <si>
    <t>CH0059</t>
  </si>
  <si>
    <t>Mall of Switzerland</t>
  </si>
  <si>
    <t>Ebikon</t>
  </si>
  <si>
    <t>08:00-17:00</t>
  </si>
  <si>
    <t>Ebisquare-Strasse 1</t>
  </si>
  <si>
    <t>Luzern</t>
  </si>
  <si>
    <t>Ebisquare-Strasse 1;;6030;Ebikon;Luzern</t>
  </si>
  <si>
    <t>CH0061</t>
  </si>
  <si>
    <t>H&amp;M Frauenfeld</t>
  </si>
  <si>
    <t>Frauenfeld</t>
  </si>
  <si>
    <t>Grabenstrasse 7a</t>
  </si>
  <si>
    <t>Thurgau</t>
  </si>
  <si>
    <t>Grabenstrasse 7a;;8500;Frauenfeld;Thurgau</t>
  </si>
  <si>
    <t>CH0062</t>
  </si>
  <si>
    <t>Centre Manor Vevey</t>
  </si>
  <si>
    <t>Vevey</t>
  </si>
  <si>
    <t>Avenue GÃ©nÃ©ral-Guisan 15</t>
  </si>
  <si>
    <t>Vaud</t>
  </si>
  <si>
    <t>Avenue GÃ©nÃ©ral-Guisan 15;;1800;Vevey;Vaud</t>
  </si>
  <si>
    <t>CH0065</t>
  </si>
  <si>
    <t>Lucerne train station</t>
  </si>
  <si>
    <t>Zentralstrasse 1</t>
  </si>
  <si>
    <t>Zentralstrasse 1;;6002;Luzern;Luzern</t>
  </si>
  <si>
    <t>CH0066</t>
  </si>
  <si>
    <t>Winterthur</t>
  </si>
  <si>
    <t>Marktgasse 3</t>
  </si>
  <si>
    <t>Marktgasse 3;;8400;Winterthur</t>
  </si>
  <si>
    <t>CH0067</t>
  </si>
  <si>
    <t>Shoppingcenter Lokwerk</t>
  </si>
  <si>
    <t>ZÃ¼rcherstrasse 51</t>
  </si>
  <si>
    <t>ZÃ¼rcherstrasse 51;;8406;Winterthur</t>
  </si>
  <si>
    <t>CH0068</t>
  </si>
  <si>
    <t>Shoppingcenter Westside</t>
  </si>
  <si>
    <t>Bern</t>
  </si>
  <si>
    <t>Riedbachstrasse 100</t>
  </si>
  <si>
    <t>Riedbachstrasse 100;;3027;Bern;Bern</t>
  </si>
  <si>
    <t>CH0069</t>
  </si>
  <si>
    <t>Grand-Rue 10</t>
  </si>
  <si>
    <t>Montreux</t>
  </si>
  <si>
    <t>Grand-Rue 10;;1820;Montreux;Vaud</t>
  </si>
  <si>
    <t>CH0070</t>
  </si>
  <si>
    <t>Marin Centre</t>
  </si>
  <si>
    <t>Marin</t>
  </si>
  <si>
    <t>Fleur-de-Lys 26</t>
  </si>
  <si>
    <t>NeuchÃ¢tel</t>
  </si>
  <si>
    <t>Fleur-de-Lys 26;;2074;Marin;NeuchÃ¢tel</t>
  </si>
  <si>
    <t>CH0071</t>
  </si>
  <si>
    <t>Einkaufszentrum Rheinpark</t>
  </si>
  <si>
    <t>St.Margrethen</t>
  </si>
  <si>
    <t>Neudorfstrasse 60</t>
  </si>
  <si>
    <t>Neudorfstrasse 60;;9430;St.Margrethen</t>
  </si>
  <si>
    <t>CH0074</t>
  </si>
  <si>
    <t>Centre Commercial Bassin</t>
  </si>
  <si>
    <t>Conthey</t>
  </si>
  <si>
    <t>08:30-17:00</t>
  </si>
  <si>
    <t>Route Cantonale 4</t>
  </si>
  <si>
    <t>Route Cantonale 4;;1964;Conthey</t>
  </si>
  <si>
    <t>CH0075</t>
  </si>
  <si>
    <t>Pizol Center</t>
  </si>
  <si>
    <t>Mels</t>
  </si>
  <si>
    <t>Grossfeldstrasse 63</t>
  </si>
  <si>
    <t>Sankt Gallen</t>
  </si>
  <si>
    <t>Grossfeldstrasse 63;;8887;Mels;Sankt Gallen</t>
  </si>
  <si>
    <t>CH0076</t>
  </si>
  <si>
    <t>Shoppincenter Karussell</t>
  </si>
  <si>
    <t>Kreuzlingen</t>
  </si>
  <si>
    <t>08:30-20:00</t>
  </si>
  <si>
    <t>08:00-18:00</t>
  </si>
  <si>
    <t>Sonnenstrasse 16</t>
  </si>
  <si>
    <t>Sonnenstrasse 16;;8280;Kreuzlingen</t>
  </si>
  <si>
    <t>CH0077</t>
  </si>
  <si>
    <t>Centre BrÃ¼gg</t>
  </si>
  <si>
    <t>BrÃ¼gg</t>
  </si>
  <si>
    <t>08:30-21:00</t>
  </si>
  <si>
    <t>Erlenstrasse 40</t>
  </si>
  <si>
    <t>Erlenstrasse 40;;2555;BrÃ¼gg</t>
  </si>
  <si>
    <t>CH0078</t>
  </si>
  <si>
    <t>Shoppingcenter LÃ¤nderpark</t>
  </si>
  <si>
    <t>Stans</t>
  </si>
  <si>
    <t>Bitzistrasse 2</t>
  </si>
  <si>
    <t>Bitzistrasse 2;;6370;Stans</t>
  </si>
  <si>
    <t>CH0080</t>
  </si>
  <si>
    <t>GÃ¤upark</t>
  </si>
  <si>
    <t>Egerkingen</t>
  </si>
  <si>
    <t>Hausimollstrasse 14</t>
  </si>
  <si>
    <t>Hausimollstrasse 14;;4622;Egerkingen</t>
  </si>
  <si>
    <t>CH0081</t>
  </si>
  <si>
    <t>Shoppingcenter City West</t>
  </si>
  <si>
    <t>Chur</t>
  </si>
  <si>
    <t>Comercialstrasse 32</t>
  </si>
  <si>
    <t>Comercialstrasse 32;;7000;Chur;Grisons</t>
  </si>
  <si>
    <t>CH0082</t>
  </si>
  <si>
    <t>Galeries du Midi</t>
  </si>
  <si>
    <t>Sion</t>
  </si>
  <si>
    <t>Rue de la Porte-Neuve 27</t>
  </si>
  <si>
    <t>Valais</t>
  </si>
  <si>
    <t>Rue de la Porte-Neuve 27;;1950;Sion;Valais</t>
  </si>
  <si>
    <t>CH0083</t>
  </si>
  <si>
    <t>Panorama Center</t>
  </si>
  <si>
    <t>Thun</t>
  </si>
  <si>
    <t>Weststrasse 14</t>
  </si>
  <si>
    <t>Weststrasse 14;;3604;Thun;Bern</t>
  </si>
  <si>
    <t>CH0084</t>
  </si>
  <si>
    <t>Bahnhofstrasse 25</t>
  </si>
  <si>
    <t>Buchs</t>
  </si>
  <si>
    <t>Bahnhofstrasse 25;;9470;Buchs;Sankt Gallen</t>
  </si>
  <si>
    <t>CH0087</t>
  </si>
  <si>
    <t>Shopping-Center Quartz</t>
  </si>
  <si>
    <t>Martigny</t>
  </si>
  <si>
    <t>Avenue de Fully 63</t>
  </si>
  <si>
    <t>Avenue de Fully 63;;1920;Martigny;Valais</t>
  </si>
  <si>
    <t>CH0088</t>
  </si>
  <si>
    <t>Center Oerlikon</t>
  </si>
  <si>
    <t>Edisonstrasse 11</t>
  </si>
  <si>
    <t>Edisonstrasse 11;;8050;ZÃ¼rich;ZÃ¼rich</t>
  </si>
  <si>
    <t>CH0089</t>
  </si>
  <si>
    <t>Simplon Center</t>
  </si>
  <si>
    <t>Glis</t>
  </si>
  <si>
    <t>Kantonsstrasse 58</t>
  </si>
  <si>
    <t>Kantonsstrasse 58;;3902;Glis;Valais</t>
  </si>
  <si>
    <t>CH0090</t>
  </si>
  <si>
    <t>Talstrasse 2a</t>
  </si>
  <si>
    <t>Davos</t>
  </si>
  <si>
    <t>Talstrasse 2a;;7270;Davos Platz;Grisons</t>
  </si>
  <si>
    <t>CH0092</t>
  </si>
  <si>
    <t>Shopping-Center Romanel</t>
  </si>
  <si>
    <t>Lausanne</t>
  </si>
  <si>
    <t>08:30-19:00</t>
  </si>
  <si>
    <t>08:30-20:30</t>
  </si>
  <si>
    <t>En Fezelin</t>
  </si>
  <si>
    <t>En Fezelin;;1032;Romanel-sur-Lausanne;Vaud</t>
  </si>
  <si>
    <t>CH0093</t>
  </si>
  <si>
    <t>Volketswil Inside</t>
  </si>
  <si>
    <t>Volketswil</t>
  </si>
  <si>
    <t>Hofwiesenstrasse 4B</t>
  </si>
  <si>
    <t>Hofwiesenstrasse 4B;;8604;Volketswil;ZÃ¼rich</t>
  </si>
  <si>
    <t>CH0094</t>
  </si>
  <si>
    <t>HINWIL CENTER</t>
  </si>
  <si>
    <t>Hinwil</t>
  </si>
  <si>
    <t>WÃ¤sseristrasse 38</t>
  </si>
  <si>
    <t>WÃ¤sseristrasse 38;;8340;Hinwil;ZÃ¼rich</t>
  </si>
  <si>
    <t>CH0095</t>
  </si>
  <si>
    <t>Brandbach-Center</t>
  </si>
  <si>
    <t>Neue Winterthurerstrasse 7</t>
  </si>
  <si>
    <t>Neue Winterthurerstrasse 7;;8305;Dietlikon;ZÃ¼rich</t>
  </si>
  <si>
    <t>CH0096</t>
  </si>
  <si>
    <t>BÃ¼lach SÃ¼d Center</t>
  </si>
  <si>
    <t>BÃ¼lach</t>
  </si>
  <si>
    <t>Feldstrasse 85</t>
  </si>
  <si>
    <t>Feldstrasse 85;;8180;BÃ¼lach;ZÃ¼rich</t>
  </si>
  <si>
    <t>CH0097</t>
  </si>
  <si>
    <t>St. Urbanstrasse 4</t>
  </si>
  <si>
    <t>Langenthal</t>
  </si>
  <si>
    <t>St. Urbanstrasse 4;;4900;Langenthal;Bern</t>
  </si>
  <si>
    <t>CH0098</t>
  </si>
  <si>
    <t>Airport-Center</t>
  </si>
  <si>
    <t>08:00-21:00</t>
  </si>
  <si>
    <t>Postfach</t>
  </si>
  <si>
    <t>Postfach;;8060;ZÃ¼rich Flughafen</t>
  </si>
  <si>
    <t>CH0099</t>
  </si>
  <si>
    <t>Seedamm-Center</t>
  </si>
  <si>
    <t>PfÃ¤ffikon</t>
  </si>
  <si>
    <t>Gwattstrasse 11</t>
  </si>
  <si>
    <t>Schwyz</t>
  </si>
  <si>
    <t>Gwattstrasse 11;;8808;PfÃ¤ffikon;Schwyz</t>
  </si>
  <si>
    <t>CH0101</t>
  </si>
  <si>
    <t>Croix d'Or  4</t>
  </si>
  <si>
    <t>Rue de la Croix d'Or  4</t>
  </si>
  <si>
    <t>Rue de la Croix d'Or  4;;1204;Geneva;GenÃ¨ve</t>
  </si>
  <si>
    <t>CH0902</t>
  </si>
  <si>
    <t>Hauptgasse 8-10</t>
  </si>
  <si>
    <t>Solothurn</t>
  </si>
  <si>
    <t>Hauptgasse 8-10;;4500;Solothurn;Solothurn</t>
  </si>
  <si>
    <t>CH0903</t>
  </si>
  <si>
    <t>Freie Strasse 26</t>
  </si>
  <si>
    <t>Basel</t>
  </si>
  <si>
    <t>Basel-Stadt</t>
  </si>
  <si>
    <t>Freie Strasse 26;;4001;Basel;Basel-Stadt</t>
  </si>
  <si>
    <t>CH0908</t>
  </si>
  <si>
    <t>Rue de la Gare 8</t>
  </si>
  <si>
    <t>Nyon</t>
  </si>
  <si>
    <t>Rue de la Gare 8;;1260;Nyon;Vaud</t>
  </si>
  <si>
    <t>CH0909</t>
  </si>
  <si>
    <t>Centre commercial Eaux-Vives 2000</t>
  </si>
  <si>
    <t>Rue Jargonnant 3</t>
  </si>
  <si>
    <t>Rue Jargonnant 3;;1207;GenÃ¨ve</t>
  </si>
  <si>
    <t>CH0911</t>
  </si>
  <si>
    <t>Rue de la Treille 1</t>
  </si>
  <si>
    <t>Rue de la Treille 1;;2000;NeuchÃ¢tel;NeuchÃ¢tel</t>
  </si>
  <si>
    <t>CH0912</t>
  </si>
  <si>
    <t>Marktgasse 6</t>
  </si>
  <si>
    <t>Marktgasse 6;;3011;Bern;Bern</t>
  </si>
  <si>
    <t>CH0913</t>
  </si>
  <si>
    <t>Limmatquai 48</t>
  </si>
  <si>
    <t>Limmatquai 48;;8001;ZÃ¼rich;ZÃ¼rich</t>
  </si>
  <si>
    <t>CH0915</t>
  </si>
  <si>
    <t>Shoppi Tivoli</t>
  </si>
  <si>
    <t>Spreitenbach</t>
  </si>
  <si>
    <t>Landstrasse</t>
  </si>
  <si>
    <t>Landstrasse;;8957;Spreitenbach</t>
  </si>
  <si>
    <t>CH0916</t>
  </si>
  <si>
    <t>Bahnhofstrasse 71</t>
  </si>
  <si>
    <t>Bahnhofstrasse 71;;8001;ZÃ¼rich;ZÃ¼rich</t>
  </si>
  <si>
    <t>CH0918</t>
  </si>
  <si>
    <t>Avenue GÃ©nÃ©ral-Guisan 2</t>
  </si>
  <si>
    <t>Sierre</t>
  </si>
  <si>
    <t>Avenue GÃ©nÃ©ral-Guisan 2;;3960;Sierre;Valais</t>
  </si>
  <si>
    <t>CH0920</t>
  </si>
  <si>
    <t>Pilatusmarkt</t>
  </si>
  <si>
    <t>Kriens</t>
  </si>
  <si>
    <t>Ringstrasse 19</t>
  </si>
  <si>
    <t>Ringstrasse 19;;6010;Kriens</t>
  </si>
  <si>
    <t>CH0922</t>
  </si>
  <si>
    <t>Clara Shopping</t>
  </si>
  <si>
    <t>Greifengasse 36</t>
  </si>
  <si>
    <t>Greifengasse 36;;4058;Basel;Basel-Stadt</t>
  </si>
  <si>
    <t>CH0923</t>
  </si>
  <si>
    <t>Shoppyland</t>
  </si>
  <si>
    <t>SchÃ¶nbÃ¼hl</t>
  </si>
  <si>
    <t>Industriestrasse 10</t>
  </si>
  <si>
    <t>Industriestrasse 10;;3321;SchÃ¶nbÃ¼hl;Bern</t>
  </si>
  <si>
    <t>CH0924</t>
  </si>
  <si>
    <t>Centre commercial MÃ©tropole 2000</t>
  </si>
  <si>
    <t>Rue des Terreaux 25</t>
  </si>
  <si>
    <t>Rue des Terreaux 25;;1003;Lausanne;Vaud</t>
  </si>
  <si>
    <t>CH0925</t>
  </si>
  <si>
    <t>Bahnhofstrasse 92</t>
  </si>
  <si>
    <t>Bahnhofstrasse 92;;8001;ZÃ¼rich;ZÃ¼rich</t>
  </si>
  <si>
    <t>CH0927</t>
  </si>
  <si>
    <t>Centre commercial Balexert</t>
  </si>
  <si>
    <t>Avenue Louis-CasaÃ¯ 27</t>
  </si>
  <si>
    <t>Avenue Louis-CasaÃ¯ 27;;1209;GenÃ¨ve</t>
  </si>
  <si>
    <t>CH0928</t>
  </si>
  <si>
    <t>Place de Cornavin 14</t>
  </si>
  <si>
    <t>Place de Cornavin 14;;1201;GenÃ¨ve;GenÃ¨ve</t>
  </si>
  <si>
    <t>CH0929</t>
  </si>
  <si>
    <t>Metalli</t>
  </si>
  <si>
    <t>Zug</t>
  </si>
  <si>
    <t>Baarerstrasse 16</t>
  </si>
  <si>
    <t>Baarerstrasse 16;;6300;Zug;Zug</t>
  </si>
  <si>
    <t>CH0931</t>
  </si>
  <si>
    <t>Centro Shopping Serfontana</t>
  </si>
  <si>
    <t>Chiasso</t>
  </si>
  <si>
    <t>Viale Serfontana 20</t>
  </si>
  <si>
    <t>Ticino</t>
  </si>
  <si>
    <t>Viale Serfontana 20;;6834;Morbio Inferiore;Ticino</t>
  </si>
  <si>
    <t>CH0933</t>
  </si>
  <si>
    <t>Rue du Pont 16</t>
  </si>
  <si>
    <t>Rue du Pont 16;;1003;Lausanne;Vaud</t>
  </si>
  <si>
    <t>CH0936</t>
  </si>
  <si>
    <t>Centre commercial Monthey</t>
  </si>
  <si>
    <t>Monthey</t>
  </si>
  <si>
    <t>Avenue de l'Europe 21</t>
  </si>
  <si>
    <t>Avenue de l'Europe 21;;1870;Monthey;Valais</t>
  </si>
  <si>
    <t>CH0937</t>
  </si>
  <si>
    <t>Spitalgasse 40</t>
  </si>
  <si>
    <t>Spitalgasse 40;;3011;Bern</t>
  </si>
  <si>
    <t>CH0938</t>
  </si>
  <si>
    <t>Shopping Center Bel-Air</t>
  </si>
  <si>
    <t>Yverdon</t>
  </si>
  <si>
    <t>Rue d'Orbe 1</t>
  </si>
  <si>
    <t>Rue d'Orbe 1;;1400;Yverdon-les Bain;Vaud</t>
  </si>
  <si>
    <t>CH0939</t>
  </si>
  <si>
    <t>Weggisgasse 22</t>
  </si>
  <si>
    <t>Weggisgasse 22;;6004;Luzern</t>
  </si>
  <si>
    <t>CH0940</t>
  </si>
  <si>
    <t>Glatt Shopping Center</t>
  </si>
  <si>
    <t>Glatt</t>
  </si>
  <si>
    <t>CH0942</t>
  </si>
  <si>
    <t>Multergasse 5</t>
  </si>
  <si>
    <t>St. Gallen</t>
  </si>
  <si>
    <t>Multergasse 5;;9000;St.Gallen;Sankt Gallen</t>
  </si>
  <si>
    <t>CH0943</t>
  </si>
  <si>
    <t>Mythen Center Schwyz</t>
  </si>
  <si>
    <t>Mythencenterstrasse 15</t>
  </si>
  <si>
    <t>Mythencenterstrasse 15;;6438;Ibach;Schwyz</t>
  </si>
  <si>
    <t>CH0944</t>
  </si>
  <si>
    <t>Centre Commercial Crissier</t>
  </si>
  <si>
    <t>Crissier</t>
  </si>
  <si>
    <t>Chemin de Closalet 7</t>
  </si>
  <si>
    <t>Chemin de Closalet 7;;1023;Crissier;Vaud</t>
  </si>
  <si>
    <t>CH0945</t>
  </si>
  <si>
    <t>Badstrasse 17</t>
  </si>
  <si>
    <t>Baden</t>
  </si>
  <si>
    <t>Badstrasse 17;;5400;Baden</t>
  </si>
  <si>
    <t>CH0946</t>
  </si>
  <si>
    <t>Shopping Center Avry Centre</t>
  </si>
  <si>
    <t>Avry</t>
  </si>
  <si>
    <t>08:00-16:00</t>
  </si>
  <si>
    <t>Route de Matran 9</t>
  </si>
  <si>
    <t>Fribourg</t>
  </si>
  <si>
    <t>Route de Matran 9;;1754;Avry-sur-Matran;Fribourg</t>
  </si>
  <si>
    <t>CH0947</t>
  </si>
  <si>
    <t>Shopping Center Emmen</t>
  </si>
  <si>
    <t>EmmenbrÃ¼cke</t>
  </si>
  <si>
    <t>Stauffacherstrasse 1</t>
  </si>
  <si>
    <t>Stauffacherstrasse 1;;6020;EmmenbrÃ¼cke</t>
  </si>
  <si>
    <t>CH0949</t>
  </si>
  <si>
    <t>Piazza Alighieri Dante 1</t>
  </si>
  <si>
    <t>Lugano</t>
  </si>
  <si>
    <t>Piazza Alighieri Dante 1;;6900;Lugano;Ticino</t>
  </si>
  <si>
    <t>CH0950</t>
  </si>
  <si>
    <t>St. Jakob Park</t>
  </si>
  <si>
    <t>St. Jakobsstrasse 395</t>
  </si>
  <si>
    <t>St. Jakobsstrasse 395;;4052;Basel;Basel-Stadt</t>
  </si>
  <si>
    <t>CH0951</t>
  </si>
  <si>
    <t>Centro Lugano-Sud</t>
  </si>
  <si>
    <t>Via Cantonale</t>
  </si>
  <si>
    <t>Via Cantonale;;6916;Grancia;Ticino</t>
  </si>
  <si>
    <t>CH0952</t>
  </si>
  <si>
    <t>Shopping Center Fribourg Centre</t>
  </si>
  <si>
    <t>08:30-16:00</t>
  </si>
  <si>
    <t>Avenue de la Gare 10</t>
  </si>
  <si>
    <t>Avenue de la Gare 10;;1700;Fribourg;Fribourg</t>
  </si>
  <si>
    <t>CH0953</t>
  </si>
  <si>
    <t>Centre Manor Chavannes</t>
  </si>
  <si>
    <t>Chavannes-de-Bogis</t>
  </si>
  <si>
    <t>Centre Manor Chavannes;;1279;Chavannes-de-Bogis</t>
  </si>
  <si>
    <t>CH0954</t>
  </si>
  <si>
    <t>Alexander-Strasse 2</t>
  </si>
  <si>
    <t>Alexander-Strasse 2;;7000;Chur;Grisons</t>
  </si>
  <si>
    <t>CH0955</t>
  </si>
  <si>
    <t>Centro Commerciale</t>
  </si>
  <si>
    <t>Tenero</t>
  </si>
  <si>
    <t>Via Brere 8</t>
  </si>
  <si>
    <t>Via Brere 8;;6598;Tenero;Ticino</t>
  </si>
  <si>
    <t>CH0956</t>
  </si>
  <si>
    <t>AlbuVille</t>
  </si>
  <si>
    <t>Rapperswil</t>
  </si>
  <si>
    <t>Klaus Gebert-Strasse 4</t>
  </si>
  <si>
    <t>Klaus Gebert-Strasse 4;;8640;Rapperswil;Sankt Gallen</t>
  </si>
  <si>
    <t>CH0957</t>
  </si>
  <si>
    <t>Perry-Center</t>
  </si>
  <si>
    <t>Oftringen</t>
  </si>
  <si>
    <t>Bernstrasse 4</t>
  </si>
  <si>
    <t>Bernstrasse 4;;4665;Oftringen</t>
  </si>
  <si>
    <t>CH0958</t>
  </si>
  <si>
    <t>Centre Commercial La MaladiÃ¨re</t>
  </si>
  <si>
    <t>Rue Pierre-Ã -Mazel 10</t>
  </si>
  <si>
    <t>Rue Pierre-Ã -Mazel 10;;2000;NeuchÃ¢tel</t>
  </si>
  <si>
    <t>CH0959</t>
  </si>
  <si>
    <t>Einkaufszentrum Silhlcity</t>
  </si>
  <si>
    <t>Kalandergasse 4</t>
  </si>
  <si>
    <t>Kalandergasse 4;;8045;ZÃ¼rich;ZÃ¼rich</t>
  </si>
  <si>
    <t>CH0960</t>
  </si>
  <si>
    <t>Einkaufszentrum Telli</t>
  </si>
  <si>
    <t>Aarau</t>
  </si>
  <si>
    <t>Tellistrasse 67</t>
  </si>
  <si>
    <t>Aargau</t>
  </si>
  <si>
    <t>Tellistrasse 67;;5004;Aarau;Aargau</t>
  </si>
  <si>
    <t>CH0961</t>
  </si>
  <si>
    <t>Herblinger Markt</t>
  </si>
  <si>
    <t>Schaffhausen</t>
  </si>
  <si>
    <t>StÃ¼dliackerstrasse 10</t>
  </si>
  <si>
    <t>StÃ¼dliackerstrasse 10;;8207;Schaffhausen;Schaffhausen</t>
  </si>
  <si>
    <t>CH0962</t>
  </si>
  <si>
    <t>Shopping Arena</t>
  </si>
  <si>
    <t>ZÃ¼rcherstrasse 462</t>
  </si>
  <si>
    <t>ZÃ¼rcherstrasse 462;;9015;St.Gallen;Sankt Gallen</t>
  </si>
  <si>
    <t>CH0963</t>
  </si>
  <si>
    <t>Centre commercial Les Entilles</t>
  </si>
  <si>
    <t>La Chaux-de-Fonds</t>
  </si>
  <si>
    <t>Avenue LÃ©opold-Robert 151</t>
  </si>
  <si>
    <t>Avenue LÃ©opold-Robert 151;;2300;La Chaux-de-Fonds</t>
  </si>
  <si>
    <t>CH0964</t>
  </si>
  <si>
    <t>Obere Bahnhofstrasse 40</t>
  </si>
  <si>
    <t>Wil</t>
  </si>
  <si>
    <t>Obere Bahnhofstrasse 40;;9500;Wil;Sankt Gallen</t>
  </si>
  <si>
    <t>CH0965</t>
  </si>
  <si>
    <t>Shopping Center Tellpark</t>
  </si>
  <si>
    <t>Schattdorf</t>
  </si>
  <si>
    <t>MilitÃ¤rstrasse 9a</t>
  </si>
  <si>
    <t>Uri</t>
  </si>
  <si>
    <t>MilitÃ¤rstrasse 9a;;6467;Schattdorf;Uri</t>
  </si>
  <si>
    <t>CL0001</t>
  </si>
  <si>
    <t>Costanera Center</t>
  </si>
  <si>
    <t>Santiago</t>
  </si>
  <si>
    <t>Chile</t>
  </si>
  <si>
    <t>CL</t>
  </si>
  <si>
    <t>Avenida AndrÃ©s Bello 2425, Level 2, 2136, Providencia, RM</t>
  </si>
  <si>
    <t>Avenida AndrÃ©s Bello 2425, Level 2, 2136, Providencia, RM;Avenida AndrÃ©s Bello 2425, Level 2, 2136, Providencia, RM;7500000;Providencia, RM</t>
  </si>
  <si>
    <t>CL0002</t>
  </si>
  <si>
    <t>Alto Las Condes</t>
  </si>
  <si>
    <t>Avenida Presidente Kennedy Lateral 9001, L1, Las Condes, RM</t>
  </si>
  <si>
    <t>Avenida Presidente Kennedy Lateral 9001, L1, Las Condes, RM;Avenida Presidente Kennedy Lateral 9001, L1, Las Condes, RM;7591567;Las Condes, RM</t>
  </si>
  <si>
    <t>CL0003</t>
  </si>
  <si>
    <t>Florida Center</t>
  </si>
  <si>
    <t>Avenida VicuÃ±a Mackenna Oriente 6100, L1, La Florida, RM</t>
  </si>
  <si>
    <t>Avenida VicuÃ±a Mackenna Oriente 6100, L1</t>
  </si>
  <si>
    <t>Avenida VicuÃ±a Mackenna Oriente 6100, L1, La Florida, RM;Avenida VicuÃ±a Mackenna Oriente 6100, L1;8242155;La Florida, RM</t>
  </si>
  <si>
    <t>CL0004</t>
  </si>
  <si>
    <t>Casa Costanera</t>
  </si>
  <si>
    <t>Nueva Costanera 3900, L1, Vitacura, RM</t>
  </si>
  <si>
    <t>Nueva Costanera 3900, L1, Vitacura, RM;Nueva Costanera 3900, L1, Vitacura, RM;7630299;Vitacura, RM</t>
  </si>
  <si>
    <t>CL0005</t>
  </si>
  <si>
    <t>Mall Plaza Los Dominicos</t>
  </si>
  <si>
    <t>Avenida Padre Hurtado Sur 875, L1, Las Condes, RM</t>
  </si>
  <si>
    <t>Avenida Padre Hurtado Sur 875, L1, Las C</t>
  </si>
  <si>
    <t>Avenida Padre Hurtado Sur 875, L1, Las Condes, RM;Avenida Padre Hurtado Sur 875, L1, Las C;7571626;Las Condes, RM</t>
  </si>
  <si>
    <t>CL0008</t>
  </si>
  <si>
    <t>Barrio Independencia</t>
  </si>
  <si>
    <t>Avenida Independencia 565, L1, Independencia, RM</t>
  </si>
  <si>
    <t>Avenida Independencia 565, L1, Independencia, RM;Avenida Independencia 565, L1, Independencia, RM;8380538;Independencia, RM</t>
  </si>
  <si>
    <t>CL0009</t>
  </si>
  <si>
    <t>Galeria Imperio</t>
  </si>
  <si>
    <t>HuÃ©rfanos 830, Level 1, Santiago, RM</t>
  </si>
  <si>
    <t>HuÃ©rfanos 830, Level 1, Santiago, RM;HuÃ©rfanos 830, Level 1, Santiago, RM;8320202;Santiago, RM</t>
  </si>
  <si>
    <t>CL0010</t>
  </si>
  <si>
    <t>Mall Plaza TrÃ©bol</t>
  </si>
  <si>
    <t>ConcepciÃ³n</t>
  </si>
  <si>
    <t>Avenida Jorge Alessandri 3177, L1, Talcahuano, ConcepciÃ³n</t>
  </si>
  <si>
    <t>Avenida Jorge Alessandri 3177, L1, Talca</t>
  </si>
  <si>
    <t>Avenida Jorge Alessandri 3177, L1, Talcahuano, ConcepciÃ³n;Avenida Jorge Alessandri 3177, L1, Talca;4300818;Talcahuano, ConcepciÃ³n</t>
  </si>
  <si>
    <t>CL0011</t>
  </si>
  <si>
    <t>Paseo Costanera</t>
  </si>
  <si>
    <t>Puerto Montt</t>
  </si>
  <si>
    <t>Illapel 10, L1</t>
  </si>
  <si>
    <t>Los Lagos</t>
  </si>
  <si>
    <t>Illapel 10, L1;;5502910;Puerto Montt;Los Lagos</t>
  </si>
  <si>
    <t>CL0015</t>
  </si>
  <si>
    <t>Arauco MaipÃº</t>
  </si>
  <si>
    <t>Av. AmÃ©rico Vespucio NÂ°399</t>
  </si>
  <si>
    <t>Av. AmÃ©rico Vespucio NÂ°399;;9293535;Santiago</t>
  </si>
  <si>
    <t>CL0017</t>
  </si>
  <si>
    <t>Vivo Coquimbo</t>
  </si>
  <si>
    <t>Coquimbo</t>
  </si>
  <si>
    <t>Baquedano 86, Coquimbo, Chile</t>
  </si>
  <si>
    <t>Region de Coquimbo, Chile.</t>
  </si>
  <si>
    <t>Baquedano 86, Coquimbo, Chile;Region de Coquimbo, Chile.;1781123;Baquedano 86, Coquimbo, Chile</t>
  </si>
  <si>
    <t>CL0018</t>
  </si>
  <si>
    <t>Mall Plaza Antofagasta</t>
  </si>
  <si>
    <t>Antofagasta</t>
  </si>
  <si>
    <t>Avenida Balmaceda 2355, Antofagasta</t>
  </si>
  <si>
    <t>Avenida Balmaceda 2355, Antofagasta;;1271968;Avenida Balmaceda 2355, Antofagasta</t>
  </si>
  <si>
    <t>CL0019</t>
  </si>
  <si>
    <t>Mall Plaza Norte</t>
  </si>
  <si>
    <t>AmÃ©rico Vespucio 1737 piso 9, Huechuraba, Santiago</t>
  </si>
  <si>
    <t>AmÃ©rico Vespucio 1737 piso 9, Huechuraba, Santiago;;8600036;AmÃ©rico Vespucio 1737, Huechuraba</t>
  </si>
  <si>
    <t>CL0020</t>
  </si>
  <si>
    <t>Mall Plaza Oeste</t>
  </si>
  <si>
    <t>Americo Vespucio 1501, Cerrillos</t>
  </si>
  <si>
    <t>Americo Vespucio 1501, Cerrillos;;9220213;Americo Vespucio 1501, Cerrillos</t>
  </si>
  <si>
    <t>CL0024</t>
  </si>
  <si>
    <t>Portal Temuco</t>
  </si>
  <si>
    <t>Temuco</t>
  </si>
  <si>
    <t>Avenida Alemania 671, Temuco, Chile</t>
  </si>
  <si>
    <t>Avenida Alemania 671, Temuco, Chile;;4800979;Avenida Alemania 671, Temuco, Chile</t>
  </si>
  <si>
    <t>CL0025</t>
  </si>
  <si>
    <t>Marina Arauco</t>
  </si>
  <si>
    <t>ViÃ±a del Mar</t>
  </si>
  <si>
    <t>14 Norte 976</t>
  </si>
  <si>
    <t>ViÃ±a del Mar, Region de ValparaÃ­so</t>
  </si>
  <si>
    <t>14 Norte 976;ViÃ±a del Mar, Region de ValparaÃ­so;2581907;14 Norte 976, ViÃ±a del Mar</t>
  </si>
  <si>
    <t>CL0027</t>
  </si>
  <si>
    <t>Mall CuricÃ³</t>
  </si>
  <si>
    <t>Curico</t>
  </si>
  <si>
    <t>Bernardo O'Higgins 201, Curico</t>
  </si>
  <si>
    <t>Bernardo O'Higgins 201, Curico;;777188;Bernardo O'Higgins 201, Curico</t>
  </si>
  <si>
    <t>CL0028</t>
  </si>
  <si>
    <t>Av. RamÃ³n Picarte 400</t>
  </si>
  <si>
    <t>Valdivia</t>
  </si>
  <si>
    <t>Av. RamÃ³n Picarte 400;;5110501;Av. RamÃ³n Picarte 400, Valdivia</t>
  </si>
  <si>
    <t>CL0029</t>
  </si>
  <si>
    <t>Open Kennedy</t>
  </si>
  <si>
    <t>Av. Kennedy 5601, 4to nivel</t>
  </si>
  <si>
    <t>Las Condes- Santiago</t>
  </si>
  <si>
    <t>Av. Kennedy 5601, 4to nivel;Las Condes- Santiago;7560356</t>
  </si>
  <si>
    <t>CN0002</t>
  </si>
  <si>
    <t>SunArt Plaza</t>
  </si>
  <si>
    <t>Ningbo</t>
  </si>
  <si>
    <t>Mainland China</t>
  </si>
  <si>
    <t>CN</t>
  </si>
  <si>
    <t>1F, No.111 Xinxing Road</t>
  </si>
  <si>
    <t>Zhejiang Province</t>
  </si>
  <si>
    <t>1F, No.111 Xinxing Road;;315016;Haisu District, Ningbo;Zhejiang Province</t>
  </si>
  <si>
    <t>CN0003</t>
  </si>
  <si>
    <t>Glory Mall Yiwu</t>
  </si>
  <si>
    <t>Yiwu</t>
  </si>
  <si>
    <t>No.6 Futian Road 1st floor</t>
  </si>
  <si>
    <t>No.6 Futian Road 1st floor;;322000;Yiwu;Zhejiang Province</t>
  </si>
  <si>
    <t>CN0006</t>
  </si>
  <si>
    <t>Suzhou Center plaza</t>
  </si>
  <si>
    <t>Suzhou</t>
  </si>
  <si>
    <t>2F, No.5 Building,Xinggang Street crossing Suhui Road</t>
  </si>
  <si>
    <t>Jiangsu Province</t>
  </si>
  <si>
    <t>2F, No.5 Building,Xinggang Street crossing Suhui Road;;215000;Industrical Park,Suzhou;Jiangsu Province</t>
  </si>
  <si>
    <t>CN0010</t>
  </si>
  <si>
    <t>Capital Mall Xinduxin</t>
  </si>
  <si>
    <t>Qingdao</t>
  </si>
  <si>
    <t>09:30-21:30</t>
  </si>
  <si>
    <t>09:30-22:00</t>
  </si>
  <si>
    <t>No.18 Henglongjiang South Road</t>
  </si>
  <si>
    <t>Shandong Province</t>
  </si>
  <si>
    <t>No.18 Henglongjiang South Road;;266000;Shibei District, Qingdao City;Shandong Province</t>
  </si>
  <si>
    <t>CN0012</t>
  </si>
  <si>
    <t>Xicheng COHO</t>
  </si>
  <si>
    <t>Kunming</t>
  </si>
  <si>
    <t>Unit B104&amp;B203,No.2562 Dianmian Avenue</t>
  </si>
  <si>
    <t>Yunnan Province</t>
  </si>
  <si>
    <t>Unit B104&amp;B203,No.2562 Dianmian Avenue;;650100;Wuhua District, Kunming;Yunnan Province</t>
  </si>
  <si>
    <t>CN0013</t>
  </si>
  <si>
    <t>Shenyang K11</t>
  </si>
  <si>
    <t>Shenyang</t>
  </si>
  <si>
    <t>Unit3018-3020, 1F, No.1, 2A, Zhanlan Rd.</t>
  </si>
  <si>
    <t>Liaoning Province</t>
  </si>
  <si>
    <t>Unit3018-3020, 1F, No.1, 2A, Zhanlan Rd.;;110031;Heping Dist., Shenyang;Liaoning Province</t>
  </si>
  <si>
    <t>CN0014</t>
  </si>
  <si>
    <t>MixC</t>
  </si>
  <si>
    <t>Beijing</t>
  </si>
  <si>
    <t>Units L119-124, 1F, East Shuiyuan Road Crossing Binhe Road</t>
  </si>
  <si>
    <t>Beijing Municipality</t>
  </si>
  <si>
    <t>Units L119-124, 1F, East Shuiyuan Road Crossing Binhe Road;;101500;Miyun District, Beijing;Beijing Municipality</t>
  </si>
  <si>
    <t>CN0016</t>
  </si>
  <si>
    <t>LuoGang Wanda Plaza</t>
  </si>
  <si>
    <t>Guangzhou</t>
  </si>
  <si>
    <t>1F,Unit 30,No.89 Kefeng Road</t>
  </si>
  <si>
    <t>Guangdong Province</t>
  </si>
  <si>
    <t>1F,Unit 30,No.89 Kefeng Road;;510670;Luogang District, Guangzhou;Guangdong Province</t>
  </si>
  <si>
    <t>CN0017</t>
  </si>
  <si>
    <t>Weigo Shopping Mall</t>
  </si>
  <si>
    <t>Weihai</t>
  </si>
  <si>
    <t>'H&amp;M, 2F, Wego Plaza, No.17 Xinwei Road, Huancui District</t>
  </si>
  <si>
    <t>'H&amp;M, 2F, Wego Plaza, No.17 Xinwei Road, Huancui District;;264299;Huangcui District;Shandong Province</t>
  </si>
  <si>
    <t>CN0018</t>
  </si>
  <si>
    <t>Raffles City Changning</t>
  </si>
  <si>
    <t>Shanghai</t>
  </si>
  <si>
    <t>2F, No.1139 Changning Road</t>
  </si>
  <si>
    <t>Shanghai Municipality</t>
  </si>
  <si>
    <t>2F, No.1139 Changning Road;;200051;Changning District;Shanghai Municipality</t>
  </si>
  <si>
    <t>CN0019</t>
  </si>
  <si>
    <t>Tianjin Luneng City Center</t>
  </si>
  <si>
    <t>Tianjin</t>
  </si>
  <si>
    <t>North Shuishang Park Street  East Shuishang Park Road</t>
  </si>
  <si>
    <t>Tianjin Municipality</t>
  </si>
  <si>
    <t>North Shuishang Park Street  East Shuishang Park Road;;300000;Nankai District;Tianjin Municipality</t>
  </si>
  <si>
    <t>CN0022</t>
  </si>
  <si>
    <t>Linheng Center Garden</t>
  </si>
  <si>
    <t>Shenzhen</t>
  </si>
  <si>
    <t>Unit 108&amp;143-145ï¼Œ2999 Longgang Avenue</t>
  </si>
  <si>
    <t>Unit 108&amp;143-145ï¼Œ2999 Longgang Avenue;;518100;Longgang District,Shenzhen;Guangdong Province</t>
  </si>
  <si>
    <t>CN0023</t>
  </si>
  <si>
    <t>New Power Plaza</t>
  </si>
  <si>
    <t>Shanshui</t>
  </si>
  <si>
    <t>No.8 Xiqing Avenue</t>
  </si>
  <si>
    <t>No.8 Xiqing Avenue;;528199;Sanshui District,Foshan City;Guangdong Province</t>
  </si>
  <si>
    <t>CN0024</t>
  </si>
  <si>
    <t>Enjoy City</t>
  </si>
  <si>
    <t>Zhangjiakou</t>
  </si>
  <si>
    <t>Unit F1-7, 1F, No.14, Middle Shengli Road</t>
  </si>
  <si>
    <t>Hebei Province</t>
  </si>
  <si>
    <t>Unit F1-7, 1F, No.14, Middle Shengli Road;;075051;Qiaodong District, Zhangjiakou;Hebei Province</t>
  </si>
  <si>
    <t>CN0025</t>
  </si>
  <si>
    <t>Luone</t>
  </si>
  <si>
    <t>No.268 Xujiahui Rd</t>
  </si>
  <si>
    <t>No.268 Xujiahui Rd;;200025;Huangpu District;Shanghai Municipality</t>
  </si>
  <si>
    <t>CN0026</t>
  </si>
  <si>
    <t>Nanyang 360 Plaza</t>
  </si>
  <si>
    <t>Nanyang</t>
  </si>
  <si>
    <t>10:00-21:30</t>
  </si>
  <si>
    <t>Unit L112 of 1F, L218 of 2F, No.880, Jianshezhonglu</t>
  </si>
  <si>
    <t>Henan Province</t>
  </si>
  <si>
    <t>Unit L112 of 1F, L218 of 2F, No.880, Jianshezhonglu;;473000;Wolong district, Nanyang City;Henan Province</t>
  </si>
  <si>
    <t>CN0027</t>
  </si>
  <si>
    <t>yoyo park</t>
  </si>
  <si>
    <t>Zhengzhou</t>
  </si>
  <si>
    <t>westsouth corner of Guoji road and Fengqing Road</t>
  </si>
  <si>
    <t>westsouth corner of Guoji road and Fengqing Road;;450000;Jinshui District, Zhengzhou;Henan Province</t>
  </si>
  <si>
    <t>CN0033</t>
  </si>
  <si>
    <t>East Oriental Time Square Yibin</t>
  </si>
  <si>
    <t>Yibin</t>
  </si>
  <si>
    <t>L1013B ï¼ŒL2015 of 2F,No.3 South Jin Shajiang Road</t>
  </si>
  <si>
    <t>Sichuan Province</t>
  </si>
  <si>
    <t>L1013B ï¼ŒL2015 of 2F,No.3 South Jin Shajiang Road;;644006;Cuiping District, Yibin;Sichuan Province</t>
  </si>
  <si>
    <t>CN0034</t>
  </si>
  <si>
    <t>BBG Plaza</t>
  </si>
  <si>
    <t>Liuzhou</t>
  </si>
  <si>
    <t>1st Floor,No.10 Guangchang Rd,Liubei District</t>
  </si>
  <si>
    <t>Guangxi Zhuang A.R.</t>
  </si>
  <si>
    <t>1st Floor,No.10 Guangchang Rd,Liubei District;;545000;Liubei District,Liuzhou;Guangxi Zhuang A.R.</t>
  </si>
  <si>
    <t>CN0037</t>
  </si>
  <si>
    <t>Rsun Plaza Nanjing</t>
  </si>
  <si>
    <t>Nanjing</t>
  </si>
  <si>
    <t>No.48 North Daqiao Road, Pukou District</t>
  </si>
  <si>
    <t>No.48 North Daqiao Road, Pukou District;;210031;Pukou District, Nanjing;Jiangsu Province</t>
  </si>
  <si>
    <t>CN0038</t>
  </si>
  <si>
    <t>Daishin new sinks Zhongshan</t>
  </si>
  <si>
    <t>Zhongshan</t>
  </si>
  <si>
    <t>1F&amp;2F No.2 East Lianyuan Road</t>
  </si>
  <si>
    <t>1F&amp;2F No.2 East Lianyuan Road;;528499;Shiqi District, Zhongshan;Guangdong Province</t>
  </si>
  <si>
    <t>CN0039</t>
  </si>
  <si>
    <t>Commercial Capital</t>
  </si>
  <si>
    <t>Hefei</t>
  </si>
  <si>
    <t>No.4 Suzhou Road</t>
  </si>
  <si>
    <t>Anhui Province</t>
  </si>
  <si>
    <t>No.4 Suzhou Road;;230001;Luyang District, Hefei City;Anhui Province</t>
  </si>
  <si>
    <t>CN0040</t>
  </si>
  <si>
    <t>Intime City</t>
  </si>
  <si>
    <t>Dongyang</t>
  </si>
  <si>
    <t>No.428 Xingping (west) Rd.</t>
  </si>
  <si>
    <t>No.428 Xingping (west) Rd.;;322100;Dongyang;Zhejiang Province</t>
  </si>
  <si>
    <t>CN0041</t>
  </si>
  <si>
    <t>Jinglong Shopping CenterB</t>
  </si>
  <si>
    <t>Chengde</t>
  </si>
  <si>
    <t>Unit F1-018, 1F, No.18 Dutongfu Street</t>
  </si>
  <si>
    <t>Unit F1-018, 1F, No.18 Dutongfu Street;;067000;Shuangqiao District, Chengde;Hebei Province</t>
  </si>
  <si>
    <t>CN0043</t>
  </si>
  <si>
    <t>Shijiazhuang</t>
  </si>
  <si>
    <t>Unit L214, 2F, No.108 Zhongshan West Road</t>
  </si>
  <si>
    <t>Unit L214, 2F, No.108 Zhongshan West Road;;050000;Qiaoxi District, Shijiazhuang;Hebei Province</t>
  </si>
  <si>
    <t>CN0044</t>
  </si>
  <si>
    <t>City Media Plaza</t>
  </si>
  <si>
    <t>'H&amp;M, 1F, Qingdao City Media Plaza, No.588 Zhujiang Road</t>
  </si>
  <si>
    <t>'H&amp;M, 1F, Qingdao City Media Plaza, No.588 Zhujiang Road;;266520;Huangdao District, Qingdao City;Shandong Province</t>
  </si>
  <si>
    <t>CN0051</t>
  </si>
  <si>
    <t>Yitian Liuhe Plaza</t>
  </si>
  <si>
    <t>Unit 54-56, 1F, No.168 Shenshan Road</t>
  </si>
  <si>
    <t>Unit 54-56, 1F, No.168 Shenshan Road;;518000;Pingshan New District,Shenzhen;Guangdong Province</t>
  </si>
  <si>
    <t>CN0054</t>
  </si>
  <si>
    <t>Jinshazhou Wanda Plaza</t>
  </si>
  <si>
    <t>Foshan</t>
  </si>
  <si>
    <t>1F,Huangqi Jianshe Avenue Road &amp; Shaxi Road</t>
  </si>
  <si>
    <t>1F,Huangqi Jianshe Avenue Road &amp; Shaxi Road;;528200;Nanhai District, Foshan;Guangdong Province</t>
  </si>
  <si>
    <t>CN0057</t>
  </si>
  <si>
    <t>Julong Avenue</t>
  </si>
  <si>
    <t>Wuhan</t>
  </si>
  <si>
    <t>Julong Avenue;;432200</t>
  </si>
  <si>
    <t>CN0058</t>
  </si>
  <si>
    <t>Kai Yuan Plaza</t>
  </si>
  <si>
    <t>Quanzhou</t>
  </si>
  <si>
    <t>Unit 013-019, 1F, No.373 North Xinhua Road</t>
  </si>
  <si>
    <t>Fujian Province</t>
  </si>
  <si>
    <t>Unit 013-019, 1F, No.373 North Xinhua Road;;326000;Licheng District, Quanzhou;Fujian Province</t>
  </si>
  <si>
    <t>CN0059</t>
  </si>
  <si>
    <t>Pingdingshan Wanda</t>
  </si>
  <si>
    <t>pingdingshan</t>
  </si>
  <si>
    <t>H&amp;M, 1F, Pingdingshan Wanda Plaza, No.899 Jianshe Road</t>
  </si>
  <si>
    <t>H&amp;M, 1F, Pingdingshan Wanda Plaza, No.899 Jianshe Road;;467000;Weidong District, Pingdingshan;Henan Province</t>
  </si>
  <si>
    <t>CN0060</t>
  </si>
  <si>
    <t>Xining City Mall</t>
  </si>
  <si>
    <t>Xining</t>
  </si>
  <si>
    <t>H&amp;M, Xining City Mall, No. 45, Jianguo Stree</t>
  </si>
  <si>
    <t>H&amp;M, Xining City Mall, No. 45, Jianguo Stree;;810000;Chengdong District, Xining</t>
  </si>
  <si>
    <t>CN0061</t>
  </si>
  <si>
    <t>He An City</t>
  </si>
  <si>
    <t>Beihai</t>
  </si>
  <si>
    <t>1F,No.128 Beijing Road</t>
  </si>
  <si>
    <t>1F,No.128 Beijing Road;;536000;Haicheng District, Beiha;Guangxi Zhuang A.R.</t>
  </si>
  <si>
    <t>CN0062</t>
  </si>
  <si>
    <t>Wuika Times Plaza</t>
  </si>
  <si>
    <t>Korlar</t>
  </si>
  <si>
    <t>11:00-22:00</t>
  </si>
  <si>
    <t>11:00-22:30</t>
  </si>
  <si>
    <t>'H&amp;M, Wuika Times Plaza, NO.9 changyang Road</t>
  </si>
  <si>
    <t>Xinjiang Uyghur A.R.</t>
  </si>
  <si>
    <t>'H&amp;M, Wuika Times Plaza, NO.9 changyang Road;;841000;Tuanjie District, Korlar;Xinjiang Uyghur A.R.</t>
  </si>
  <si>
    <t>CN0063</t>
  </si>
  <si>
    <t>Changji</t>
  </si>
  <si>
    <t>11:00-23:00</t>
  </si>
  <si>
    <t>H&amp;M,1F, Huijia Times Changji, No.133 Zhongshan Road</t>
  </si>
  <si>
    <t>H&amp;M,1F, Huijia Times Changji, No.133 Zhongshan Road;;831100;Changji City;Xinjiang Uyghur A.R.</t>
  </si>
  <si>
    <t>CN0065</t>
  </si>
  <si>
    <t>Lanzhou Center</t>
  </si>
  <si>
    <t>Lanzhou</t>
  </si>
  <si>
    <t>No. 16 Xijin West Road Unit 1-028 and 2-042-044</t>
  </si>
  <si>
    <t>Gansu Province</t>
  </si>
  <si>
    <t>No. 16 Xijin West Road Unit 1-028 and 2-042-044;;730050;Qilihe Districkt, Lanzhou City;Gansu Province</t>
  </si>
  <si>
    <t>CN0066</t>
  </si>
  <si>
    <t>Cheer Mall</t>
  </si>
  <si>
    <t>Hengshui</t>
  </si>
  <si>
    <t>Unit F1-12 of 1F &amp; Unit F2-12 of 2F, No.369 East Daqing Road</t>
  </si>
  <si>
    <t>Unit F1-12 of 1F &amp; Unit F2-12 of 2F, No.369 East Daqing Road;;053000;Taocheng District, Hengshui;Hebei Province</t>
  </si>
  <si>
    <t>CN0067</t>
  </si>
  <si>
    <t>Wanda Mall</t>
  </si>
  <si>
    <t>Harbin</t>
  </si>
  <si>
    <t>H&amp;M, 1F, Wanda Mall, No.99 Shimao Avenue</t>
  </si>
  <si>
    <t>Heilongjiang Province</t>
  </si>
  <si>
    <t>H&amp;M, 1F, Wanda Mall, No.99 Shimao Avenue;;163002;Songbei District, Harbin;Heilongjiang Province</t>
  </si>
  <si>
    <t>CN0068</t>
  </si>
  <si>
    <t>Tanggu Wanda</t>
  </si>
  <si>
    <t>H&amp;M, 1F, Wanda Plaza, Dongting Road crossing Shanghai Street</t>
  </si>
  <si>
    <t>H&amp;M, 1F, Wanda Plaza, Dongting Road crossing Shanghai Street;;300457;Tanggu District;Tianjin Municipality</t>
  </si>
  <si>
    <t>CN0070</t>
  </si>
  <si>
    <t>Jinzhou Wanda</t>
  </si>
  <si>
    <t>Jinzhou</t>
  </si>
  <si>
    <t>Unit 1FB,1F,No.21 Keji Road,</t>
  </si>
  <si>
    <t>Unit 1FB,1F,No.21 Keji Road,;;121000;Taihe District, Jinzhou;Liaoning Province</t>
  </si>
  <si>
    <t>CN0073</t>
  </si>
  <si>
    <t>Jinzhong Wanda</t>
  </si>
  <si>
    <t>Jinzhong</t>
  </si>
  <si>
    <t>Unit 1FA, 1F, No.56 Liaoyang Road,</t>
  </si>
  <si>
    <t>Shanxi Province</t>
  </si>
  <si>
    <t>Unit 1FA, 1F, No.56 Liaoyang Road,;;030600;Yuci district, Jinzhong;Shanxi Province</t>
  </si>
  <si>
    <t>CN0074</t>
  </si>
  <si>
    <t>Wanda Plaza</t>
  </si>
  <si>
    <t>Hohhot</t>
  </si>
  <si>
    <t>Unit 1FC, 1F, West Chengjisihan Road</t>
  </si>
  <si>
    <t>Inner Mongolia A.R.</t>
  </si>
  <si>
    <t>Unit 1FC, 1F, West Chengjisihan Road;;010030;Hui Minority Zone District, Hohhot;Inner Mongolia A.R.</t>
  </si>
  <si>
    <t>CN0075</t>
  </si>
  <si>
    <t>Dalian Ganjingzi Wanda</t>
  </si>
  <si>
    <t>Dalian</t>
  </si>
  <si>
    <t>Unit 1FB, 1F, Cross of Shenglin St. and Hongyun Rd.</t>
  </si>
  <si>
    <t>Unit 1FB, 1F, Cross of Shenglin St. and Hongyun Rd.;;116033;Ganjingzi District,Dalian;Liaoning Province</t>
  </si>
  <si>
    <t>CN0078</t>
  </si>
  <si>
    <t>The Place</t>
  </si>
  <si>
    <t>Unit L137 of 1F, Unit L228 of 2F, No.9, Guanghua Road,</t>
  </si>
  <si>
    <t>Unit L137 of 1F, Unit L228 of 2F, No.9, Guanghua Road,;;100020;Chaoyang District, Beijing;Beijing Municipality</t>
  </si>
  <si>
    <t>CN0079</t>
  </si>
  <si>
    <t>Taiyuan MixC</t>
  </si>
  <si>
    <t>Taiyuan</t>
  </si>
  <si>
    <t>Mix C Shopping Mall, No. 5 ChangXing Road, Wanbolin Distric</t>
  </si>
  <si>
    <t>Mix C Shopping Mall, No. 5 ChangXing Road, Wanbolin Distric;;030000;Wanbolin District,Taiyuan City;Shanxi Province</t>
  </si>
  <si>
    <t>CN0080</t>
  </si>
  <si>
    <t>Buji MixC One Shenzhen</t>
  </si>
  <si>
    <t>Unit L176&amp;L286 No.2 Xiangge Road</t>
  </si>
  <si>
    <t>Unit L176&amp;L286 No.2 Xiangge Road;;518100;Luogang district Shenzhen City;Guangdong Province</t>
  </si>
  <si>
    <t>CN0081</t>
  </si>
  <si>
    <t>Jiuzhou New World</t>
  </si>
  <si>
    <t>Changzhou</t>
  </si>
  <si>
    <t>1F, No.999 North Lanling Road</t>
  </si>
  <si>
    <t>1F, No.999 North Lanling Road;;213001;Tianning District,Changzhou;Jiangsu Province</t>
  </si>
  <si>
    <t>CN0085</t>
  </si>
  <si>
    <t>Century Link</t>
  </si>
  <si>
    <t>LG2-006,Century Link, No.1192 Century Avenue</t>
  </si>
  <si>
    <t>LG2-006,Century Link, No.1192 Century Avenue;;200122;Pudong District,Shanghai;Shanghai Municipality</t>
  </si>
  <si>
    <t>CN0088</t>
  </si>
  <si>
    <t>Changsha IFS</t>
  </si>
  <si>
    <t>Changsha</t>
  </si>
  <si>
    <t>No. 188 Jiefang West Road</t>
  </si>
  <si>
    <t>Hunan Province</t>
  </si>
  <si>
    <t>No. 188 Jiefang West Road;;410000;Furong Districtï¼ŒChangsha;Hunan Province</t>
  </si>
  <si>
    <t>CN0091</t>
  </si>
  <si>
    <t>Linping Intime</t>
  </si>
  <si>
    <t>Hangzhou</t>
  </si>
  <si>
    <t>1F No.1 Centry Avenue</t>
  </si>
  <si>
    <t>1F No.1 Centry Avenue;;311100;Hangzhou;Zhejiang Province</t>
  </si>
  <si>
    <t>CN0093</t>
  </si>
  <si>
    <t>Jilin Euroasia Shopping Center</t>
  </si>
  <si>
    <t>Jilin</t>
  </si>
  <si>
    <t>Unit A-22, 1F, No.1-2, Jilin St</t>
  </si>
  <si>
    <t>Jilin Province</t>
  </si>
  <si>
    <t>Unit A-22, 1F, No.1-2, Jilin St;;132013;Fengman District, Jilin;Jilin Province</t>
  </si>
  <si>
    <t>CN0101</t>
  </si>
  <si>
    <t>F</t>
  </si>
  <si>
    <t>Huaihai Road</t>
  </si>
  <si>
    <t>B1-3F, No.645-659 Middle Huaihai Road</t>
  </si>
  <si>
    <t>B1-3F, No.645-659 Middle Huaihai Road;;200020;Xuhui Distric;Shanghai Municipality</t>
  </si>
  <si>
    <t>CN0105</t>
  </si>
  <si>
    <t>Aqua City</t>
  </si>
  <si>
    <t>Unit 138, 1F, No.1 Jiankang Road</t>
  </si>
  <si>
    <t>Unit 138, 1F, No.1 Jiankang Road;;210001;Qinhuai District, Nanjing;Jiangsu Province</t>
  </si>
  <si>
    <t>CN0107</t>
  </si>
  <si>
    <t>Yitian Holiday Plaza</t>
  </si>
  <si>
    <t>No.9028 Shennan Avenue</t>
  </si>
  <si>
    <t>No.9028 Shennan Avenue;;518053;Nanshan District, Shenzhen;Guangdong Province</t>
  </si>
  <si>
    <t>CN0110</t>
  </si>
  <si>
    <t>Inzone</t>
  </si>
  <si>
    <t>Jinan</t>
  </si>
  <si>
    <t>Unit 116-118,W-101, 1F, No.22799 Jingshi Road</t>
  </si>
  <si>
    <t>Unit 116-118,W-101, 1F, No.22799 Jingshi Road;;250021;Huaiyin District, Ji'nan;Shandong Province</t>
  </si>
  <si>
    <t>CN0113</t>
  </si>
  <si>
    <t>In City</t>
  </si>
  <si>
    <t>Unit 1047, 1F, No.1699 Modern Avenue</t>
  </si>
  <si>
    <t>Unit 1047, 1F, No.1699 Modern Avenue;;215021;Industrial District, Suzhou;Jiangsu Province</t>
  </si>
  <si>
    <t>CN0114</t>
  </si>
  <si>
    <t>Glory Mall</t>
  </si>
  <si>
    <t>Unit 46, 1F, No.18 Chongwenmenwai Avenue</t>
  </si>
  <si>
    <t>Unit 46, 1F, No.18 Chongwenmenwai Avenue;;100062;Dongcheng District, Beijing;Beijing Municipality</t>
  </si>
  <si>
    <t>CN0115</t>
  </si>
  <si>
    <t>Paris Spring Department Store</t>
  </si>
  <si>
    <t>Unit 11-12 of L1&amp;Unit 04-05 of L2, No.155 Changshou Road</t>
  </si>
  <si>
    <t>Unit 11-12 of L1&amp;Unit 04-05 of L2, No.155 Changshou Road;;200060;Putuo District;Shanghai Municipality</t>
  </si>
  <si>
    <t>CN0120</t>
  </si>
  <si>
    <t>Tianyi Square Ningbo</t>
  </si>
  <si>
    <t>1st &amp; 2nd floor No.152 Yaohang Street, Haishu District</t>
  </si>
  <si>
    <t>1st &amp; 2nd floor No.152 Yaohang Street, Haishu District;;315000;Haishu District, Ningbo;Zhejiang Province</t>
  </si>
  <si>
    <t>CN0127</t>
  </si>
  <si>
    <t>Sky Mall</t>
  </si>
  <si>
    <t>Unit GF66-72, 1F, No.5001 Dushi Road</t>
  </si>
  <si>
    <t>Unit GF66-72, 1F, No.5001 Dushi Road;;201100;Minhang District,Shanghai;Shanghai Municipality</t>
  </si>
  <si>
    <t>CN0128</t>
  </si>
  <si>
    <t>China Plaza</t>
  </si>
  <si>
    <t>NO.33 Zhongshan 3rd Road</t>
  </si>
  <si>
    <t>NO.33 Zhongshan 3rd Road;;510000;Yuexiu District,Guuangzhou;Guangdong Province</t>
  </si>
  <si>
    <t>CN0130</t>
  </si>
  <si>
    <t>U-Town Live Square</t>
  </si>
  <si>
    <t>No.2 Mitutoyo North Li, No.7 Sanfeng Hutong</t>
  </si>
  <si>
    <t>No.2 Mitutoyo North Li, No.7 Sanfeng Hutong;;100071;Chaoyang District;Beijing Municipality</t>
  </si>
  <si>
    <t>CN0131</t>
  </si>
  <si>
    <t>Wanliu Mall</t>
  </si>
  <si>
    <t>Unit L111-119&amp;L212A-214A, No.2 Bagou Road</t>
  </si>
  <si>
    <t>Unit L111-119&amp;L212A-214A, No.2 Bagou Road;;100080;Haidian district, Beijing;Beijing Municipality</t>
  </si>
  <si>
    <t>CN0133</t>
  </si>
  <si>
    <t>Joy City, Changfeng</t>
  </si>
  <si>
    <t>Unit 107, 1F, Joy City, No.196 Daduhe Road</t>
  </si>
  <si>
    <t>Unit 107, 1F, Joy City, No.196 Daduhe Road;;200062;Putuo District;Shanghai Municipality</t>
  </si>
  <si>
    <t>CN0134</t>
  </si>
  <si>
    <t>ITC 360</t>
  </si>
  <si>
    <t>39 Huayuan Road</t>
  </si>
  <si>
    <t>Hainan Province</t>
  </si>
  <si>
    <t>39 Huayuan Road;;450000;Jinshui, Zhengzhou;Hainan Province</t>
  </si>
  <si>
    <t>CN0136</t>
  </si>
  <si>
    <t>Grandview Mall</t>
  </si>
  <si>
    <t>09:50-22:30</t>
  </si>
  <si>
    <t>09:50-22:00</t>
  </si>
  <si>
    <t>No.228 Tianhe Roadï¼ŒTianhe District, Guangzhou City</t>
  </si>
  <si>
    <t>No.228 Tianhe Roadï¼ŒTianhe District, Guangzhou City;;510620;Tianhe District, Guangzhou City;Guangdong Province</t>
  </si>
  <si>
    <t>CN0138</t>
  </si>
  <si>
    <t>CARE City</t>
  </si>
  <si>
    <t>Unit F01-02&amp;02-02, 1F, No.16 South Third Ring Road West</t>
  </si>
  <si>
    <t>Unit F01-02&amp;02-02, 1F, No.16 South Third Ring Road West;;100070;Fengtai district, Beijing;Beijing Municipality</t>
  </si>
  <si>
    <t>CN0139</t>
  </si>
  <si>
    <t>Century Oriental Plaza</t>
  </si>
  <si>
    <t>1F, No.1083 Middle Zhongshan Road</t>
  </si>
  <si>
    <t>1F, No.1083 Middle Zhongshan Road;;315042;Jiangdong District, Ningbo;Zhejiang Province</t>
  </si>
  <si>
    <t>CN0140</t>
  </si>
  <si>
    <t>North Paradise Walk Chongqing</t>
  </si>
  <si>
    <t>Chongqing</t>
  </si>
  <si>
    <t>Unit 1A18&amp;2A18 No.10 Beicheng Street</t>
  </si>
  <si>
    <t>Chongqing Municipality</t>
  </si>
  <si>
    <t>Unit 1A18&amp;2A18 No.10 Beicheng Street;;400020;Chongqing;Chongqing Municipality</t>
  </si>
  <si>
    <t>CN0142</t>
  </si>
  <si>
    <t>Galleria Chengdu</t>
  </si>
  <si>
    <t>Chengdu</t>
  </si>
  <si>
    <t>No.99 Shengheyi Rd</t>
  </si>
  <si>
    <t>No.99 Shengheyi Rd;;610017;Wuhou district, Chengdu;Sichuan Province</t>
  </si>
  <si>
    <t>CN0143</t>
  </si>
  <si>
    <t>Joy City_Shenyang</t>
  </si>
  <si>
    <t>Unit B128-B133&amp;C126&amp;C230, No.10 Xiaodong Road</t>
  </si>
  <si>
    <t>Unit B128-B133&amp;C126&amp;C230, No.10 Xiaodong Road;;110411;Dadong District, Shenyang;Liaoning Province</t>
  </si>
  <si>
    <t>CN0144</t>
  </si>
  <si>
    <t>Star Mall</t>
  </si>
  <si>
    <t>No.6,Middle Bei Er Rd</t>
  </si>
  <si>
    <t>No.6,Middle Bei Er Rd;;110025;Tie Xi District;Liaoning Province</t>
  </si>
  <si>
    <t>CN0145</t>
  </si>
  <si>
    <t>Fuli Tianhui Mall</t>
  </si>
  <si>
    <t>Unit 2016-2019, No.269 Shuncheng Street</t>
  </si>
  <si>
    <t>Unit 2016-2019, No.269 Shuncheng Street;;610015;Qingyang District,Chengdu;Sichuan Province</t>
  </si>
  <si>
    <t>CN0146</t>
  </si>
  <si>
    <t>La Nova</t>
  </si>
  <si>
    <t>Unit L1008, 1F, No.188 Middle Huangxing Road</t>
  </si>
  <si>
    <t>Unit L1008, 1F, No.188 Middle Huangxing Road;;410005;Furong District, Changsha;Hunan Province</t>
  </si>
  <si>
    <t>CN0147</t>
  </si>
  <si>
    <t>Mingtai Plaza</t>
  </si>
  <si>
    <t>Unit 101, 1F, No.12 West Section Chunxi Road</t>
  </si>
  <si>
    <t>Unit 101, 1F, No.12 West Section Chunxi Road;;610016;Jinjiang District, Chengdu;Sichuan Province</t>
  </si>
  <si>
    <t>CN0152</t>
  </si>
  <si>
    <t>Unit W06 of 1F&amp;W05 of 2F, No.11 East Zhongshan Road</t>
  </si>
  <si>
    <t>Unit W06 of 1F&amp;W05 of 2F, No.11 East Zhongshan Road;;050010;Shiqiao District, Shi Jiazhuang;Hebei Province</t>
  </si>
  <si>
    <t>CN0153</t>
  </si>
  <si>
    <t>Wanda Lingjiao Lake Mall</t>
  </si>
  <si>
    <t>No.5 Tangjiadun Rd</t>
  </si>
  <si>
    <t>Hubei Province</t>
  </si>
  <si>
    <t>No.5 Tangjiadun Rd;;430015;Jianghan District, Wuhan;Hubei Province</t>
  </si>
  <si>
    <t>CN0155</t>
  </si>
  <si>
    <t>Golden Eagle</t>
  </si>
  <si>
    <t>Unit 02-04 of 1F, Unit 02-04 of 2F, No.168 Weiyuan Street</t>
  </si>
  <si>
    <t>Unit 02-04 of 1F, Unit 02-04 of 2F, No.168 Weiyuan Street;;650021;Kunming;Yunnan Province</t>
  </si>
  <si>
    <t>CN0156</t>
  </si>
  <si>
    <t>Vivo City</t>
  </si>
  <si>
    <t>Xi'an</t>
  </si>
  <si>
    <t>1F, No.155 West Section South Erhuan Road</t>
  </si>
  <si>
    <t>Shaanxi Province</t>
  </si>
  <si>
    <t>1F, No.155 West Section South Erhuan Road;;710001;Beilin District, Xi'an;Shaanxi Province</t>
  </si>
  <si>
    <t>CN0157</t>
  </si>
  <si>
    <t>TianXing Roosevelt Center</t>
  </si>
  <si>
    <t>Center139 Xi'an Road</t>
  </si>
  <si>
    <t>Center139 Xi'an Road;;116021;Shahekou, Dalian;Liaoning Province</t>
  </si>
  <si>
    <t>CN0158</t>
  </si>
  <si>
    <t>Unit 01A-07, 1F, No.36 Jihuawu Road</t>
  </si>
  <si>
    <t>Unit 01A-07, 1F, No.36 Jihuawu Road;;528010;Chan Cheng District, Foshan City;Guangdong Province</t>
  </si>
  <si>
    <t>CN0159</t>
  </si>
  <si>
    <t>Hongbo Exhibition Park</t>
  </si>
  <si>
    <t>No.301 Hongqi Street</t>
  </si>
  <si>
    <t>No.301 Hongqi Street;;150000;Nangang District, Harbin;Heilongjiang Province</t>
  </si>
  <si>
    <t>CN0161</t>
  </si>
  <si>
    <t>Pudong Kerry Parkside</t>
  </si>
  <si>
    <t>No.1378 Huamu Road</t>
  </si>
  <si>
    <t>No.1378 Huamu Road;;201204;Pudong New District;Shanghai Municipality</t>
  </si>
  <si>
    <t>CN0162</t>
  </si>
  <si>
    <t>Indigo</t>
  </si>
  <si>
    <t>No.18 Jiuxianqiao Road</t>
  </si>
  <si>
    <t>No.18 Jiuxianqiao Road;;100016;Chaoyang District;Beijing Municipality</t>
  </si>
  <si>
    <t>CN0163</t>
  </si>
  <si>
    <t>Galleria Mall</t>
  </si>
  <si>
    <t>Dawning Xili Hospital No.5, East Fourth Street</t>
  </si>
  <si>
    <t>Dawning Xili Hospital No.5, East Fourth Street;;100028;Chaoyang District;Beijing Municipality</t>
  </si>
  <si>
    <t>CN0164</t>
  </si>
  <si>
    <t>Changchun Dept. Store</t>
  </si>
  <si>
    <t>Changchun</t>
  </si>
  <si>
    <t>1881 Renmin Avenue</t>
  </si>
  <si>
    <t>1881 Renmin Avenue;;130061;Chaoyang, Changchun</t>
  </si>
  <si>
    <t>CN0166</t>
  </si>
  <si>
    <t>Dynacity City Mall</t>
  </si>
  <si>
    <t>Dongguan</t>
  </si>
  <si>
    <t>1001B,No. 229 East Dongsheng Road</t>
  </si>
  <si>
    <t>1001B,No. 229 East Dongsheng Road;;523122;Dongcheng District, Dongguan City;Guangdong Province</t>
  </si>
  <si>
    <t>CN0168</t>
  </si>
  <si>
    <t>Zhongnan City</t>
  </si>
  <si>
    <t>Nantong</t>
  </si>
  <si>
    <t>Unit L1012-16&amp;L2012-16, No.12 Taoyuan Road</t>
  </si>
  <si>
    <t>Unit L1012-16&amp;L2012-16, No.12 Taoyuan Road;;226018;Chongchuan District,Nantong;Jiangsu Province</t>
  </si>
  <si>
    <t>CN0173</t>
  </si>
  <si>
    <t>huli wanda Plaza</t>
  </si>
  <si>
    <t>Xiamen</t>
  </si>
  <si>
    <t>Unit 2-25,No.4666 Xianyue Road</t>
  </si>
  <si>
    <t>Unit 2-25,No.4666 Xianyue Road;;361000;Huli District, Xiamen;Fujian Province</t>
  </si>
  <si>
    <t>CN0174</t>
  </si>
  <si>
    <t>South Asia Mall</t>
  </si>
  <si>
    <t>No.569 Dianchi Road</t>
  </si>
  <si>
    <t>No.569 Dianchi Road;;650228;Kunming Xishan District;Yunnan Province</t>
  </si>
  <si>
    <t>CN0175</t>
  </si>
  <si>
    <t>Solana</t>
  </si>
  <si>
    <t>6 Chaoyang Park Road</t>
  </si>
  <si>
    <t>6 Chaoyang Park Road;;100026;Chaoyang, Beijing;Beijing Municipality</t>
  </si>
  <si>
    <t>CN0176</t>
  </si>
  <si>
    <t>Seasons Mall</t>
  </si>
  <si>
    <t>Unit 107 &amp;Unit B120,B127-130, No.85-87 Huacheng Avenue</t>
  </si>
  <si>
    <t>Unit 107 &amp;Unit B120,B127-130, No.85-87 Huacheng Avenue;;510623;Tianhe District, Guangzhou City;Guangdong Province</t>
  </si>
  <si>
    <t>CN0177</t>
  </si>
  <si>
    <t>No.18 Dafeng Road</t>
  </si>
  <si>
    <t>No.18 Dafeng Road;;300120;Hongqiao District;Tianjin Municipality</t>
  </si>
  <si>
    <t>CN0178</t>
  </si>
  <si>
    <t>Bailanghe Holiday Plaza</t>
  </si>
  <si>
    <t>Weifang</t>
  </si>
  <si>
    <t>L119-124&amp;L222-227, Bai Langhe, No.8580 East Dongfeng Street</t>
  </si>
  <si>
    <t>L119-124&amp;L222-227, Bai Langhe, No.8580 East Dongfeng Street;;261061;Kuiwen District, Weifang;Shandong Province</t>
  </si>
  <si>
    <t>CN0179</t>
  </si>
  <si>
    <t>Wanda Han Street</t>
  </si>
  <si>
    <t>NO.1 Han Street</t>
  </si>
  <si>
    <t>NO.1 Han Street;;430064;Wuchang, Wuhan;Hubei Province</t>
  </si>
  <si>
    <t>CN0182</t>
  </si>
  <si>
    <t>SM City</t>
  </si>
  <si>
    <t>Unit 100-118,No.468 Jiahe Road</t>
  </si>
  <si>
    <t>Unit 100-118,No.468 Jiahe Road;;361009;Xianmen;Fujian Province</t>
  </si>
  <si>
    <t>CN0183</t>
  </si>
  <si>
    <t>Cangshan Wanda Plaza</t>
  </si>
  <si>
    <t>Fuzhou</t>
  </si>
  <si>
    <t>Unit 1-73,Building 3,No.276 Pushang Avenue</t>
  </si>
  <si>
    <t>Unit 1-73,Building 3,No.276 Pushang Avenue;;350008;Cangshan District, Fuzhou;Fujian Province</t>
  </si>
  <si>
    <t>CN0184</t>
  </si>
  <si>
    <t>Thumb Plaza</t>
  </si>
  <si>
    <t>880 Tongan Road</t>
  </si>
  <si>
    <t>880 Tongan Road;;266035;Laoshan District;Shandong Province</t>
  </si>
  <si>
    <t>CN0185</t>
  </si>
  <si>
    <t>Joy City</t>
  </si>
  <si>
    <t>No.2 NanMenWai Street</t>
  </si>
  <si>
    <t>No.2 NanMenWai Street;;300199;Nankai District;Tianjin Municipality</t>
  </si>
  <si>
    <t>CN0186</t>
  </si>
  <si>
    <t>Fortune Plaza</t>
  </si>
  <si>
    <t>Unit 23, 1F, No.1 East Honghu Road</t>
  </si>
  <si>
    <t>Unit 23, 1F, No.1 East Honghu Road;;401121;Yubei District, Chongqing;Chongqing Municipality</t>
  </si>
  <si>
    <t>CN0187</t>
  </si>
  <si>
    <t>Bailian Shopping Plaza Shanghai</t>
  </si>
  <si>
    <t>Unit G491002No.2038 Huashan Road</t>
  </si>
  <si>
    <t>Unit G491002No.2038 Huashan Road;;200030;Xuhui District;Shanghai Municipality</t>
  </si>
  <si>
    <t>CN0189</t>
  </si>
  <si>
    <t>Lihe Plaza Shopping Mall</t>
  </si>
  <si>
    <t>Unit 110-111, No.16 ZhongShanSan Road</t>
  </si>
  <si>
    <t>Unit 110-111, No.16 ZhongShanSan Road;;528400;Zhongshan, Guangdong;Guangdong Province</t>
  </si>
  <si>
    <t>CN0190</t>
  </si>
  <si>
    <t>BHG Mall</t>
  </si>
  <si>
    <t>Part F of Tiantong Town, DongSanQi Road</t>
  </si>
  <si>
    <t>Part F of Tiantong Town, DongSanQi Road;;102200;Changping District;Beijing Municipality</t>
  </si>
  <si>
    <t>CN0192</t>
  </si>
  <si>
    <t>Capital Mall</t>
  </si>
  <si>
    <t>No.1 Xuefu Road</t>
  </si>
  <si>
    <t>No.1 Xuefu Road;;150080;Nangang District, Harbin;Heilongjiang Province</t>
  </si>
  <si>
    <t>CN0193</t>
  </si>
  <si>
    <t>Baoshan Wanda Plaza</t>
  </si>
  <si>
    <t>Unit 116, 1F, No.988 Yi'erbajinian Road</t>
  </si>
  <si>
    <t>Unit 116, 1F, No.988 Yi'erbajinian Road;;200431;Baoshan District, Shanghai;Shanghai Municipality</t>
  </si>
  <si>
    <t>CN0194</t>
  </si>
  <si>
    <t>Coco Park</t>
  </si>
  <si>
    <t>Unit 010-013 of 1F, No.666 Ainan Road</t>
  </si>
  <si>
    <t>Unit 010-013 of 1F, No.666 Ainan Road;;518100;Longgang Shenzhen;Guangdong Province</t>
  </si>
  <si>
    <t>CN0195</t>
  </si>
  <si>
    <t>Galaxy International Shopping Mall</t>
  </si>
  <si>
    <t>No.9 Leyuan Road</t>
  </si>
  <si>
    <t>No.9 Leyuan Road;;300201;Hexi District;Tianjin Municipality</t>
  </si>
  <si>
    <t>CN0196</t>
  </si>
  <si>
    <t>VC Park</t>
  </si>
  <si>
    <t>Unit 0-080&amp;1-062, No.1079 Beijing Road</t>
  </si>
  <si>
    <t>Unit 0-080&amp;1-062, No.1079 Beijing Road;;650224;Kunming Panlong District;Yunnan Province</t>
  </si>
  <si>
    <t>CN0197</t>
  </si>
  <si>
    <t>SDC Mall</t>
  </si>
  <si>
    <t>Unit 111-121&amp;136-149, No.455 Yishan Road</t>
  </si>
  <si>
    <t>Unit 111-121&amp;136-149, No.455 Yishan Road;;200233;Xuhui District, Shanghai;Shanghai Municipality</t>
  </si>
  <si>
    <t>CN0201</t>
  </si>
  <si>
    <t>AoYuan Plaza</t>
  </si>
  <si>
    <t>Unit 107&amp;276,No.315 Qiao Nan Fu De Road</t>
  </si>
  <si>
    <t>Unit 107&amp;276,No.315 Qiao Nan Fu De Road;;511488;Panyu District, Guangzhou;Guangdong Province</t>
  </si>
  <si>
    <t>CN0202</t>
  </si>
  <si>
    <t>Six Gongge Area of System Mall</t>
  </si>
  <si>
    <t>No.1 South Laodong Road</t>
  </si>
  <si>
    <t>No.1 South Laodong Road;;710062;Lianhu District, Xi'an;Shaanxi Province</t>
  </si>
  <si>
    <t>CN0203</t>
  </si>
  <si>
    <t>No.53 Jinbin Avenue</t>
  </si>
  <si>
    <t>No.53 Jinbin Avenue;;300160;Hedong District;Tianjin Municipality</t>
  </si>
  <si>
    <t>CN0206</t>
  </si>
  <si>
    <t>Swan Lake Wanda Plaza</t>
  </si>
  <si>
    <t>Unit A, 1F, No.3818 South Erhuan Road</t>
  </si>
  <si>
    <t>Unit A, 1F, No.3818 South Erhuan Road;;362018;Shushan District, Hefei;Anhui Province</t>
  </si>
  <si>
    <t>CN0207</t>
  </si>
  <si>
    <t>Solea City- MSD-A</t>
  </si>
  <si>
    <t>No.56, The Second Ave.</t>
  </si>
  <si>
    <t>No.56, The Second Ave.;;300457;Economic Zone;Tianjin Municipality</t>
  </si>
  <si>
    <t>CN0209</t>
  </si>
  <si>
    <t>Wusheng Capital Mall</t>
  </si>
  <si>
    <t>1F, NO.238 Zhongshan Avenue</t>
  </si>
  <si>
    <t>1F, NO.238 Zhongshan Avenue;;430030;Qiaokou District, Wuhan;Hubei Province</t>
  </si>
  <si>
    <t>CN0210</t>
  </si>
  <si>
    <t>Cosmo City</t>
  </si>
  <si>
    <t>Unit 08, 1F, No.189 West Changjiang Road</t>
  </si>
  <si>
    <t>Unit 08, 1F, No.189 West Changjiang Road;;230031;Shushan District, Hefei;Anhui Province</t>
  </si>
  <si>
    <t>CN0211</t>
  </si>
  <si>
    <t>Global Harbor</t>
  </si>
  <si>
    <t>Unit B1125-B1132, B1, No.3300 North Zhongshan Road</t>
  </si>
  <si>
    <t>Unit B1125-B1132, B1, No.3300 North Zhongshan Road;;200062;Putuo District, Shanghai;Shanghai Municipality</t>
  </si>
  <si>
    <t>CN0212</t>
  </si>
  <si>
    <t>Ningde</t>
  </si>
  <si>
    <t>1F, No.1 East Tianhu Road</t>
  </si>
  <si>
    <t>1F, No.1 East Tianhu Road;;352101;Dongqiao Economic District, Ningde;Fujian Province</t>
  </si>
  <si>
    <t>CN0213</t>
  </si>
  <si>
    <t>Beiyi Wanda</t>
  </si>
  <si>
    <t>1 Middle Beiyi Road</t>
  </si>
  <si>
    <t>1 Middle Beiyi Road;;110025;Tiexi, Shenyang;Liaoning Province</t>
  </si>
  <si>
    <t>CN0214</t>
  </si>
  <si>
    <t>One City Shunde</t>
  </si>
  <si>
    <t>Shunde</t>
  </si>
  <si>
    <t>Unit100 of 1F&amp;2F, No.268 Dingle Road</t>
  </si>
  <si>
    <t>Unit100 of 1F&amp;2F, No.268 Dingle Road;;528399;Shun De District , Foshan City;Guangdong Province</t>
  </si>
  <si>
    <t>CN0215</t>
  </si>
  <si>
    <t>Jinjiang Wanda</t>
  </si>
  <si>
    <t>Jinjiang</t>
  </si>
  <si>
    <t>Unit A, 1F, No.888 Century avenue</t>
  </si>
  <si>
    <t>Unit A, 1F, No.888 Century avenue;;362201;Jinjiang;Fujian Province</t>
  </si>
  <si>
    <t>CN0216</t>
  </si>
  <si>
    <t>Honggutan Wanda Plaza</t>
  </si>
  <si>
    <t>Nanchang</t>
  </si>
  <si>
    <t>Unit C, 1F, No.999 Huizhan Road</t>
  </si>
  <si>
    <t>Jiangxi Province</t>
  </si>
  <si>
    <t>Unit C, 1F, No.999 Huizhan Road;;330038;Qingshanhu District, Nanchang;Jiangxi Province</t>
  </si>
  <si>
    <t>CN0217</t>
  </si>
  <si>
    <t>ID Mall</t>
  </si>
  <si>
    <t>1F&amp;2F,No.216 Pozi Street</t>
  </si>
  <si>
    <t>1F&amp;2F,No.216 Pozi Street;;410002;Tianxin District,Changsha;Hunan Province</t>
  </si>
  <si>
    <t>CN0218</t>
  </si>
  <si>
    <t>LSE City Life Plaza</t>
  </si>
  <si>
    <t>Unit 1009, 1F,No.333 Jincheng Road</t>
  </si>
  <si>
    <t>Unit 1009, 1F,No.333 Jincheng Road;;311202;Xiaoshan District, Hangzhou;Zhejiang Province</t>
  </si>
  <si>
    <t>CN0219</t>
  </si>
  <si>
    <t>Dream Port</t>
  </si>
  <si>
    <t>No.68 Middle Qinghe Road, L175A&amp;L270A</t>
  </si>
  <si>
    <t>No.68 Middle Qinghe Road, L175A&amp;L270A;;100085;Haidian District;Beijing Municipality</t>
  </si>
  <si>
    <t>CN0220</t>
  </si>
  <si>
    <t>Nanning</t>
  </si>
  <si>
    <t>No. 136 National Road</t>
  </si>
  <si>
    <t>No. 136 National Road;;530028;Qingxiu District, Nanning City;Guangxi Zhuang A.R.</t>
  </si>
  <si>
    <t>CN0221</t>
  </si>
  <si>
    <t>Road Pu Xi Wanda</t>
  </si>
  <si>
    <t>Unit C, 1F, No.689 Baozhou Road</t>
  </si>
  <si>
    <t>Unit C, 1F, No.689 Baozhou Road;;362018;Fengze District, Quanzhou;Fujian Province</t>
  </si>
  <si>
    <t>CN0222</t>
  </si>
  <si>
    <t>Wongtee Plaza</t>
  </si>
  <si>
    <t>No.118, 3rd Fuhua Road</t>
  </si>
  <si>
    <t>No.118, 3rd Fuhua Road;;518035;Futian District, Shenzhen;Guangdong Province</t>
  </si>
  <si>
    <t>CN0223</t>
  </si>
  <si>
    <t>Wonder City</t>
  </si>
  <si>
    <t>Unit E03,1F&amp;2F,No.619 Yingtian Street</t>
  </si>
  <si>
    <t>Unit E03,1F&amp;2F,No.619 Yingtian Street;;210012;Yu Huatai District, Nanjing;Jiangsu Province</t>
  </si>
  <si>
    <t>CN0224</t>
  </si>
  <si>
    <t>Licang Wanda</t>
  </si>
  <si>
    <t>No.148 Jufeng Road, Units 1-A</t>
  </si>
  <si>
    <t>No.148 Jufeng Road, Units 1-A;;266199;Licang Qu, Qingdao;Shandong Province</t>
  </si>
  <si>
    <t>CN0226</t>
  </si>
  <si>
    <t>Hualian Changying Shopping Center</t>
  </si>
  <si>
    <t>No.17 North Chaoyang Road</t>
  </si>
  <si>
    <t>No.17 North Chaoyang Road;;100024;Chaoyang District;Beijing Municipality</t>
  </si>
  <si>
    <t>CN0227</t>
  </si>
  <si>
    <t>Harmony Plaza</t>
  </si>
  <si>
    <t>Linyi</t>
  </si>
  <si>
    <t>No.158 Jiefang Road</t>
  </si>
  <si>
    <t>No.158 Jiefang Road;;276003;Lanshan District, Linyi;Shandong Province</t>
  </si>
  <si>
    <t>CN0228</t>
  </si>
  <si>
    <t>Raffles City</t>
  </si>
  <si>
    <t>1F &amp; B1ï¼ŒNo.3 Section 4 of South Renmin Road</t>
  </si>
  <si>
    <t>1F &amp; B1ï¼ŒNo.3 Section 4 of South Renmin Road;;610042;Wuhou District, Chengdu;Sichuan Province</t>
  </si>
  <si>
    <t>CN0229</t>
  </si>
  <si>
    <t>Rock City</t>
  </si>
  <si>
    <t>Block A,No.7 Xiazhuang Rd</t>
  </si>
  <si>
    <t>Block A,No.7 Xiazhuang Rd;;266199;Licang District, Qingdao;Shandong Province</t>
  </si>
  <si>
    <t>CN0230</t>
  </si>
  <si>
    <t>Zhang Zhou Wanda Plaza</t>
  </si>
  <si>
    <t>Zhangzhou</t>
  </si>
  <si>
    <t>Unit A, 1F, No.2 East Jianyuan Road</t>
  </si>
  <si>
    <t>Unit A, 1F, No.2 East Jianyuan Road;;363000;Longwen District, Zhangzhou;Fujian Province</t>
  </si>
  <si>
    <t>CN0232</t>
  </si>
  <si>
    <t>Hong Qi Wanda Plaza</t>
  </si>
  <si>
    <t>Floor 1 , No.616 Hong Qi Street</t>
  </si>
  <si>
    <t>Floor 1 , No.616 Hong Qi Street;;130021;Chaoyang District, Changchun;Jilin Province</t>
  </si>
  <si>
    <t>CN0233</t>
  </si>
  <si>
    <t>All City Shenzhen</t>
  </si>
  <si>
    <t>1F&amp;2F No.2199 GongyeBa Road</t>
  </si>
  <si>
    <t>1F&amp;2F No.2199 GongyeBa Road;;518067;Nanshan, Shenzhen;Guangdong Province</t>
  </si>
  <si>
    <t>CN0234</t>
  </si>
  <si>
    <t>Jinniu Wanda</t>
  </si>
  <si>
    <t>1F,No.1 North Section 3 of Yihuan Road</t>
  </si>
  <si>
    <t>1F,No.1 North Section 3 of Yihuan Road;;610081;Jinniu District, Chengdu;Sichuan Province</t>
  </si>
  <si>
    <t>CN0235</t>
  </si>
  <si>
    <t>Tesco Lifespace</t>
  </si>
  <si>
    <t>Anshan</t>
  </si>
  <si>
    <t>No.48,South Jianguo Rd</t>
  </si>
  <si>
    <t>No.48,South Jianguo Rd;;114000;Tiedong District,Anshan;Liaoning Province</t>
  </si>
  <si>
    <t>CN0236</t>
  </si>
  <si>
    <t>InCity</t>
  </si>
  <si>
    <t>Unit 01-13&amp;02-14,No.288 North Qianhu Road</t>
  </si>
  <si>
    <t>Unit 01-13&amp;02-14,No.288 North Qianhu Road;;315121;Yinzhou District, Ningbo;Zhejiang Province</t>
  </si>
  <si>
    <t>CN0238</t>
  </si>
  <si>
    <t>SM City Plaza</t>
  </si>
  <si>
    <t>1F,No.29 East Section 2 of Erhuan Road</t>
  </si>
  <si>
    <t>1F,No.29 East Section 2 of Erhuan Road;;610051;Chenghua District,Chengdu;Sichuan Province</t>
  </si>
  <si>
    <t>CN0239</t>
  </si>
  <si>
    <t>Unit 17C,18AB,19,20B of Commercial Building 1F</t>
  </si>
  <si>
    <t>Unit 17C,18AB,19,20B of Commercial Building 1F;;710054;Beilin District, Xi'an;Shaanxi Province</t>
  </si>
  <si>
    <t>CN0240</t>
  </si>
  <si>
    <t>New Century Global Center</t>
  </si>
  <si>
    <t>Unit B08,1F&amp;B20,B1,No.1700 North Section of Tianfu Avenue</t>
  </si>
  <si>
    <t>Unit B08,1F&amp;B20,B1,No.1700 North Section of Tianfu Avenue;;610041;High-tech Zone, Chengdu;Sichuan Province</t>
  </si>
  <si>
    <t>CN0241</t>
  </si>
  <si>
    <t>Perennial Jihua Mall Foshan</t>
  </si>
  <si>
    <t>1F&amp;2F&amp;3F No.45 South Guilan Road</t>
  </si>
  <si>
    <t>1F&amp;2F&amp;3F No.45 South Guilan Road;;528203;Nanhai District,Foshan;Guangdong Province</t>
  </si>
  <si>
    <t>CN0242</t>
  </si>
  <si>
    <t>Longgang Vanke Shenzhen</t>
  </si>
  <si>
    <t>1F&amp;2F Longxiang Avenue</t>
  </si>
  <si>
    <t>1F&amp;2F Longxiang Avenue;;518172;Longgang District, Shenzhen;Guangdong Province</t>
  </si>
  <si>
    <t>CN0243</t>
  </si>
  <si>
    <t>Baiyun Wanda Plaza Guangzhou</t>
  </si>
  <si>
    <t>Unit 168-170 No.509 East Yuncheng Road</t>
  </si>
  <si>
    <t>Unit 168-170 No.509 East Yuncheng Road;;510420;Baiyun District,Guangzhou;Guangdong Province</t>
  </si>
  <si>
    <t>CN0244</t>
  </si>
  <si>
    <t>Happy Mall Shenzhen</t>
  </si>
  <si>
    <t>Unit 034-038 No.8 East Section of Baishi Road</t>
  </si>
  <si>
    <t>Unit 034-038 No.8 East Section of Baishi Road;;518058;Nanshan District, Shenzhen;Guangdong Province</t>
  </si>
  <si>
    <t>CN0245</t>
  </si>
  <si>
    <t>Taihot Plaza Fuzhou</t>
  </si>
  <si>
    <t>No.6,Banzhong Rd,Xindian town, unit M1001/M2001/M3004</t>
  </si>
  <si>
    <t>No.6,Banzhong Rd,Xindian town, unit M1001/M2001/M3004;;350012;Jin'an District, Fuzhou;Fujian Province</t>
  </si>
  <si>
    <t>CN0246</t>
  </si>
  <si>
    <t>Triumph Plaza</t>
  </si>
  <si>
    <t>Luoyang</t>
  </si>
  <si>
    <t>1F, No.251 Middle Zhongzhou Road</t>
  </si>
  <si>
    <t>1F, No.251 Middle Zhongzhou Road;;471099;Xigong District, Luoyang;Henan Province</t>
  </si>
  <si>
    <t>CN0249</t>
  </si>
  <si>
    <t>City West Intime Plaza</t>
  </si>
  <si>
    <t>Unit 070,072,073,075,1F&amp;063,068,069,2F,No.380 Fengtan Road</t>
  </si>
  <si>
    <t>Unit 070,072,073,075,1F&amp;063,068,069,2F,No.380 Fengtan Road;;310000;Gongshu District, Hangzhou;Zhejiang Province</t>
  </si>
  <si>
    <t>CN0250</t>
  </si>
  <si>
    <t>Dalian Wanda Plaza</t>
  </si>
  <si>
    <t>Unit B, 1F, No.500 Huangpu Road</t>
  </si>
  <si>
    <t>Unit B, 1F, No.500 Huangpu Road;;123456;Ganjinzi District, Dalian;Liaoning Province</t>
  </si>
  <si>
    <t>CN0251</t>
  </si>
  <si>
    <t>Aishan Square</t>
  </si>
  <si>
    <t>Huzhou</t>
  </si>
  <si>
    <t>Unit 1080&amp;2080, No.6-7 of Aishan Square, No.368 Renmin Road</t>
  </si>
  <si>
    <t>Unit 1080&amp;2080, No.6-7 of Aishan Square, No.368 Renmin Road;;313099;Wuxing District, Huzhou;Zhejiang Province</t>
  </si>
  <si>
    <t>CN0255</t>
  </si>
  <si>
    <t>Costal City</t>
  </si>
  <si>
    <t>Wuxi</t>
  </si>
  <si>
    <t>1F,168 Lixin Avenue</t>
  </si>
  <si>
    <t>1F,168 Lixin Avenue;;214000;Binhu District, Wuxi;Jiangsu Province</t>
  </si>
  <si>
    <t>CN0256</t>
  </si>
  <si>
    <t>Haiya Mega Mall Shenzhen</t>
  </si>
  <si>
    <t>Unit B183, No.99 Jian'an Yi Road</t>
  </si>
  <si>
    <t>Unit B183, No.99 Jian'an Yi Road;;518101;Baoan District, Shenzhen;Guangdong Province</t>
  </si>
  <si>
    <t>CN0257</t>
  </si>
  <si>
    <t>Yixing</t>
  </si>
  <si>
    <t>1F,No.550 Donghong Road</t>
  </si>
  <si>
    <t>1F,No.550 Donghong Road;;214299;Xinbei District, Yixing;Jiangsu Province</t>
  </si>
  <si>
    <t>CN0258</t>
  </si>
  <si>
    <t>Wanda Plaza Xiamen</t>
  </si>
  <si>
    <t>Unit1036, No.137 Yinjiang Road</t>
  </si>
  <si>
    <t>Unit1036, No.137 Yinjiang Road;;361021;Jimei District Xiamen;Fujian Province</t>
  </si>
  <si>
    <t>CN0259</t>
  </si>
  <si>
    <t>MixC Zhengzhou</t>
  </si>
  <si>
    <t>Unit 218-220&amp;317-318, MixC , No.10 Minzhu Road</t>
  </si>
  <si>
    <t>Unit 218-220&amp;317-318, MixC , No.10 Minzhu Road;;450099;Erqi District, Zhengzhou;Henan Province</t>
  </si>
  <si>
    <t>CN0260</t>
  </si>
  <si>
    <t>Jinjiang SM Mall</t>
  </si>
  <si>
    <t>Unit 1030-1000b,1F,No.684 East Fuxing Road</t>
  </si>
  <si>
    <t>Unit 1030-1000b,1F,No.684 East Fuxing Road;;362216;Fupu Community, Jinjiang;Fujian Province</t>
  </si>
  <si>
    <t>CN0261</t>
  </si>
  <si>
    <t>Wanzhou Wanda Plaza</t>
  </si>
  <si>
    <t>Unit B,1F,No.998 Section 2 of Beibing Avenue</t>
  </si>
  <si>
    <t>Unit B,1F,No.998 Section 2 of Beibing Avenue;;404199;Wanzhou District, Chongqing;Chongqing Municipality</t>
  </si>
  <si>
    <t>CN0262</t>
  </si>
  <si>
    <t>Changan Wanda Dongguan</t>
  </si>
  <si>
    <t>Unit B, No.1 Middle Dongmen Road</t>
  </si>
  <si>
    <t>Unit B, No.1 Middle Dongmen Road;;523841;Changâ€˜an Town,Dongguan;Guangdong Province</t>
  </si>
  <si>
    <t>CN0263</t>
  </si>
  <si>
    <t>Laiyoulai Mall</t>
  </si>
  <si>
    <t>No. 39 Longzhu Road, Xinhua Street,</t>
  </si>
  <si>
    <t>No. 39 Longzhu Road, Xinhua Street,;;510800;Huadu District, Guangzhou;Guangdong Province</t>
  </si>
  <si>
    <t>CN0264</t>
  </si>
  <si>
    <t>Garland Guiyag</t>
  </si>
  <si>
    <t>Guiyang</t>
  </si>
  <si>
    <t>No.1 Garland Avenue</t>
  </si>
  <si>
    <t>Guizhou Province</t>
  </si>
  <si>
    <t>No.1 Garland Avenue;;550000;Nanming District, Guiyang City;Guizhou Province</t>
  </si>
  <si>
    <t>CN0266</t>
  </si>
  <si>
    <t>Hengmao Dream World</t>
  </si>
  <si>
    <t>Unit 01&amp;05 of 1F&amp;Unit 01A of 2F,No.438 East Beijing Road</t>
  </si>
  <si>
    <t>Unit 01&amp;05 of 1F&amp;Unit 01A of 2F,No.438 East Beijing Road;;330029;Nanchang;Jiangxi Province</t>
  </si>
  <si>
    <t>CN0269</t>
  </si>
  <si>
    <t>Aeon Mall</t>
  </si>
  <si>
    <t>No.1 Yayun Avenue</t>
  </si>
  <si>
    <t>No.1 Yayun Avenue;;511400;Panyu District, Guangzhou;Guangdong Province</t>
  </si>
  <si>
    <t>CN0270</t>
  </si>
  <si>
    <t>Metropolitan Hutchinson</t>
  </si>
  <si>
    <t>No.8,Huangsha Avenue</t>
  </si>
  <si>
    <t>No.8,Huangsha Avenue;;510150;Liwan District,Guangzhou;Guangdong Province</t>
  </si>
  <si>
    <t>CN0272</t>
  </si>
  <si>
    <t>Fuhuali HOPSCAï¼Œ</t>
  </si>
  <si>
    <t>Zhuhai</t>
  </si>
  <si>
    <t>No.2033,West Jiuzhou Avenue</t>
  </si>
  <si>
    <t>No.2033,West Jiuzhou Avenue;;519000;Xiangzhou Dist, Zhuhai City;Guangdong Province</t>
  </si>
  <si>
    <t>CN0274</t>
  </si>
  <si>
    <t>Fushun Wanda</t>
  </si>
  <si>
    <t>Fushun</t>
  </si>
  <si>
    <t>Unit1-A,Middle Hun He Nan Rd</t>
  </si>
  <si>
    <t>Unit1-A,Middle Hun He Nan Rd;;113008;Fuxin district,Fushun;Liaoning Province</t>
  </si>
  <si>
    <t>CN0275</t>
  </si>
  <si>
    <t>Unit A, 1F,No.321 Wuyun Road</t>
  </si>
  <si>
    <t>Unit A, 1F,No.321 Wuyun Road;;214174;Huishan District, Wuxi;Jiangsu Province</t>
  </si>
  <si>
    <t>CN0279</t>
  </si>
  <si>
    <t>Fun City</t>
  </si>
  <si>
    <t>No.36 Section 3 of Middle WanJiali Road</t>
  </si>
  <si>
    <t>No.36 Section 3 of Middle WanJiali Road;;410019;Yuhua District, Changsha;Hunan Province</t>
  </si>
  <si>
    <t>CN0280</t>
  </si>
  <si>
    <t>MixC Golden Bay Square</t>
  </si>
  <si>
    <t>Zhanjiang</t>
  </si>
  <si>
    <t>No.8 North Guanhai Road</t>
  </si>
  <si>
    <t>No.8 North Guanhai Road;;524044;Chikan District, Zhanjiang;Guangdong Province</t>
  </si>
  <si>
    <t>CN0282</t>
  </si>
  <si>
    <t>Unit 1090&amp;1100&amp;1110&amp;1120&amp;2070&amp;2080&amp;2090,No.269 Wangdun Road</t>
  </si>
  <si>
    <t>Unit 1090&amp;1100&amp;1110&amp;1120&amp;2070&amp;2080&amp;2090,No.269 Wangdun Road;;215000;Industrial Park District, Suzhou;Jiangsu Province</t>
  </si>
  <si>
    <t>CN0284</t>
  </si>
  <si>
    <t>Pearl River Plaza</t>
  </si>
  <si>
    <t>B1, No.1588 Section 3 of Guanghua Avenue</t>
  </si>
  <si>
    <t>B1, No.1588 Section 3 of Guanghua Avenue;;611130;Wenjiang District, Chengdu;Sichuan Province</t>
  </si>
  <si>
    <t>CN0286</t>
  </si>
  <si>
    <t>Lin Rui Center</t>
  </si>
  <si>
    <t>Unit F103 of 1F&amp;Unit F207 of 2F,No.88 Xihualin Street</t>
  </si>
  <si>
    <t>Unit F103 of 1F&amp;Unit F207 of 2F,No.88 Xihualin Street;;215000;Industrial Park District, Suzhou;Jiangsu Province</t>
  </si>
  <si>
    <t>CN0287</t>
  </si>
  <si>
    <t>IFS</t>
  </si>
  <si>
    <t>LG101-102 &amp;Unit LG201,226, No.1 Section 3 of Hongxing Road</t>
  </si>
  <si>
    <t>LG101-102 &amp;Unit LG201,226, No.1 Section 3 of Hongxing Road;;610021;Jingjiang District, Chengdu;Sichuan Province</t>
  </si>
  <si>
    <t>CN0288</t>
  </si>
  <si>
    <t>Mission Hills</t>
  </si>
  <si>
    <t>No. 8 Golf Avenue, Longhua new District</t>
  </si>
  <si>
    <t>No. 8 Golf Avenue, Longhua new District;;518110;Shenzhen;Guangdong Province</t>
  </si>
  <si>
    <t>CN0289</t>
  </si>
  <si>
    <t>Aoshan Century Mall</t>
  </si>
  <si>
    <t>08:00-22:00</t>
  </si>
  <si>
    <t>Unit C101&amp;C102&amp;C201,No.809 Heping Avenue</t>
  </si>
  <si>
    <t>Unit C101&amp;C102&amp;C201,No.809 Heping Avenue;;430080;Qingshan District,Wuhan;Hubei Province</t>
  </si>
  <si>
    <t>CN0290</t>
  </si>
  <si>
    <t>World Trade Street</t>
  </si>
  <si>
    <t>Xingtai</t>
  </si>
  <si>
    <t>No.18, East Zhongxing Street</t>
  </si>
  <si>
    <t>No.18, East Zhongxing Street;;054001;Qiaodong District, Xingtai;Hebei Province</t>
  </si>
  <si>
    <t>CN0291</t>
  </si>
  <si>
    <t>Haxi Wanda Plaza</t>
  </si>
  <si>
    <t>Unit 1C,1F, Haxi Wanda Plaza, No.168 Zhongxing Avenue</t>
  </si>
  <si>
    <t>Unit 1C,1F, Haxi Wanda Plaza, No.168 Zhongxing Avenue;;150086;Nangang District, Harbin;Heilongjiang Province</t>
  </si>
  <si>
    <t>CN0293</t>
  </si>
  <si>
    <t>Vanbo Plaza</t>
  </si>
  <si>
    <t>Baoding</t>
  </si>
  <si>
    <t>Unit 1005&amp;2002, Vanbo Plaza, No.99 North Chaoyang Street</t>
  </si>
  <si>
    <t>Unit 1005&amp;2002, Vanbo Plaza, No.99 North Chaoyang Street;;071025;Xinshi District, Baoding;Hebei Province</t>
  </si>
  <si>
    <t>CN0294</t>
  </si>
  <si>
    <t>Perennial Qingyang Plaza</t>
  </si>
  <si>
    <t>No.55 North GuanghuaSan Rd</t>
  </si>
  <si>
    <t>No.55 North GuanghuaSan Rd;;610074;Qingyang District, Chengdu;Sichuan Province</t>
  </si>
  <si>
    <t>CN0295</t>
  </si>
  <si>
    <t>Huafa Shopping Mall</t>
  </si>
  <si>
    <t>No.8 Zhuhai Avenue</t>
  </si>
  <si>
    <t>No.8 Zhuhai Avenue;;519005;Xiangzhou District, Zhuhai;Guangdong Province</t>
  </si>
  <si>
    <t>CN0299</t>
  </si>
  <si>
    <t>We-Life plaza</t>
  </si>
  <si>
    <t>Unit 64, 1F, We-life Plaza, No.71 Xinkai Road</t>
  </si>
  <si>
    <t>Unit 64, 1F, We-life Plaza, No.71 Xinkai Road;;300011;Hedong District, Tianjin;Tianjin Municipality</t>
  </si>
  <si>
    <t>CN0300</t>
  </si>
  <si>
    <t>Yopindo Plaza</t>
  </si>
  <si>
    <t>Unit 103, Unit 080, Unit 026-1, No.177 Baiyishang Street</t>
  </si>
  <si>
    <t>Unit 103, Unit 080, Unit 026-1, No.177 Baiyishang Street;;610299;Shuangliu District, Chengdu;Sichuan Province</t>
  </si>
  <si>
    <t>CN0302</t>
  </si>
  <si>
    <t>1234 space Shenzhen</t>
  </si>
  <si>
    <t>Unit L101&amp;L201&amp;L301 No.3018 Jianshe Road</t>
  </si>
  <si>
    <t>Unit L101&amp;L201&amp;L301 No.3018 Jianshe Road;;518005;Luohu district Shenzhen;Guangdong Province</t>
  </si>
  <si>
    <t>CN0303</t>
  </si>
  <si>
    <t>Yingli International Plaza</t>
  </si>
  <si>
    <t>Unit L103 &amp; Unit L206, Area A, No.19 Dapingzheng Street</t>
  </si>
  <si>
    <t>Unit L103 &amp; Unit L206, Area A, No.19 Dapingzheng Street;;400042;Yuzhong District, Chongqing;Chongqing Municipality</t>
  </si>
  <si>
    <t>CN0304</t>
  </si>
  <si>
    <t>IFC International Chongqing</t>
  </si>
  <si>
    <t>Unit 01, B1&amp;1F&amp;2F, No.26 Minquan Road</t>
  </si>
  <si>
    <t>Unit 01, B1&amp;1F&amp;2F, No.26 Minquan Road;;404100;Yuzhong District, Chongqing;Chongqing Municipality</t>
  </si>
  <si>
    <t>CN0305</t>
  </si>
  <si>
    <t>Aeon MengLe Shopping Mall</t>
  </si>
  <si>
    <t>U124, 1F, No.111 South Youyi Rd</t>
  </si>
  <si>
    <t>U124, 1F, No.111 South Youyi Rd;;300000;XEDA, Tianjin;Tianjin Municipality</t>
  </si>
  <si>
    <t>CN0307</t>
  </si>
  <si>
    <t>KAISA Mall</t>
  </si>
  <si>
    <t>Huizhou</t>
  </si>
  <si>
    <t>No 11,Huizhou Avenue</t>
  </si>
  <si>
    <t>No 11,Huizhou Avenue;;516000;Huicheng District, Huizhou;Guangdong Province</t>
  </si>
  <si>
    <t>CN0308</t>
  </si>
  <si>
    <t>Forest Mall</t>
  </si>
  <si>
    <t>Unit 101&amp;201,Building 6,No.301 ZhongshanMen Street</t>
  </si>
  <si>
    <t>Unit 101&amp;201,Building 6,No.301 ZhongshanMen Street;;210014;Xuanwu District, Nanjing;Jiangsu Province</t>
  </si>
  <si>
    <t>CN0309</t>
  </si>
  <si>
    <t>Shimao International Plaza</t>
  </si>
  <si>
    <t>Unit162-165,Unit 258-262 of 2F, No.187 North HeiHuquan Rd.</t>
  </si>
  <si>
    <t>Unit162-165,Unit 258-262 of 2F, No.187 North HeiHuquan Rd.;;250011;Lixia District, Jinan City;Shandong Province</t>
  </si>
  <si>
    <t>CN0310</t>
  </si>
  <si>
    <t>Inter IKEA Shopping Mall Wuxi</t>
  </si>
  <si>
    <t>No. 3, Middle of Tuanjie Road</t>
  </si>
  <si>
    <t>No. 3, Middle of Tuanjie Road;;214101;Xishan District, Wuxi;Jiangsu Province</t>
  </si>
  <si>
    <t>CN0311</t>
  </si>
  <si>
    <t>Hualian Shopping Mall</t>
  </si>
  <si>
    <t>No.8 South Xinshun Street</t>
  </si>
  <si>
    <t>No.8 South Xinshun Street;;101399;Shunyi District;Beijing Municipality</t>
  </si>
  <si>
    <t>CN0313</t>
  </si>
  <si>
    <t>Ganzhou MixC</t>
  </si>
  <si>
    <t>Ganzhou</t>
  </si>
  <si>
    <t>No 8 DengFeng avenue</t>
  </si>
  <si>
    <t>No 8 DengFeng avenue;;341000;Zhanggong New District, Ganzhou;Jiangxi Province</t>
  </si>
  <si>
    <t>CN0314</t>
  </si>
  <si>
    <t>Guoxiang Times Square</t>
  </si>
  <si>
    <t>Jiangmen</t>
  </si>
  <si>
    <t>Unit 020 of 1F&amp;Unit 012 of 2F,No.166 Baishi Avenue</t>
  </si>
  <si>
    <t>Unit 020 of 1F&amp;Unit 012 of 2F,No.166 Baishi Avenue;;529030;Pengjiang District, Jiangmen;Guangdong Province</t>
  </si>
  <si>
    <t>CN0318</t>
  </si>
  <si>
    <t>Sunshine Xinye Center</t>
  </si>
  <si>
    <t>Unit L118 &amp; Unit L219, No.87 East Section 5 of Yihuan Road</t>
  </si>
  <si>
    <t>Unit L118 &amp; Unit L219, No.87 East Section 5 of Yihuan Road;;610065;Jinjiang District, Chengdu;Sichuan Province</t>
  </si>
  <si>
    <t>CN0320</t>
  </si>
  <si>
    <t>Yunlong Wanda</t>
  </si>
  <si>
    <t>Xuzhou</t>
  </si>
  <si>
    <t>No.58 Heping Avenue</t>
  </si>
  <si>
    <t>No.58 Heping Avenue;;221000;Yunlong District, Xuzhou;Jiangsu Province</t>
  </si>
  <si>
    <t>CN0321</t>
  </si>
  <si>
    <t>Taikoo Li Sanlitun</t>
  </si>
  <si>
    <t>Unit S11-13&amp;21&amp;31, Building 11 , No.19 SanLiTun Rd.</t>
  </si>
  <si>
    <t>Unit S11-13&amp;21&amp;31, Building 11 , No.19 SanLiTun Rd.;;100027;Changyang District, Beijing;Beijing Municipality</t>
  </si>
  <si>
    <t>CN0322</t>
  </si>
  <si>
    <t>Vanke Plaza</t>
  </si>
  <si>
    <t>Unit 117-122, Building 1, No.10 Nanhuan Road</t>
  </si>
  <si>
    <t>Unit 117-122, Building 1, No.10 Nanhuan Road;;102200;Changping District;Beijing Municipality</t>
  </si>
  <si>
    <t>CN0323</t>
  </si>
  <si>
    <t>No.183 Jiada Rd</t>
  </si>
  <si>
    <t>No.183 Jiada Rd;;610031;Jinniu District, Chengdu;Sichuan Province</t>
  </si>
  <si>
    <t>CN0324</t>
  </si>
  <si>
    <t>Daminggong Wanda Plaza</t>
  </si>
  <si>
    <t>Unit A, 1F, No.369 North Taihua Road</t>
  </si>
  <si>
    <t>Unit A, 1F, No.369 North Taihua Road;;710016;Weiyang District, Xi'an;Shanxi Province</t>
  </si>
  <si>
    <t>CN0325</t>
  </si>
  <si>
    <t>Zhongnan Shopping Mall</t>
  </si>
  <si>
    <t>Yancheng</t>
  </si>
  <si>
    <t>1F, No.288 South Jiefang Road</t>
  </si>
  <si>
    <t>1F, No.288 South Jiefang Road;;224008;Yandu District, Yancheng;Jiangsu Province</t>
  </si>
  <si>
    <t>CN0327</t>
  </si>
  <si>
    <t>Galleria</t>
  </si>
  <si>
    <t>Unit 06-07 of 1F&amp;Unit 07, No.80 Changjiang Road</t>
  </si>
  <si>
    <t>Unit 06-07 of 1F&amp;Unit 07, No.80 Changjiang Road;;116000;Zhongshan District, Dalian;Liaoning Province</t>
  </si>
  <si>
    <t>CN0328</t>
  </si>
  <si>
    <t>A-Mall</t>
  </si>
  <si>
    <t>No. 100, Jiefang Road,</t>
  </si>
  <si>
    <t>No. 100, Jiefang Road,;;550000;Nanming District,Guiyang City;Guizhou Province</t>
  </si>
  <si>
    <t>CN0329</t>
  </si>
  <si>
    <t>Crystal City Shopping Mall</t>
  </si>
  <si>
    <t>No.458 Shangtang Road</t>
  </si>
  <si>
    <t>No.458 Shangtang Road;;310014;Gongshu District, Hangzhou;Zhejiang Province</t>
  </si>
  <si>
    <t>CN0330</t>
  </si>
  <si>
    <t>No.6 Shandong Road</t>
  </si>
  <si>
    <t>No.6 Shandong Road;;266072;Shinan District, Qingdao;Shandong Province</t>
  </si>
  <si>
    <t>CN0331</t>
  </si>
  <si>
    <t>Jinsha Int'l Plaza</t>
  </si>
  <si>
    <t>H&amp;M 1F&amp;2F, Xiaozhai Jinsha Plaza, No.65 Middle Chang'an Road</t>
  </si>
  <si>
    <t>H&amp;M 1F&amp;2F, Xiaozhai Jinsha Plaza, No.65 Middle Chang'an Road;;710061;Yanta District, Xi'an City;Shaanxi Province</t>
  </si>
  <si>
    <t>CN0332</t>
  </si>
  <si>
    <t>Yantai</t>
  </si>
  <si>
    <t>No.150 Beima Road</t>
  </si>
  <si>
    <t>No.150 Beima Road;;264099;Zhifu District, Yantai;Shandong Province</t>
  </si>
  <si>
    <t>CN0333</t>
  </si>
  <si>
    <t>East Nanjing Road Mosaic</t>
  </si>
  <si>
    <t>NO.353, East Nanjing Road</t>
  </si>
  <si>
    <t>NO.353, East Nanjing Road;;200001;Huangpu District;Shanghai Municipality</t>
  </si>
  <si>
    <t>CN0334</t>
  </si>
  <si>
    <t>Changtai Square</t>
  </si>
  <si>
    <t>No.1239 ZuChongzhi Road</t>
  </si>
  <si>
    <t>No.1239 ZuChongzhi Road;;201203;Pudong New District;Shanghai Municipality</t>
  </si>
  <si>
    <t>CN0335</t>
  </si>
  <si>
    <t>Mudan Road shunquan shopping center</t>
  </si>
  <si>
    <t>Unit 1001-1005&amp;Unit 2001,2030, No.166 Mudan Avenue</t>
  </si>
  <si>
    <t>Unit 1001-1005&amp;Unit 2001,2030, No.166 Mudan Avenue;;471023;luolong district,Luo Yang;Henan Province</t>
  </si>
  <si>
    <t>CN0337</t>
  </si>
  <si>
    <t>Huarun Multicolored City</t>
  </si>
  <si>
    <t>Zibo</t>
  </si>
  <si>
    <t>Huarun Multicolored City, Shangchang Road  Dongyi Road</t>
  </si>
  <si>
    <t>Huarun Multicolored City, Shangchang Road  Dongyi Road;;255020;Zhangdian District, Zibo;Shandong Province</t>
  </si>
  <si>
    <t>CN0339</t>
  </si>
  <si>
    <t>Mixc</t>
  </si>
  <si>
    <t>No.111, Qianshan Road,</t>
  </si>
  <si>
    <t>No.111, Qianshan Road,;;230000;Shushan District Hefei;Anhui Province</t>
  </si>
  <si>
    <t>CN0340</t>
  </si>
  <si>
    <t>Jining</t>
  </si>
  <si>
    <t>Unit A, 1F, Wanda Plaza, No.55 East Taibai Road</t>
  </si>
  <si>
    <t>Unit A, 1F, Wanda Plaza, No.55 East Taibai Road;;272099;Shizhong District, Ji'ning;Shandong Province</t>
  </si>
  <si>
    <t>CN0342</t>
  </si>
  <si>
    <t>Victory Mall</t>
  </si>
  <si>
    <t>Baotou</t>
  </si>
  <si>
    <t>Unit 107-109 of 1F&amp;Unit 210-212 of 2F, No.96 Gangtie Street</t>
  </si>
  <si>
    <t>Unit 107-109 of 1F&amp;Unit 210-212 of 2F, No.96 Gangtie Street;;014000;KunDulun District, Baotou;Inner Mongolia A.R.</t>
  </si>
  <si>
    <t>CN0343</t>
  </si>
  <si>
    <t>Sansheng Shopping Mall</t>
  </si>
  <si>
    <t>Yangzhou</t>
  </si>
  <si>
    <t>No.358 Middle Hanjiang Road</t>
  </si>
  <si>
    <t>No.358 Middle Hanjiang Road;;225012;Hanjiang District, Yangzhou;Jiangsu Province</t>
  </si>
  <si>
    <t>CN0344</t>
  </si>
  <si>
    <t>Vera shopping mall</t>
  </si>
  <si>
    <t>1F, Vera shopping mall, No.15 Xinning Street</t>
  </si>
  <si>
    <t>1F, Vera shopping mall, No.15 Xinning Street;;100162;Daxing District,Beijing;Beijing Municipality</t>
  </si>
  <si>
    <t>CN0345</t>
  </si>
  <si>
    <t>HangLung Plaza</t>
  </si>
  <si>
    <t>Unit2031-2033, 2F, HLPlaza,Binjiang Rd. crossing Heping Rd.</t>
  </si>
  <si>
    <t>Unit2031-2033, 2F, HLPlaza,Binjiang Rd. crossing Heping Rd.;;300022;Heping District,Tianjin;Tianjin Municipality</t>
  </si>
  <si>
    <t>CN0346</t>
  </si>
  <si>
    <t>Wenxian Shenli</t>
  </si>
  <si>
    <t>Putian</t>
  </si>
  <si>
    <t>Putian City</t>
  </si>
  <si>
    <t>Wenxian Shenli;Putian City;12345;Pedestrian Street</t>
  </si>
  <si>
    <t>CN0347</t>
  </si>
  <si>
    <t>Nine Party Shopping Mall</t>
  </si>
  <si>
    <t>No.1 Zhonghang Road</t>
  </si>
  <si>
    <t>No.1 Zhonghang Road;;518000;RoadFutian District, Shenzhan;Guangdong Province</t>
  </si>
  <si>
    <t>CN0348</t>
  </si>
  <si>
    <t>No.2020 Tenglong Road</t>
  </si>
  <si>
    <t>No.2020 Tenglong Road;;518109;Longhua New District, Shenzhen;Guangdong Province</t>
  </si>
  <si>
    <t>CN0349</t>
  </si>
  <si>
    <t>Wuhan Inter IKEA Shopping Center</t>
  </si>
  <si>
    <t>No.1,Gongnong Rd</t>
  </si>
  <si>
    <t>No.1,Gongnong Rd;;430000;Qiaokou District,Wuhan;Hebei Province</t>
  </si>
  <si>
    <t>CN0350</t>
  </si>
  <si>
    <t>Wanda Yichang</t>
  </si>
  <si>
    <t>Yichang</t>
  </si>
  <si>
    <t>No.168,Yanjiang Avenue</t>
  </si>
  <si>
    <t>No.168,Yanjiang Avenue;;443000;Wujiagang district Yichang;Hubei Province</t>
  </si>
  <si>
    <t>CN0351</t>
  </si>
  <si>
    <t>Minleyuan Wanda Plaza</t>
  </si>
  <si>
    <t>Unit 103 of 1F&amp;Unit 201 of 2F,  No.111 Jiefang Road</t>
  </si>
  <si>
    <t>Unit 103 of 1F&amp;Unit 201 of 2F,  No.111 Jiefang Road;;710005;Xincheng District, Xi'an;Shaanxi Province</t>
  </si>
  <si>
    <t>CN0352</t>
  </si>
  <si>
    <t>Young Mix Square</t>
  </si>
  <si>
    <t>No.1066 South Fenghuang Road</t>
  </si>
  <si>
    <t>No.1066 South Fenghuang Road;;519099;Xiangzhou District, Zhuhai;Guangdong Province</t>
  </si>
  <si>
    <t>CN0353</t>
  </si>
  <si>
    <t>JinTong Roosevelt Plaza</t>
  </si>
  <si>
    <t>Unit122-123&amp;Unit216-217,No.9 Mid. JiuKeshu St., Liyuan Town</t>
  </si>
  <si>
    <t>Unit122-123&amp;Unit216-217,No.9 Mid. JiuKeshu St., Liyuan Town;;101101;Tongzhou District,Beijing;Beijing Municipality</t>
  </si>
  <si>
    <t>CN0354</t>
  </si>
  <si>
    <t>Uni Mall</t>
  </si>
  <si>
    <t>Beiwei Road crossing QingLiangmen Street</t>
  </si>
  <si>
    <t>Beiwei Road crossing QingLiangmen Street;;210036;Gulou District, Nanjing;Jiangsu Province</t>
  </si>
  <si>
    <t>CN0355</t>
  </si>
  <si>
    <t>Shaoxing</t>
  </si>
  <si>
    <t>Unit 001 of 1F&amp;Unit 012-2 of 2F,No.777 South Jiefang Road</t>
  </si>
  <si>
    <t>Unit 001 of 1F&amp;Unit 012-2 of 2F,No.777 South Jiefang Road;;312099;Yuecheng District, Shaoxing;Zhejiang Province</t>
  </si>
  <si>
    <t>CN0356</t>
  </si>
  <si>
    <t>BHG Yizhuang Lipo Shopping Mall</t>
  </si>
  <si>
    <t>Unit 25-27 of 1F, Building 1,No.8 Middle Ronghua Rd</t>
  </si>
  <si>
    <t>Unit 25-27 of 1F, Building 1,No.8 Middle Ronghua Rd;;102442;Yizhuang District, Beijing;Beijing Municipality</t>
  </si>
  <si>
    <t>CN0359</t>
  </si>
  <si>
    <t>One Mall</t>
  </si>
  <si>
    <t>No 200, Hongfu Road</t>
  </si>
  <si>
    <t>No 200, Hongfu Road;;523073;Nancheng Districtï¼ŒDongguan;Guangdong Province</t>
  </si>
  <si>
    <t>CN0360</t>
  </si>
  <si>
    <t>Huiyu Star International City</t>
  </si>
  <si>
    <t>No.120 Xudong Street</t>
  </si>
  <si>
    <t>No.120 Xudong Street;;430000;Wuchang District Wuhan;Hubei Province</t>
  </si>
  <si>
    <t>CN0361</t>
  </si>
  <si>
    <t>Fortune Shopping Center</t>
  </si>
  <si>
    <t>Wenzhou</t>
  </si>
  <si>
    <t>No.577 Chezhan Avenue,</t>
  </si>
  <si>
    <t>No.577 Chezhan Avenue,;;325088;Lucheng District, Wenzhou;Zhejiang Province</t>
  </si>
  <si>
    <t>CN0362</t>
  </si>
  <si>
    <t>Anshen SC</t>
  </si>
  <si>
    <t>No.189 Jinma Road</t>
  </si>
  <si>
    <t>No.189 Jinma Road;;116600;Development Zone, Dalian;Liaoning Province</t>
  </si>
  <si>
    <t>CN0363</t>
  </si>
  <si>
    <t>No.33 Chunhua Street</t>
  </si>
  <si>
    <t>Daowai District, Harbin</t>
  </si>
  <si>
    <t>No.33 Chunhua Street;Daowai District, Harbin;150026;Baluoke</t>
  </si>
  <si>
    <t>CN0364</t>
  </si>
  <si>
    <t>Yihecheng</t>
  </si>
  <si>
    <t>1F,No.235 Shangdong Road</t>
  </si>
  <si>
    <t>1F,No.235 Shangdong Road;;210211;Ganjingzi District, Dalian;Liaoning Province</t>
  </si>
  <si>
    <t>CN0366</t>
  </si>
  <si>
    <t>No. 9 Lutai Avenue</t>
  </si>
  <si>
    <t>No. 9 Lutai Avenue;;1;Zhangdian District, Zibo;Shandong Province</t>
  </si>
  <si>
    <t>CN0368</t>
  </si>
  <si>
    <t>Fanhua Center</t>
  </si>
  <si>
    <t>No.964 West Chenghu Road</t>
  </si>
  <si>
    <t>No.964 West Chenghu Road;;215100;xiang cheng district, Suzhou;Jiangsu Province</t>
  </si>
  <si>
    <t>CN0369</t>
  </si>
  <si>
    <t>Baosteel Livingsteel Stage</t>
  </si>
  <si>
    <t>No.1569, Mudanjiang Road</t>
  </si>
  <si>
    <t>No.1569, Mudanjiang Road;;201900;Baoshan District;Shanghai Municipality</t>
  </si>
  <si>
    <t>CN0370</t>
  </si>
  <si>
    <t>1F, No.101 North Chaoyang Road</t>
  </si>
  <si>
    <t>1F, No.101 North Chaoyang Road;;100025;Chaoyang District, Beijing;Beijing Municipality</t>
  </si>
  <si>
    <t>CN0371</t>
  </si>
  <si>
    <t>WangZhuang Show Park</t>
  </si>
  <si>
    <t>1F, No.18 Jinlian Road</t>
  </si>
  <si>
    <t>1F, No.18 Jinlian Road;;350005;Jin'an District, Fuzhou;Fujian Province</t>
  </si>
  <si>
    <t>CN0372</t>
  </si>
  <si>
    <t>Harmony City</t>
  </si>
  <si>
    <t>Unit 112 of 1F&amp;Unit  212 of 2F, No.57 Gongnong Road</t>
  </si>
  <si>
    <t>Unit 112 of 1F&amp;Unit  212 of 2F, No.57 Gongnong Road;;226007;Chongchuan District, Nantong;Jiangsu Province</t>
  </si>
  <si>
    <t>CN0373</t>
  </si>
  <si>
    <t>Po Park</t>
  </si>
  <si>
    <t>Unit 1173, B1,No.63 Middle Linhe Road</t>
  </si>
  <si>
    <t>Unit 1173, B1,No.63 Middle Linhe Road;;510610;Tianhe District, Guangzhou;Guangdong Province</t>
  </si>
  <si>
    <t>CN0374</t>
  </si>
  <si>
    <t>Peace World Plaza</t>
  </si>
  <si>
    <t>No.362-366 Huanshi Road</t>
  </si>
  <si>
    <t>No.362-366 Huanshi Road;;510060;Yuexiu District,Guangzhou;Guangdong Province</t>
  </si>
  <si>
    <t>CN0375</t>
  </si>
  <si>
    <t>U Show</t>
  </si>
  <si>
    <t>Haikou</t>
  </si>
  <si>
    <t>09:30-22:30</t>
  </si>
  <si>
    <t>ShowNo.8, Mingzhu Road</t>
  </si>
  <si>
    <t>ShowNo.8, Mingzhu Road;;570215;Longhua District,Haikou;Hainan Province</t>
  </si>
  <si>
    <t>CN0381</t>
  </si>
  <si>
    <t>Nine Square Shopping Mall Kunshan</t>
  </si>
  <si>
    <t>Kunshan</t>
  </si>
  <si>
    <t>No.1st floor 666 Middle Xiaolin Road</t>
  </si>
  <si>
    <t>No.1st floor 666 Middle Xiaolin Road;;215316;Kunshan, Suzhou;Jiangsu Province</t>
  </si>
  <si>
    <t>CN0382</t>
  </si>
  <si>
    <t>A Mall</t>
  </si>
  <si>
    <t>No.70, Zhongshanwu Road</t>
  </si>
  <si>
    <t>No.70, Zhongshanwu Road;;510030;Yuexiu District, Guangzhou;Guangdong Province</t>
  </si>
  <si>
    <t>CN0385</t>
  </si>
  <si>
    <t>MTR City Plaza</t>
  </si>
  <si>
    <t>No.818 Zhenbei Rd</t>
  </si>
  <si>
    <t>No.818 Zhenbei Rd;;200333;Putuo District, Shanghai;Shanghai Municipality</t>
  </si>
  <si>
    <t>CN0386</t>
  </si>
  <si>
    <t>DSC Square</t>
  </si>
  <si>
    <t>09:30-23:00</t>
  </si>
  <si>
    <t>South Section of No.116 Renmin Avenue</t>
  </si>
  <si>
    <t>South Section of No.116 Renmin Avenue;;524001;Xiashan District, Zhanjian;Guangdong Province</t>
  </si>
  <si>
    <t>CN0387</t>
  </si>
  <si>
    <t>Longhu Paradise Walk</t>
  </si>
  <si>
    <t>No.560 Jinsha Avenue</t>
  </si>
  <si>
    <t>No.560 Jinsha Avenue;;310018;Xiasha District,Hangzhou;Zhejiang Province</t>
  </si>
  <si>
    <t>CN0388</t>
  </si>
  <si>
    <t>Leia Department Store</t>
  </si>
  <si>
    <t>No.39 South Siming Road</t>
  </si>
  <si>
    <t>No.39 South Siming Road;;361003;Siming District, Xiamen;Fujian Province</t>
  </si>
  <si>
    <t>CN0389</t>
  </si>
  <si>
    <t>Xikwan Plaza</t>
  </si>
  <si>
    <t>No. 2 Xiguan Road</t>
  </si>
  <si>
    <t>No. 2 Xiguan Road;;530012;Xingning District, Nanning;Guangxi Zhuang A.R.</t>
  </si>
  <si>
    <t>CN0391</t>
  </si>
  <si>
    <t>Funmix</t>
  </si>
  <si>
    <t>1F, Funmix, No.5 Plot of Qibu District, Changyang Road</t>
  </si>
  <si>
    <t>1F, Funmix, No.5 Plot of Qibu District, Changyang Road;;102442;Fangshan District, Beijing;Beijing Municipality</t>
  </si>
  <si>
    <t>CN0394</t>
  </si>
  <si>
    <t>South Huancheng Road, Nanba Road</t>
  </si>
  <si>
    <t>Guandu District ,Kunming</t>
  </si>
  <si>
    <t>South Huancheng Road, Nanba Road;Guandu District ,Kunming;650000;Roswell</t>
  </si>
  <si>
    <t>CN0395</t>
  </si>
  <si>
    <t>BHG Baotou</t>
  </si>
  <si>
    <t>'H&amp;M, 2F, BHG Shopping Mall, No.7 Gangtie Street</t>
  </si>
  <si>
    <t>'H&amp;M, 2F, BHG Shopping Mall, No.7 Gangtie Street;;014030;Qingshan Districtï¼Œ Baotou City;Inner Mongolia A.R.</t>
  </si>
  <si>
    <t>CN0397</t>
  </si>
  <si>
    <t>Wandi Plza Lishui</t>
  </si>
  <si>
    <t>Lishui</t>
  </si>
  <si>
    <t>1F No.16 Huayuan Road</t>
  </si>
  <si>
    <t>1F No.16 Huayuan Road;;323088;Lishui;Zhejiang Province</t>
  </si>
  <si>
    <t>CN0398</t>
  </si>
  <si>
    <t>The Place Shanghai</t>
  </si>
  <si>
    <t>No.150, Zunyi Road</t>
  </si>
  <si>
    <t>No.150, Zunyi Road;;200051;Changning Districtï¼ŒShanghai;Shanghai Municipality</t>
  </si>
  <si>
    <t>CN0399</t>
  </si>
  <si>
    <t>Suning Plaza</t>
  </si>
  <si>
    <t>Shantou</t>
  </si>
  <si>
    <t>No.90 Changping Road</t>
  </si>
  <si>
    <t>No.90 Changping Road;;515041;Longhu District,Shantou City;Guangdong Province</t>
  </si>
  <si>
    <t>CN0402</t>
  </si>
  <si>
    <t>WangFuJing Department Store</t>
  </si>
  <si>
    <t>Zhuzhou</t>
  </si>
  <si>
    <t>No.999 West Xinhua Road</t>
  </si>
  <si>
    <t>No.999 West Xinhua Road;;412008;Lusong District, Zhuzhou;Hunan Province</t>
  </si>
  <si>
    <t>CN0403</t>
  </si>
  <si>
    <t>Happy City</t>
  </si>
  <si>
    <t>Jiujiang</t>
  </si>
  <si>
    <t>No.9 Jingjiu Road</t>
  </si>
  <si>
    <t>No.9 Jingjiu Road;;332001;Xunyang District, Jiujiang city;Jiangxi Province</t>
  </si>
  <si>
    <t>CN0404</t>
  </si>
  <si>
    <t>No 1, Mission Hill Boulevard, Longhua District, Haikou City</t>
  </si>
  <si>
    <t>Longhua District</t>
  </si>
  <si>
    <t>No 1, Mission Hill Boulevard, Longhua District, Haikou City;Longhua District;571155;Mission Hill</t>
  </si>
  <si>
    <t>CN0405</t>
  </si>
  <si>
    <t>YueHai New Field Shopping Mall</t>
  </si>
  <si>
    <t>Yinchuan</t>
  </si>
  <si>
    <t>2F, YueHai New Field Shopping Mall, No.18 Zhenshui Rd.</t>
  </si>
  <si>
    <t>Ningxia Hui Autonomous Region</t>
  </si>
  <si>
    <t>2F, YueHai New Field Shopping Mall, No.18 Zhenshui Rd.;;750002;Jinfeng District, Yinchuan;Ningxia Hui Autonomous Region</t>
  </si>
  <si>
    <t>CN0406</t>
  </si>
  <si>
    <t>Parc Central</t>
  </si>
  <si>
    <t>No.216, Tianhe Road</t>
  </si>
  <si>
    <t>No.216, Tianhe Road;;510000;Tianhe District, Guangzhou;Guangdong Province</t>
  </si>
  <si>
    <t>CN0407</t>
  </si>
  <si>
    <t>Luxury Shopping Center of Show City</t>
  </si>
  <si>
    <t>No.2688 South XiErhuan Road</t>
  </si>
  <si>
    <t>No.2688 South XiErhuan Road;;250000;Shizhong District, Ji'nan;Shandong Province</t>
  </si>
  <si>
    <t>CN0409</t>
  </si>
  <si>
    <t>Mix City One</t>
  </si>
  <si>
    <t>Rizhao</t>
  </si>
  <si>
    <t>Unit L139, 1F, MixC, No.176 Yantai Road</t>
  </si>
  <si>
    <t>Unit L139, 1F, MixC, No.176 Yantai Road;;276800;Donggang District, Rizhao;Shandong Province</t>
  </si>
  <si>
    <t>CN0410</t>
  </si>
  <si>
    <t>longemont</t>
  </si>
  <si>
    <t>No.22 Pangjiang Street</t>
  </si>
  <si>
    <t>No.22 Pangjiang Street;;110046;Dadong district, Shenyang;Liaoning Province</t>
  </si>
  <si>
    <t>CN0411</t>
  </si>
  <si>
    <t>Jiamusi Wanda</t>
  </si>
  <si>
    <t>Jiamusi</t>
  </si>
  <si>
    <t>No.777 West Guangfu Road</t>
  </si>
  <si>
    <t>No.777 West Guangfu Road;;154000;Xiangyang District, JiaMusi;Heilongjiang Province</t>
  </si>
  <si>
    <t>CN0413</t>
  </si>
  <si>
    <t>East West Street Block</t>
  </si>
  <si>
    <t>Guilin</t>
  </si>
  <si>
    <t>No.2 Jiefang Road</t>
  </si>
  <si>
    <t>No.2 Jiefang Road;;541002;Xiefeng District, Guilin;Guangxi Zhuang A.R.</t>
  </si>
  <si>
    <t>CN0414</t>
  </si>
  <si>
    <t>SunDay Shopping Mall</t>
  </si>
  <si>
    <t>No.36, Machang Road,Zhujiang New Town</t>
  </si>
  <si>
    <t>No.36, Machang Road,Zhujiang New Town;;510627;Tianhe District, Guangzhou;Guangdong Province</t>
  </si>
  <si>
    <t>CN0415</t>
  </si>
  <si>
    <t>Emerald City</t>
  </si>
  <si>
    <t>No.436,Changjiang Road</t>
  </si>
  <si>
    <t>No.436,Changjiang Road;;215011;Huqiu District, Suzhou;Jiangsu Province</t>
  </si>
  <si>
    <t>CN0416</t>
  </si>
  <si>
    <t>VV park</t>
  </si>
  <si>
    <t>Xishan District</t>
  </si>
  <si>
    <t>VV park;Xishan District;650000;Guangfu road</t>
  </si>
  <si>
    <t>CN0418</t>
  </si>
  <si>
    <t>Foshan Lingnan Tiandi</t>
  </si>
  <si>
    <t>No.29 Zumiao RD.</t>
  </si>
  <si>
    <t>No.29 Zumiao RD.;;528000;Chancheng district,Foshan;Guangdong Province</t>
  </si>
  <si>
    <t>CN0420</t>
  </si>
  <si>
    <t>Huayang City</t>
  </si>
  <si>
    <t>H&amp;M, 1F, Huayang Cityï¼ŒFangzhi Street,</t>
  </si>
  <si>
    <t>H&amp;M, 1F, Huayang Cityï¼ŒFangzhi Street,;;710038;Baqiao District, Xi'an;Shaanxi Province</t>
  </si>
  <si>
    <t>CN0422</t>
  </si>
  <si>
    <t>Uniwalk</t>
  </si>
  <si>
    <t>No.99 Xinhu road</t>
  </si>
  <si>
    <t>No.99 Xinhu road;;518110;Bao'an District, Shenzhen;Guangdong Province</t>
  </si>
  <si>
    <t>CN0423</t>
  </si>
  <si>
    <t>LinPing Wanbao City</t>
  </si>
  <si>
    <t>No.105 Heyu</t>
  </si>
  <si>
    <t>No.105 Heyu;;311199;Yuhang District, Hangzhou;Zhejiang Province</t>
  </si>
  <si>
    <t>CN0424</t>
  </si>
  <si>
    <t>Imix Park</t>
  </si>
  <si>
    <t>Xiangtan</t>
  </si>
  <si>
    <t>NO.4 Lanyuan Road, Xiangtan</t>
  </si>
  <si>
    <t>NO.4 Lanyuan Road, Xiangtan;;411104;Yuetang District, Xiangtan;Hunan Province</t>
  </si>
  <si>
    <t>CN0425</t>
  </si>
  <si>
    <t>East Nongye Road</t>
  </si>
  <si>
    <t>'H&amp;M, 1F, City On Shopping Mall, No.15 East Nongye Road</t>
  </si>
  <si>
    <t>'H&amp;M, 1F, City On Shopping Mall, No.15 East Nongye Road;;450046;Jinshui District, Zhengzhou;Henan Province</t>
  </si>
  <si>
    <t>CN0427</t>
  </si>
  <si>
    <t>BHG Chifeng,Yongye Plaza</t>
  </si>
  <si>
    <t>Chifeng</t>
  </si>
  <si>
    <t>H&amp;M, Hualian,  Guangchang Road crossing  Songshan Street</t>
  </si>
  <si>
    <t>H&amp;M, Hualian,  Guangchang Road crossing  Songshan Street;;024000;Songshan District, Chifeng City;Inner Mongolia A.R.</t>
  </si>
  <si>
    <t>CN0428</t>
  </si>
  <si>
    <t>Taiyuan Wanda</t>
  </si>
  <si>
    <t>No. 169 jiefang Rd.</t>
  </si>
  <si>
    <t>No. 169 jiefang Rd.;;030009;Xinghualing District, Taiyuan;Shanxi Province</t>
  </si>
  <si>
    <t>CN0429</t>
  </si>
  <si>
    <t>Meimei</t>
  </si>
  <si>
    <t>Urumqi</t>
  </si>
  <si>
    <t>No.689 North Youhao Road</t>
  </si>
  <si>
    <t>No.689 North Youhao Road;;830099;Saybagh District, Urumchi;Xinjiang Uyghur A.R.</t>
  </si>
  <si>
    <t>CN0431</t>
  </si>
  <si>
    <t>Handan</t>
  </si>
  <si>
    <t>Handan;;100000</t>
  </si>
  <si>
    <t>CN0433</t>
  </si>
  <si>
    <t>Textile Building</t>
  </si>
  <si>
    <t>Unit1, 1F, No.46 Xiguan Street</t>
  </si>
  <si>
    <t>Qinghai Province</t>
  </si>
  <si>
    <t>Unit1, 1F, No.46 Xiguan Street;;810001;Chengxi District, Xining;Qinghai Province</t>
  </si>
  <si>
    <t>CN0434</t>
  </si>
  <si>
    <t>Incity</t>
  </si>
  <si>
    <t>Unit 1-14, 1F,No.33 Weiyang Road</t>
  </si>
  <si>
    <t>Unit 1-14, 1F,No.33 Weiyang Road;;710016;Weiyang District, Xi'an;Shanxi Province</t>
  </si>
  <si>
    <t>CN0436</t>
  </si>
  <si>
    <t>Season City</t>
  </si>
  <si>
    <t>Xiangyang</t>
  </si>
  <si>
    <t>NO.19 Daqingxi road.</t>
  </si>
  <si>
    <t>NO.19 Daqingxi road.;;441000;Fancheng District Xiangyang;Hubei Province</t>
  </si>
  <si>
    <t>CN0437</t>
  </si>
  <si>
    <t>Aqua city</t>
  </si>
  <si>
    <t>Panjin</t>
  </si>
  <si>
    <t>Unit S-L131, 1F, No.102, shiyou avenue</t>
  </si>
  <si>
    <t>Unit S-L131, 1F, No.102, shiyou avenue;;124010;xinglongtai district,Panjin;Liaoning Province</t>
  </si>
  <si>
    <t>CN0438</t>
  </si>
  <si>
    <t>Century Plaza</t>
  </si>
  <si>
    <t>No.118 Jilin Avenue</t>
  </si>
  <si>
    <t>No.118 Jilin Avenue;;130000;Fengman District, Jilin City;Jilin Province</t>
  </si>
  <si>
    <t>CN0439</t>
  </si>
  <si>
    <t>Crystal Galleria Shanghai</t>
  </si>
  <si>
    <t>1F &amp; 2F No.68 Yuyuan Road</t>
  </si>
  <si>
    <t>1F &amp; 2F No.68 Yuyuan Road;;200040;Jing'an District;Shanghai Municipality</t>
  </si>
  <si>
    <t>CN0441</t>
  </si>
  <si>
    <t>Jinshan Wanda</t>
  </si>
  <si>
    <t>No.1088 Longhao Rd</t>
  </si>
  <si>
    <t>No.1088 Longhao Rd;;201508;Jinshan district;Shanghai Municipality</t>
  </si>
  <si>
    <t>CN0444</t>
  </si>
  <si>
    <t>Riyue Plaza</t>
  </si>
  <si>
    <t>No.8 Guoxing Avenue</t>
  </si>
  <si>
    <t>No.8 Guoxing Avenue;;570203;Qiongshan District, Haikou;Hainan Province</t>
  </si>
  <si>
    <t>CN0445</t>
  </si>
  <si>
    <t>U Fun</t>
  </si>
  <si>
    <t>2F, Building 6, No.1388 Yinxing Road</t>
  </si>
  <si>
    <t>2F, Building 6, No.1388 Yinxing Road;;200438;Yangpu District, Shanghai;Shanghai Municipality</t>
  </si>
  <si>
    <t>CN0448</t>
  </si>
  <si>
    <t>Xinhua Gulou Plaza</t>
  </si>
  <si>
    <t>Unit 1F-A12, 1F, No.50 East Jiefang Street,</t>
  </si>
  <si>
    <t>Unit 1F-A12, 1F, No.50 East Jiefang Street,;;750003;Xingqing District, Yinchuan;Ningxia Hui Autonomous Region</t>
  </si>
  <si>
    <t>CN0449</t>
  </si>
  <si>
    <t>Starlight Shopping Mall</t>
  </si>
  <si>
    <t>Kaifeng</t>
  </si>
  <si>
    <t>Unit B-001, 2F, Building 2, Section North of Huanghe Road</t>
  </si>
  <si>
    <t>Unit B-001, 2F, Building 2, Section North of Huanghe Road;;475004;Shixia District, Kaifeng;Henan Province</t>
  </si>
  <si>
    <t>CN0453</t>
  </si>
  <si>
    <t>licai plaza</t>
  </si>
  <si>
    <t>Xianyang</t>
  </si>
  <si>
    <t>Unit 1-15,1F, No.10 East Yuquan Road</t>
  </si>
  <si>
    <t>Unit 1-15,1F, No.10 East Yuquan Road;;712000;Qindu District, Xianyang;Shanxi Province</t>
  </si>
  <si>
    <t>CN0454</t>
  </si>
  <si>
    <t>Wuika Times Square</t>
  </si>
  <si>
    <t>Unit 1-2-1, 1F, No.147 Middle Beijing Road,</t>
  </si>
  <si>
    <t>Unit 1-2-1, 1F, No.147 Middle Beijing Road,;;830011;Xinshi District, Urumqi;Xinjiang Uyghur A.R.</t>
  </si>
  <si>
    <t>CN0455</t>
  </si>
  <si>
    <t>Aoti Wanda</t>
  </si>
  <si>
    <t>Unit 1F-01, 1F, No.17 Yingpanxi Street</t>
  </si>
  <si>
    <t>Unit 1F-01, 1F, No.17 Yingpanxi Street;;110000;Dongling District, Shenyang;Liaoning Province</t>
  </si>
  <si>
    <t>CN0456</t>
  </si>
  <si>
    <t>Tai'an</t>
  </si>
  <si>
    <t>No.566 Taishan Street</t>
  </si>
  <si>
    <t>No.566 Taishan Street;;271099;Taishan District, Tai'an;Shandong Province</t>
  </si>
  <si>
    <t>CN0457</t>
  </si>
  <si>
    <t>Moi Jindu</t>
  </si>
  <si>
    <t>Qinhuangdao</t>
  </si>
  <si>
    <t>Unit 123, 1F,No.139 Wenhua Rd</t>
  </si>
  <si>
    <t>Unit 123, 1F,No.139 Wenhua Rd;;066000;Haigang District, Qinghuangdao;Hebei Province</t>
  </si>
  <si>
    <t>CN0459</t>
  </si>
  <si>
    <t>Songjiang Dream Plaza</t>
  </si>
  <si>
    <t>No.860 West Rongle Road</t>
  </si>
  <si>
    <t>No.860 West Rongle Road;;201600;Songjiang;Shanghai Municipality</t>
  </si>
  <si>
    <t>CN0461</t>
  </si>
  <si>
    <t>Euroasia Shopping Mall</t>
  </si>
  <si>
    <t>09:10-19:30</t>
  </si>
  <si>
    <t>H&amp;M, Euro-Asia Mall, No.5178 Kaiyun Stree</t>
  </si>
  <si>
    <t>H&amp;M, Euro-Asia Mall, No.5178 Kaiyun Stree;;130015;Chaoyang District, Changchun;Jilin Province</t>
  </si>
  <si>
    <t>CN0463</t>
  </si>
  <si>
    <t>Huajun Shopping Mall</t>
  </si>
  <si>
    <t>Daqing</t>
  </si>
  <si>
    <t>1F, No.4 Zhongyuan Road</t>
  </si>
  <si>
    <t>1F, No.4 Zhongyuan Road;;163458;Ranghulu District, Daqing;Heilongjiang Province</t>
  </si>
  <si>
    <t>CN0464</t>
  </si>
  <si>
    <t>City On Mall</t>
  </si>
  <si>
    <t>No.8 FengchengQi Road</t>
  </si>
  <si>
    <t>No.8 FengchengQi Road;;710018;Weiyang District, Xi'an;Shanxi Province</t>
  </si>
  <si>
    <t>CN0465</t>
  </si>
  <si>
    <t>Taskin Plaza</t>
  </si>
  <si>
    <t>No.868 Yingxin Road</t>
  </si>
  <si>
    <t>No.868 Yingxin Road;;410000;Yuhua District, Changsha;Hunan Province</t>
  </si>
  <si>
    <t>CN0466</t>
  </si>
  <si>
    <t>Sunshine City</t>
  </si>
  <si>
    <t>No.60 Boshi Road</t>
  </si>
  <si>
    <t>No.60 Boshi Road;;710000;Gaoxin district, Xi'an;Shanxi Province</t>
  </si>
  <si>
    <t>CN0467</t>
  </si>
  <si>
    <t>Star City Mall</t>
  </si>
  <si>
    <t>No.1095 Middle Shennan Road</t>
  </si>
  <si>
    <t>No.1095 Middle Shennan Road;;518031;RoadFutian District, Shenzhen;Guangdong Province</t>
  </si>
  <si>
    <t>CN0468</t>
  </si>
  <si>
    <t>Parkway Times Plaza Zhongshan</t>
  </si>
  <si>
    <t>1F&amp;2F No.43 Beixiu Road</t>
  </si>
  <si>
    <t>1F&amp;2F No.43 Beixiu Road;;528415;Xiaolan Town, Zhongshan;Guangdong Province</t>
  </si>
  <si>
    <t>CN0469</t>
  </si>
  <si>
    <t>Huamao Shopping Mall</t>
  </si>
  <si>
    <t>No.555 Middle Wenchang Road</t>
  </si>
  <si>
    <t>No.555 Middle Wenchang Road;;225001;Guangling District, Yangzhou;Jiangsu Province</t>
  </si>
  <si>
    <t>CN0471</t>
  </si>
  <si>
    <t>Wanda Plaza Liuzhou</t>
  </si>
  <si>
    <t>No.256 Donghuan Ave.</t>
  </si>
  <si>
    <t>No.256 Donghuan Ave.;;545006;Yufeng District,Liuzhou;Guangxi Zhuang A.R.</t>
  </si>
  <si>
    <t>CN0472</t>
  </si>
  <si>
    <t>Luzhou</t>
  </si>
  <si>
    <t>NO.1 of 1st part of Kangcheng Rd,Jiangyang District</t>
  </si>
  <si>
    <t>NO.1 of 1st part of Kangcheng Rd,Jiangyang District;;646000;Luzhou;Sichuan Province</t>
  </si>
  <si>
    <t>CN0473</t>
  </si>
  <si>
    <t>Mangrove Plaza</t>
  </si>
  <si>
    <t>Sanya</t>
  </si>
  <si>
    <t>No.155, Fenghuang Road</t>
  </si>
  <si>
    <t>No.155, Fenghuang Road;;572000;Tianya District, Sanya;Hainan Province</t>
  </si>
  <si>
    <t>CN0474</t>
  </si>
  <si>
    <t>Fortune Center</t>
  </si>
  <si>
    <t>No.2066 Tianfei Road</t>
  </si>
  <si>
    <t>No.2066 Tianfei Road;;351100;Licheng District, Putian;Fujian Province</t>
  </si>
  <si>
    <t>CN0475</t>
  </si>
  <si>
    <t>9 Square Shopping mall</t>
  </si>
  <si>
    <t>No. 101 West Changhong Street, Balihu New District,</t>
  </si>
  <si>
    <t>No. 101 West Changhong Street, Balihu New District,;;332000;jiujiang;Jiangxi Province</t>
  </si>
  <si>
    <t>CN0477</t>
  </si>
  <si>
    <t>Happy City Shopping Mall</t>
  </si>
  <si>
    <t>'H&amp;M, Happy Shopping Center, No.1889 Qianjin Avenue</t>
  </si>
  <si>
    <t>'H&amp;M, Happy Shopping Center, No.1889 Qianjin Avenue;;130012;Gaoxin District, Changchun;Jilin Province</t>
  </si>
  <si>
    <t>CN0478</t>
  </si>
  <si>
    <t>Jiaozuo</t>
  </si>
  <si>
    <t>H&amp;M, Wanda Plaza, No.988 South Minzhu Road</t>
  </si>
  <si>
    <t>H&amp;M, Wanda Plaza, No.988 South Minzhu Road;;454000;Jiefang District, Jiaozuo;Henan Province</t>
  </si>
  <si>
    <t>CN0479</t>
  </si>
  <si>
    <t>Zhongyu Plaza</t>
  </si>
  <si>
    <t>No. 99 Hongjin Avenue, Longxi Street, Yubei</t>
  </si>
  <si>
    <t>No. 99 Hongjin Avenue, Longxi Street, Yubei;;401147;Chongqing;Chongqing Municipality</t>
  </si>
  <si>
    <t>CN0480</t>
  </si>
  <si>
    <t>Longyan</t>
  </si>
  <si>
    <t>No.388 Longyan Avenue</t>
  </si>
  <si>
    <t>No.388 Longyan Avenue;;364030;Xinluo District, Longyan;Fujian Province</t>
  </si>
  <si>
    <t>CN0482</t>
  </si>
  <si>
    <t>Carnival Walk</t>
  </si>
  <si>
    <t>UnitA008, B1,No.3567, North Caiyun Road</t>
  </si>
  <si>
    <t>UnitA008, B1,No.3567, North Caiyun Road;;650214;Guandu District, Kunming;Yunnan Province</t>
  </si>
  <si>
    <t>CN0483</t>
  </si>
  <si>
    <t>NO.1188,Yong Ding Rd.</t>
  </si>
  <si>
    <t>NO.1188,Yong Ding Rd.;;325000;Wenzhou;Zhejiang Province</t>
  </si>
  <si>
    <t>CN0484</t>
  </si>
  <si>
    <t>The Hub</t>
  </si>
  <si>
    <t>No. 99 Shenhong Road</t>
  </si>
  <si>
    <t>No. 99 Shenhong Road;;201103;Minghang District;Shanghai Municipality</t>
  </si>
  <si>
    <t>CN0485</t>
  </si>
  <si>
    <t>Powerlong Plaza Qibao</t>
  </si>
  <si>
    <t>No.3223,Caobao Rd</t>
  </si>
  <si>
    <t>No.3223,Caobao Rd;;201101;Minhang,Shanghai;Shanghai Municipality</t>
  </si>
  <si>
    <t>CN0486</t>
  </si>
  <si>
    <t>Powerlong Fengxian</t>
  </si>
  <si>
    <t>NO.5639 Hangnan Highway, Fengxian</t>
  </si>
  <si>
    <t>NO.5639 Hangnan Highway, Fengxian;;210400;Fengxian District, Shanghai;Shanghai Municipality</t>
  </si>
  <si>
    <t>CN0487</t>
  </si>
  <si>
    <t>Powerlong Plaza</t>
  </si>
  <si>
    <t>No.9 Renmin Road</t>
  </si>
  <si>
    <t>No.9 Renmin Road;;224000;Xianghu District, Yancheng;Jiangsu Province</t>
  </si>
  <si>
    <t>CN0493</t>
  </si>
  <si>
    <t>Bubugao Meixi City</t>
  </si>
  <si>
    <t>No. 657, S. Dongfanghong St.</t>
  </si>
  <si>
    <t>No. 657, S. Dongfanghong St.;;430100;Changsha,Hunan;Hunan Province</t>
  </si>
  <si>
    <t>CN0494</t>
  </si>
  <si>
    <t>Xintian 360 Plaza</t>
  </si>
  <si>
    <t>Xuchang</t>
  </si>
  <si>
    <t>1F, Liancheng Avenue crossing Zhihui Avenue</t>
  </si>
  <si>
    <t>1F, Liancheng Avenue crossing Zhihui Avenue;;461000;Weidu District, Xuchang;Henan Province</t>
  </si>
  <si>
    <t>CN0497</t>
  </si>
  <si>
    <t>No.518 Dayue Rd, Wuhou District</t>
  </si>
  <si>
    <t>No.518 Dayue Rd, Wuhou District;;610041;Chengdu;Sichuan Province</t>
  </si>
  <si>
    <t>CN0498</t>
  </si>
  <si>
    <t>Shuyang Lohas Plaza</t>
  </si>
  <si>
    <t>Shuyang</t>
  </si>
  <si>
    <t>1F&amp;2F No.1 South Taizhou Road</t>
  </si>
  <si>
    <t>1F&amp;2F No.1 South Taizhou Road;;223600;Shuyang, Suqian;Jiangsu Province</t>
  </si>
  <si>
    <t>CN0499</t>
  </si>
  <si>
    <t>Erdos Shopping Center</t>
  </si>
  <si>
    <t>Ordos</t>
  </si>
  <si>
    <t>Unit 1, 1F&amp;2F, No.16 North ZhunGeer Road</t>
  </si>
  <si>
    <t>Unit 1, 1F&amp;2F, No.16 North ZhunGeer Road;;017002;Dongsheng District, Erdos;Inner Mongolia A.R.</t>
  </si>
  <si>
    <t>CN0502</t>
  </si>
  <si>
    <t>1F,No.958 Yuanfei Road</t>
  </si>
  <si>
    <t>1F,No.958 Yuanfei Road;;261031;Kuiwen District, Weifang;Shandong Province</t>
  </si>
  <si>
    <t>CN0503</t>
  </si>
  <si>
    <t>UniPark</t>
  </si>
  <si>
    <t>Unit L130,L131,L134&amp;Unit L228,L230,No.18 Middle Guilan Road</t>
  </si>
  <si>
    <t>Unit L130,L131,L134&amp;Unit L228,L230,No.18 Middle Guilan Road;;528200;Nanhai District, Foshan;Guangdong Province</t>
  </si>
  <si>
    <t>CN0504</t>
  </si>
  <si>
    <t>Center 1</t>
  </si>
  <si>
    <t>2F No.6 Middle Renmin Road</t>
  </si>
  <si>
    <t>2F No.6 Middle Renmin Road;;325099;wenzhou;Zhejiang Province</t>
  </si>
  <si>
    <t>CN0506</t>
  </si>
  <si>
    <t>TianXiahui Shopping Mall</t>
  </si>
  <si>
    <t>Baoji</t>
  </si>
  <si>
    <t>1F, No.48 Xin'gao Avenue</t>
  </si>
  <si>
    <t>1F, No.48 Xin'gao Avenue;;721013;Weibin District, Baoji;Shanxi Province</t>
  </si>
  <si>
    <t>CN0509</t>
  </si>
  <si>
    <t>Longhu Times Walk Commercial Center</t>
  </si>
  <si>
    <t>1F, Building 1, No.5 Yongxing Road</t>
  </si>
  <si>
    <t>1F, Building 1, No.5 Yongxing Road;;102600;Daxing District, Beijing;Beijing Municipality</t>
  </si>
  <si>
    <t>CN0514</t>
  </si>
  <si>
    <t>Powerlong City</t>
  </si>
  <si>
    <t>2F, No.3867 Binsheng Road</t>
  </si>
  <si>
    <t>2F, No.3867 Binsheng Road;;310053;Binjiang District, Hangzhou;Zhejiang Province</t>
  </si>
  <si>
    <t>CN0516</t>
  </si>
  <si>
    <t>Bali Plaza</t>
  </si>
  <si>
    <t>Yangjiang</t>
  </si>
  <si>
    <t>NO.3 Dongfeng Yi Rd</t>
  </si>
  <si>
    <t>NO.3 Dongfeng Yi Rd;;529500;Jiangcheng District, Yangjiang;Guangdong Province</t>
  </si>
  <si>
    <t>CN0517</t>
  </si>
  <si>
    <t>Joson Plaza Taizhou</t>
  </si>
  <si>
    <t>Taizhou</t>
  </si>
  <si>
    <t>1F&amp;2F No.508 Yinzuo Street</t>
  </si>
  <si>
    <t>1F&amp;2F No.508 Yinzuo Street;;318050;Luqiao Distict Taizhou;Zhejiang Province</t>
  </si>
  <si>
    <t>CN0520</t>
  </si>
  <si>
    <t>2F, No.2868 Luzhou Avenue</t>
  </si>
  <si>
    <t>2F, No.2868 Luzhou Avenue;;230091;Baohe District, Hefei;Anhui Province</t>
  </si>
  <si>
    <t>CN0521</t>
  </si>
  <si>
    <t>2F, No.1076 Sanqiaoxin Road</t>
  </si>
  <si>
    <t>2F, No.1076 Sanqiaoxin Road;;712000;Xianxin District, Xi'an;Shanxi Province</t>
  </si>
  <si>
    <t>CN0522</t>
  </si>
  <si>
    <t>Hopson Plaza Guangzhou</t>
  </si>
  <si>
    <t>Unit237-238 No.249 South Section of Guangzhou Avenue</t>
  </si>
  <si>
    <t>Unit237-238 No.249 South Section of Guangzhou Avenue;;510310;Haizhu district Guangzhou;Guangdong Province</t>
  </si>
  <si>
    <t>CN0523</t>
  </si>
  <si>
    <t>Shangmei Plaza</t>
  </si>
  <si>
    <t>Deyang</t>
  </si>
  <si>
    <t>No. 550, Minjiang West Rd, Jingyang District</t>
  </si>
  <si>
    <t>No. 550, Minjiang West Rd, Jingyang District;;613000;Deyang Jingyang District;Sichuan Province</t>
  </si>
  <si>
    <t>CN0524</t>
  </si>
  <si>
    <t>Jinmao Place</t>
  </si>
  <si>
    <t>No.1177, Meixihu Road</t>
  </si>
  <si>
    <t>No.1177, Meixihu Road;;410205;Yuelu district,Changsha;Hunan Province</t>
  </si>
  <si>
    <t>CN0525</t>
  </si>
  <si>
    <t>Zhongxin Citic Plaza</t>
  </si>
  <si>
    <t>no. 111 zhongyi second road</t>
  </si>
  <si>
    <t>no. 111 zhongyi second road;;410004;Tianxin District, Changsha;Hunan Province</t>
  </si>
  <si>
    <t>CN0526</t>
  </si>
  <si>
    <t>sinic plaza</t>
  </si>
  <si>
    <t>No.2133 Jinsha Avenue</t>
  </si>
  <si>
    <t>No.2133 Jinsha Avenue;;330052;Xianghu New District, Nanchang;Jiangxi Province</t>
  </si>
  <si>
    <t>CN0530</t>
  </si>
  <si>
    <t>No. 32 North Furong Road, Wujiang District</t>
  </si>
  <si>
    <t>Shaoguan</t>
  </si>
  <si>
    <t>No. 32 North Furong Road, Wujiang District;Shaoguan;512000;512000;Guangdong Province</t>
  </si>
  <si>
    <t>CN0532</t>
  </si>
  <si>
    <t>Haihu Wanda Plaza</t>
  </si>
  <si>
    <t>1F, No.1 Guangchang Road</t>
  </si>
  <si>
    <t>1F, No.1 Guangchang Road;;810008;Chengxi District, Xining;Qinghai Province</t>
  </si>
  <si>
    <t>CN0533</t>
  </si>
  <si>
    <t>East Park</t>
  </si>
  <si>
    <t>09:00-22:00</t>
  </si>
  <si>
    <t>Unit L201-L202,L204,L206-208A, 2F,No.36 Dongfang Avenue</t>
  </si>
  <si>
    <t>Unit L201-L202,L204,L206-208A, 2F,No.36 Dongfang Avenue;;518105;Bao An district, Shenzhen;Guangdong Province</t>
  </si>
  <si>
    <t>CN0535</t>
  </si>
  <si>
    <t>Tongliao Wanda</t>
  </si>
  <si>
    <t>Tongliao</t>
  </si>
  <si>
    <t>Wanda, West of Sierra Mulun Street and Dongshun Road</t>
  </si>
  <si>
    <t>Wanda, West of Sierra Mulun Street and Dongshun Road;;028005;Horqin District, Tongliao;Inner Mongolia A.R.</t>
  </si>
  <si>
    <t>CN0536</t>
  </si>
  <si>
    <t>NanLongpan Road crossing Jiulong Avenue</t>
  </si>
  <si>
    <t>NanLongpan Road crossing Jiulong Avenue;;330038;JiuLonghu New District, Nanchang;Jiangxi Province</t>
  </si>
  <si>
    <t>CN0537</t>
  </si>
  <si>
    <t>CC Mall</t>
  </si>
  <si>
    <t>No.9 Qichao Avenue</t>
  </si>
  <si>
    <t>No.9 Qichao Avenue;;529101;Xinhui District, Jiangmen;Guangdong Province</t>
  </si>
  <si>
    <t>CN0540</t>
  </si>
  <si>
    <t>Xiaogan Intime City</t>
  </si>
  <si>
    <t>Xiaogan</t>
  </si>
  <si>
    <t>No.26 Tianxian North Road</t>
  </si>
  <si>
    <t>No.26 Tianxian North Road;;432100;Xiaonan, Xiaogan;Hebei Province</t>
  </si>
  <si>
    <t>CN0541</t>
  </si>
  <si>
    <t>Hall of the Moon</t>
  </si>
  <si>
    <t>No.188, Ruihong Road</t>
  </si>
  <si>
    <t>No.188, Ruihong Road;;200080;Hongkou District;Shanghai Municipality</t>
  </si>
  <si>
    <t>CN0542</t>
  </si>
  <si>
    <t>N1 Artwalk Mall</t>
  </si>
  <si>
    <t>Units F147-F150, 1F, NO.196,Tiyu South Road</t>
  </si>
  <si>
    <t>Units F147-F150, 1F, NO.196,Tiyu South Road;;030006;Xiaodian District, Taiyuan;Shanxi Province</t>
  </si>
  <si>
    <t>CN0543</t>
  </si>
  <si>
    <t>Datong</t>
  </si>
  <si>
    <t>Unit 1FA, 1F, East Nanhaun Road crossing Yonghe Road</t>
  </si>
  <si>
    <t>Unit 1FA, 1F, East Nanhaun Road crossing Yonghe Road;;037009;Yudong District, Datong;Shaanxi Province</t>
  </si>
  <si>
    <t>CN0545</t>
  </si>
  <si>
    <t>Guihe Shopping Mall</t>
  </si>
  <si>
    <t>Units B113-115 of 1F&amp;B210-B212 of F2, No.59 Jinyu Road</t>
  </si>
  <si>
    <t>Units B113-115 of 1F&amp;B210-B212 of F2, No.59 Jinyu Road;;272009;Rencheng District, Jining;Shandong Province</t>
  </si>
  <si>
    <t>CN0546</t>
  </si>
  <si>
    <t>Jiangnan Global Harbor</t>
  </si>
  <si>
    <t>2F,No.598 Middle Tongjiang Road</t>
  </si>
  <si>
    <t>2F,No.598 Middle Tongjiang Road;;213022;Xinbei District Changzhou City;Jiangsu Province</t>
  </si>
  <si>
    <t>CN0547</t>
  </si>
  <si>
    <t>Changfa Square Nanjing</t>
  </si>
  <si>
    <t>Building 1,  No.88 Hongshan Road</t>
  </si>
  <si>
    <t>Building 1,  No.88 Hongshan Road;;210028;Xuanwu District, Nanjing;Jiangsu Province</t>
  </si>
  <si>
    <t>CN0551</t>
  </si>
  <si>
    <t>Yuzhou World Trade Center</t>
  </si>
  <si>
    <t>10:00-21:50</t>
  </si>
  <si>
    <t>10:00-22:15</t>
  </si>
  <si>
    <t>Unit 124, 1F&amp;2F, Area A, No.888 Xiahe Road</t>
  </si>
  <si>
    <t>Unit 124, 1F&amp;2F, Area A, No.888 Xiahe Road;;361010;Siming District, Xiamen;Fujian Province</t>
  </si>
  <si>
    <t>CN0552</t>
  </si>
  <si>
    <t>Jindu Plaza</t>
  </si>
  <si>
    <t>Qujing</t>
  </si>
  <si>
    <t>Unit 026,2F,No.218 South Liaokuo Road</t>
  </si>
  <si>
    <t>Unit 026,2F,No.218 South Liaokuo Road;;655000;Qilin District, Qujing;Yunnan Province</t>
  </si>
  <si>
    <t>CN0553</t>
  </si>
  <si>
    <t>Melo City</t>
  </si>
  <si>
    <t>1F, No. 816 Huizhou Avenue</t>
  </si>
  <si>
    <t>1F, No. 816 Huizhou Avenue;;230000;Baohe District, Hefei;Anhui Province</t>
  </si>
  <si>
    <t>CN0554</t>
  </si>
  <si>
    <t>the mall</t>
  </si>
  <si>
    <t>No.1882 Jingao Road</t>
  </si>
  <si>
    <t>No.1882 Jingao Road;;201206;pudong;Shanghai Municipality</t>
  </si>
  <si>
    <t>CN0555</t>
  </si>
  <si>
    <t>Unit 1BFA, 1F, No.999 XuanwuHu Road</t>
  </si>
  <si>
    <t>Unit 1BFA, 1F, No.999 XuanwuHu Road;;830057;Teconomic Development Dist,Urumqi;Xinjiang Uyghur A.R.</t>
  </si>
  <si>
    <t>CN0556</t>
  </si>
  <si>
    <t>Veneto</t>
  </si>
  <si>
    <t>1F, Qianjin Road crossing Cuitong Road</t>
  </si>
  <si>
    <t>1F, Qianjin Road crossing Cuitong Road;;301700;Wuqing District, Tianjin;Tianjin Municipality</t>
  </si>
  <si>
    <t>CN0561</t>
  </si>
  <si>
    <t>Landmark Riverside</t>
  </si>
  <si>
    <t>No.133 Nanbing Road, Nanan district</t>
  </si>
  <si>
    <t>No.133 Nanbing Road, Nanan district;;400066;Nanan district, Chongqing;Chongqing Municipality</t>
  </si>
  <si>
    <t>CN0562</t>
  </si>
  <si>
    <t>Intime city</t>
  </si>
  <si>
    <t>Bengbu</t>
  </si>
  <si>
    <t>No.4000 Donghai Avenue</t>
  </si>
  <si>
    <t>No.4000 Donghai Avenue;;233000;Bengbu;Anhui Province</t>
  </si>
  <si>
    <t>CN0565</t>
  </si>
  <si>
    <t>Dongying</t>
  </si>
  <si>
    <t>1F, No.730 Beiyi Road</t>
  </si>
  <si>
    <t>1F, No.730 Beiyi Road;;257061;Dongying District, Dongying;Shandong Province</t>
  </si>
  <si>
    <t>CN0566</t>
  </si>
  <si>
    <t>Top City</t>
  </si>
  <si>
    <t>Unit 24 of 1F&amp;Unit 20 of 2F,No.598, South Caiyun Road</t>
  </si>
  <si>
    <t>Unit 24 of 1F&amp;Unit 20 of 2F,No.598, South Caiyun Road;;650500;Chenggong District, Kunming;Yunnan Province</t>
  </si>
  <si>
    <t>CN0569</t>
  </si>
  <si>
    <t>1F,No.799 Qiantao Road</t>
  </si>
  <si>
    <t>1F,No.799 Qiantao Road;;312000;Keqiao District, Shaoxin;Zhejiang Province</t>
  </si>
  <si>
    <t>CN0570</t>
  </si>
  <si>
    <t>Lifestyle Center</t>
  </si>
  <si>
    <t>No.169 Xinma Rd</t>
  </si>
  <si>
    <t>No.169 Xinma Rd;;322000;Choujiang District, Yiwu;Zhejiang Province</t>
  </si>
  <si>
    <t>CN0571</t>
  </si>
  <si>
    <t>1F, Hexian Road crossing East Linquan Road</t>
  </si>
  <si>
    <t>1F, Hexian Road crossing East Linquan Road;;230011;Yaohai District, Hefei;Anhui Province</t>
  </si>
  <si>
    <t>CN0572</t>
  </si>
  <si>
    <t>Unit L116, 1F, No.50 North Tongda Street</t>
  </si>
  <si>
    <t>Unit L116, 1F, No.50 North Tongda Street;;750000;Jingfeng District, Yinchuan;Ningxia Hui Autonomous Region</t>
  </si>
  <si>
    <t>CN0573</t>
  </si>
  <si>
    <t>Vivo City Shanghai</t>
  </si>
  <si>
    <t>1F&amp;2F No.1507 Qixin Road</t>
  </si>
  <si>
    <t>1F&amp;2F No.1507 Qixin Road;;201199;Minghang District;Shanghai Municipality</t>
  </si>
  <si>
    <t>CN0574</t>
  </si>
  <si>
    <t>No 18. North Beijing Road</t>
  </si>
  <si>
    <t>No 18. North Beijing Road;;221000;Tongshan District, Xuzhou;Jiangsu Province</t>
  </si>
  <si>
    <t>CN0581</t>
  </si>
  <si>
    <t>City Proper</t>
  </si>
  <si>
    <t>Jincheng</t>
  </si>
  <si>
    <t>H&amp;M, 1F, Lanhua City, No.1308 West Xinshi Street</t>
  </si>
  <si>
    <t>H&amp;M, 1F, Lanhua City, No.1308 West Xinshi Street;;048000;Jincheng City;Shanxi Province</t>
  </si>
  <si>
    <t>CN0582</t>
  </si>
  <si>
    <t>Changde</t>
  </si>
  <si>
    <t>Zaoguo Road crossing Liuye Avenue</t>
  </si>
  <si>
    <t>Zaoguo Road crossing Liuye Avenue;;415000;Wuling District, Changde;Hunan Province</t>
  </si>
  <si>
    <t>CN0585</t>
  </si>
  <si>
    <t>Wujiang City Plaza</t>
  </si>
  <si>
    <t>Loudi</t>
  </si>
  <si>
    <t>1F, Zaoyuan Road crossing Fuqing Road</t>
  </si>
  <si>
    <t>1F, Zaoyuan Road crossing Fuqing Road;;417000;Louxing District, loudi;Hunan Province</t>
  </si>
  <si>
    <t>CN0588</t>
  </si>
  <si>
    <t>New Chaoyang Shopping Center</t>
  </si>
  <si>
    <t>Langfang</t>
  </si>
  <si>
    <t>1F, No.111 Aimin East Rd</t>
  </si>
  <si>
    <t>1F, No.111 Aimin East Rd;;065000;Guangyang, Langfang;Hebei Province</t>
  </si>
  <si>
    <t>CN0589</t>
  </si>
  <si>
    <t>Dandong</t>
  </si>
  <si>
    <t>1F, No.298 Jinshan Street</t>
  </si>
  <si>
    <t>1F, No.298 Jinshan Street;;118002;Zhenxing District, Dandong;Liaoning Province</t>
  </si>
  <si>
    <t>CN0590</t>
  </si>
  <si>
    <t>Float New City Square</t>
  </si>
  <si>
    <t>Dazhou</t>
  </si>
  <si>
    <t>No.128 Jinlan Road,Tongchuan District</t>
  </si>
  <si>
    <t>No.128 Jinlan Road,Tongchuan District;;635002;Tongchuan District, Dazhou;Sichuan Province</t>
  </si>
  <si>
    <t>CN0591</t>
  </si>
  <si>
    <t>Humen Wanda</t>
  </si>
  <si>
    <t>1F, No.388 North Liansheng Road</t>
  </si>
  <si>
    <t>1F, No.388 North Liansheng Road;;523905;RoadHumen Town, Dongguan;Guangdong Province</t>
  </si>
  <si>
    <t>CN0592</t>
  </si>
  <si>
    <t>Century Place</t>
  </si>
  <si>
    <t>Qingyuan</t>
  </si>
  <si>
    <t>No.3 East Xianfeng Road</t>
  </si>
  <si>
    <t>No.3 East Xianfeng Road;;511500;Qingcheng District, Qingyuan;Guangdong Province</t>
  </si>
  <si>
    <t>CN0595</t>
  </si>
  <si>
    <t>Zhongdong Shopping Center</t>
  </si>
  <si>
    <t>Songyuan</t>
  </si>
  <si>
    <t>1F, Zhongdong City Mall, Dongzhen Road crossing Wuhuan Stree</t>
  </si>
  <si>
    <t>1F, Zhongdong City Mall, Dongzhen Road crossing Wuhuan Stree;;161000;Ningjiang District, Songyuan City;Jilin Province</t>
  </si>
  <si>
    <t>CN0596</t>
  </si>
  <si>
    <t>Longhua Road</t>
  </si>
  <si>
    <t>Qiqihar</t>
  </si>
  <si>
    <t>Longhua Road;;161000</t>
  </si>
  <si>
    <t>CN0598</t>
  </si>
  <si>
    <t>H&amp;M,1F, Wanda Plaza, No.68 Kaiyuan Road</t>
  </si>
  <si>
    <t>H&amp;M,1F, Wanda Plaza, No.68 Kaiyuan Road;;450000;Huiji District, Zhengzhou;Henan Province</t>
  </si>
  <si>
    <t>CN0599</t>
  </si>
  <si>
    <t>Liyang</t>
  </si>
  <si>
    <t>No 369 Middle Pingling Road</t>
  </si>
  <si>
    <t>No 369 Middle Pingling Road;;213399;Liyang, Changzhou;Jiangsu Province</t>
  </si>
  <si>
    <t>CN1003</t>
  </si>
  <si>
    <t>Shangqiu Wanda</t>
  </si>
  <si>
    <t>Shangqiu</t>
  </si>
  <si>
    <t>Beihai Rd, Guide Rdï¼ŒUnit 1FA</t>
  </si>
  <si>
    <t>Beihai Rd, Guide Rdï¼ŒUnit 1FA;;476000;Suiyang District, Shangqiu City;Henan Province</t>
  </si>
  <si>
    <t>CN1004</t>
  </si>
  <si>
    <t>Mix C</t>
  </si>
  <si>
    <t>10:00-10:00</t>
  </si>
  <si>
    <t>10:00-10:30</t>
  </si>
  <si>
    <t>Unit L219,2nd Floor,No. 99 Hubin East Road</t>
  </si>
  <si>
    <t>Unit L219,2nd Floor,No. 99 Hubin East Road;;361004;Siming District, Xiamen;Fujian Province</t>
  </si>
  <si>
    <t>CN1005</t>
  </si>
  <si>
    <t>Zengcheng Wanda</t>
  </si>
  <si>
    <t>NO.69 zengcheng avenue</t>
  </si>
  <si>
    <t>NO.69 zengcheng avenue;;511300;Guangzhou Zengcheng District;Guangdong Province</t>
  </si>
  <si>
    <t>CN1007</t>
  </si>
  <si>
    <t>Guanshanhu Wanda</t>
  </si>
  <si>
    <t>1F,Cross of South Yuntan Road and West Guanshan Road</t>
  </si>
  <si>
    <t>1F,Cross of South Yuntan Road and West Guanshan Road;;550081;Guanshanhu District, Guiyang;Guizhou Province</t>
  </si>
  <si>
    <t>CN1009</t>
  </si>
  <si>
    <t>Longding Wanda</t>
  </si>
  <si>
    <t>Jiaxing</t>
  </si>
  <si>
    <t>No.355, Longteng Road</t>
  </si>
  <si>
    <t>No.355, Longteng Road;;314000;Jiaxing Nanhu District;Zhejiang Province</t>
  </si>
  <si>
    <t>CN1012</t>
  </si>
  <si>
    <t>Longfor Times Paradise Walk Chongqing</t>
  </si>
  <si>
    <t>NO.3 Times Paradise Walk Daping, Yuzhong District</t>
  </si>
  <si>
    <t>NO.3 Times Paradise Walk Daping, Yuzhong District;;400042;Chongqing;Chongqing Municipality</t>
  </si>
  <si>
    <t>CN1016</t>
  </si>
  <si>
    <t>1F,Hongxin Road across Jindai Rd, Anning St. Longmatan</t>
  </si>
  <si>
    <t>1F,Hongxin Road across Jindai Rd, Anning St. Longmatan;;646699;Longmatan district, Luzhou;Sichuan Province</t>
  </si>
  <si>
    <t>CN1017</t>
  </si>
  <si>
    <t>Wanda shopping Mall</t>
  </si>
  <si>
    <t>11:00-21:30</t>
  </si>
  <si>
    <t>'H&amp;M, 1F, High-tech Wanda Plaza, No.668 North Changchun Road</t>
  </si>
  <si>
    <t>'H&amp;M, 1F, High-tech Wanda Plaza, No.668 North Changchun Road;;830010;Xinshi District, Urumqi;Xinjiang Uyghur A.R.</t>
  </si>
  <si>
    <t>CN1018</t>
  </si>
  <si>
    <t>Changzhi Wanda</t>
  </si>
  <si>
    <t>Changzhi</t>
  </si>
  <si>
    <t>No.222, Yingxing north road Unit 1FA</t>
  </si>
  <si>
    <t>No.222, Yingxing north road Unit 1FA;;046031;Changzhi city;Shanxi Province</t>
  </si>
  <si>
    <t>CN1021</t>
  </si>
  <si>
    <t>Gonglian Worldwide Hangzhou</t>
  </si>
  <si>
    <t>1F&amp;2F  No.292 Yan'an Road</t>
  </si>
  <si>
    <t>1F&amp;2F  No.292 Yan'an Road;;310002;Shangcheng District, Hangzhou;Zhejiang Province</t>
  </si>
  <si>
    <t>CN1023</t>
  </si>
  <si>
    <t>No.58 Lishui Rd.</t>
  </si>
  <si>
    <t>Gongshu district.Hangzhou Zhejiang Province.</t>
  </si>
  <si>
    <t>No.58 Lishui Rd.;Gongshu district.Hangzhou Zhejiang Province.;310015;Grand Canal Place</t>
  </si>
  <si>
    <t>CN1027</t>
  </si>
  <si>
    <t>1F,No. 59 Chaoshan Road</t>
  </si>
  <si>
    <t>1F,No. 59 Chaoshan Road;;515041;Jinping District, Shantou;Guangdong Province</t>
  </si>
  <si>
    <t>CN1033</t>
  </si>
  <si>
    <t>Yulin Wanda</t>
  </si>
  <si>
    <t>Yulin</t>
  </si>
  <si>
    <t>Unit 1013-1015, 1st Floor, No. 311 Jinyu Road</t>
  </si>
  <si>
    <t>Unit 1013-1015, 1st Floor, No. 311 Jinyu Road;;537000;Yuzhou District, Yulin City;Guangxi Zhuang A.R.</t>
  </si>
  <si>
    <t>CN1038</t>
  </si>
  <si>
    <t>Maoye</t>
  </si>
  <si>
    <t>Huai'an</t>
  </si>
  <si>
    <t>1F, No.10 North Huaihai Road</t>
  </si>
  <si>
    <t>1F, No.10 North Huaihai Road;;223001;Qingjiangpu District, Huai'an;Jiangsu Province</t>
  </si>
  <si>
    <t>CN1040</t>
  </si>
  <si>
    <t>R&amp;F ICON</t>
  </si>
  <si>
    <t>No.180, Jiangnan Avenue</t>
  </si>
  <si>
    <t>R&amp;F ICON;No.180, Jiangnan Avenue;510000;Guangzhou City;Guangdong Province</t>
  </si>
  <si>
    <t>CN1044</t>
  </si>
  <si>
    <t>1F, Building 1,No.8 Lihua East Avenue</t>
  </si>
  <si>
    <t>1F, Building 1,No.8 Lihua East Avenue;;351100;Chengxiang District, Putian;Fujian Province</t>
  </si>
  <si>
    <t>CN1046</t>
  </si>
  <si>
    <t>MLive Plaza Guangzhou</t>
  </si>
  <si>
    <t>1F&amp;2F No.663 Huangpu Avenue</t>
  </si>
  <si>
    <t>1F&amp;2F No.663 Huangpu Avenue;;510000;Tianhe District, Guangzhou;Guangdong Province</t>
  </si>
  <si>
    <t>CN1048</t>
  </si>
  <si>
    <t>Hengyang</t>
  </si>
  <si>
    <t>1F,No.22 Xingfu Road</t>
  </si>
  <si>
    <t>1F,No.22 Xingfu Road;;421101;Zhengxiang District,Hengyang;Hunan Province</t>
  </si>
  <si>
    <t>CN1049</t>
  </si>
  <si>
    <t>Horizon center</t>
  </si>
  <si>
    <t>No 8 Yonghe Road</t>
  </si>
  <si>
    <t>No 8 Yonghe Road;;430010;Jiang'an district, Wuhan;Hubei Province</t>
  </si>
  <si>
    <t>CN1052</t>
  </si>
  <si>
    <t>Zhenjiang Wanda</t>
  </si>
  <si>
    <t>Zhenjiang</t>
  </si>
  <si>
    <t>No.19 West Huangshan Rd.</t>
  </si>
  <si>
    <t>No.19 West Huangshan Rd.;;212004;Runzhou Dist. Zhenjiang City;Jiangsu Province</t>
  </si>
  <si>
    <t>CN1066</t>
  </si>
  <si>
    <t>Unit 1F36 &amp; Units 2F-07C,09B,10/41A, No.131,North Xidan Str.</t>
  </si>
  <si>
    <t>Unit 1F36 &amp; Units 2F-07C,09B,10/41A, No.131,North Xidan Str.;;100000;Xicheng district, Beijing;Beijing Municipality</t>
  </si>
  <si>
    <t>CN1067</t>
  </si>
  <si>
    <t>Units 2F-14,15,16,17A, 2F, No. 131, North Xidan street</t>
  </si>
  <si>
    <t>Units 2F-14,15,16,17A, 2F, No. 131, North Xidan street;;100000;Xicheng district, Beijing;Beijing Municipality</t>
  </si>
  <si>
    <t>CN1071</t>
  </si>
  <si>
    <t>Wanda Taizhou</t>
  </si>
  <si>
    <t>1st floor No.799 Kaifa Avenue</t>
  </si>
  <si>
    <t>1st floor No.799 Kaifa Avenue;;318000;Jiaojiang District, Taizhou;Zhejiang Province</t>
  </si>
  <si>
    <t>CN1080</t>
  </si>
  <si>
    <t>Paradise Walk Longfor</t>
  </si>
  <si>
    <t>No.1000 Jianchuan Rd</t>
  </si>
  <si>
    <t>No.1000 Jianchuan Rd;;201109;Minhang Dist. Shanghai;Shanghai Municipality</t>
  </si>
  <si>
    <t>CN1085</t>
  </si>
  <si>
    <t>Beijing Golden Resources Kids</t>
  </si>
  <si>
    <t>No.1, Yuanda Road,Haidian District, Beijing</t>
  </si>
  <si>
    <t>No.1, Yuanda Road,Haidian District, Beijing;;100000</t>
  </si>
  <si>
    <t>CN1087</t>
  </si>
  <si>
    <t>Jinsha Paradise Walk</t>
  </si>
  <si>
    <t>Shangpingba Longfor</t>
  </si>
  <si>
    <t>No.200 East Rd North station, Shapingba district, Chongqing</t>
  </si>
  <si>
    <t>Shangpingba Longfor;No.200 East Rd North station, Shapingba district, Chongqing;400030;Chongqing Municipality</t>
  </si>
  <si>
    <t>CN1107</t>
  </si>
  <si>
    <t>Hunter City Square Guiyang</t>
  </si>
  <si>
    <t>10:30-22:00</t>
  </si>
  <si>
    <t>10:30-22:30</t>
  </si>
  <si>
    <t>1F No.33 South Wenchang Road</t>
  </si>
  <si>
    <t>1F No.33 South Wenchang Road;;550002;Nanming District,Guiyang;Guizhou Province</t>
  </si>
  <si>
    <t>CN1149</t>
  </si>
  <si>
    <t>Startlight Place</t>
  </si>
  <si>
    <t>1F,No.28 Jiangnan Avenue</t>
  </si>
  <si>
    <t>1F,No.28 Jiangnan Avenue;;400060;Nan'an District, Chongqing;Chongqing Municipality</t>
  </si>
  <si>
    <t>CO0001</t>
  </si>
  <si>
    <t>H&amp;M La Colina</t>
  </si>
  <si>
    <t>01-800-5190076</t>
  </si>
  <si>
    <t>Bogota</t>
  </si>
  <si>
    <t>Colombia</t>
  </si>
  <si>
    <t>CO</t>
  </si>
  <si>
    <t>Carrera 58D No. 146 - 51  Local 114</t>
  </si>
  <si>
    <t>D.C.</t>
  </si>
  <si>
    <t>H&amp;M La Colina;Carrera 58D No. 146 - 51  Local 114;111156;BogotÃ¡;D.C.</t>
  </si>
  <si>
    <t>CO0002</t>
  </si>
  <si>
    <t>H&amp;M Fontanar</t>
  </si>
  <si>
    <t>Chia, Chia</t>
  </si>
  <si>
    <t>Kl. 2.5  VÃ­a ChÃ­a â€“ Cajica  costado oriental  LOCAL</t>
  </si>
  <si>
    <t>Cundinamarca</t>
  </si>
  <si>
    <t>H&amp;M Fontanar;Kl. 2.5  VÃ­a ChÃ­a â€“ Cajica  costado oriental  LOCAL;250008;Chia, Cajica;Cundinamarca</t>
  </si>
  <si>
    <t>CO0003</t>
  </si>
  <si>
    <t>H&amp;M MultiPlaza</t>
  </si>
  <si>
    <t>Calle 19 A # 72 - 57 (Avenida BoyacÃ¡ con Calle 13)</t>
  </si>
  <si>
    <t>H&amp;M MultiPlaza;Calle 19 A # 72 - 57 (Avenida BoyacÃ¡ con Calle 13);110931;Bogota;D.C.</t>
  </si>
  <si>
    <t>CO0004</t>
  </si>
  <si>
    <t>H&amp;M Plaza Central</t>
  </si>
  <si>
    <t>Cra 65 #11-50 Local 182</t>
  </si>
  <si>
    <t>H&amp;M Plaza Central;Cra 65 #11-50 Local 182;111611;Bogota;D.C.</t>
  </si>
  <si>
    <t>CO0005</t>
  </si>
  <si>
    <t>H&amp;M El Tesoro</t>
  </si>
  <si>
    <t>Medellin</t>
  </si>
  <si>
    <t>Carrera 25A No. 1A Sur 45</t>
  </si>
  <si>
    <t>MedellÃ­n, Antioquia</t>
  </si>
  <si>
    <t>Carrera 25A No. 1A Sur 45;MedellÃ­n, Antioquia;10000</t>
  </si>
  <si>
    <t>CO0006</t>
  </si>
  <si>
    <t>H&amp;M Viva Barranquilla</t>
  </si>
  <si>
    <t>Barranquilla</t>
  </si>
  <si>
    <t>Cra 51B #87-50</t>
  </si>
  <si>
    <t>C.C. Viva Barranquilla Local 118</t>
  </si>
  <si>
    <t>Atlantico</t>
  </si>
  <si>
    <t>Cra 51B #87-50;C.C. Viva Barranquilla Local 118;080001;Atlantico</t>
  </si>
  <si>
    <t>CO0007</t>
  </si>
  <si>
    <t>H&amp;M Viva Envigado</t>
  </si>
  <si>
    <t>Viva Envigado</t>
  </si>
  <si>
    <t>Cra. 48 #24119, MedellÃ­n, Envigado</t>
  </si>
  <si>
    <t>Antioquia</t>
  </si>
  <si>
    <t>Viva Envigado;Cra. 48 #24119, MedellÃ­n, Envigado;055422;Antioquia;Antioquia</t>
  </si>
  <si>
    <t>CO0008</t>
  </si>
  <si>
    <t>H&amp;M Nuestro</t>
  </si>
  <si>
    <t>CARRERA 86 CALLE 62</t>
  </si>
  <si>
    <t>CARRERA 86 CALLE 62;;111071;D.C.</t>
  </si>
  <si>
    <t>CO0009</t>
  </si>
  <si>
    <t>H&amp;M Arkadia</t>
  </si>
  <si>
    <t>Carrera 70 #1 -141</t>
  </si>
  <si>
    <t>Carrera 70 #1 -141;;050025;Antioquia</t>
  </si>
  <si>
    <t>CO0011</t>
  </si>
  <si>
    <t>H&amp;M Centro Mayor</t>
  </si>
  <si>
    <t>Centro Mayor</t>
  </si>
  <si>
    <t>Calle 38 A Sur #34D-51</t>
  </si>
  <si>
    <t>Centro Mayor;Calle 38 A Sur #34D-51;111811;BogotÃ¡;D.C.</t>
  </si>
  <si>
    <t>CO0012</t>
  </si>
  <si>
    <t>H&amp;M Parque Fabricato</t>
  </si>
  <si>
    <t>01-800-519-0076</t>
  </si>
  <si>
    <t>Carrera 50 #30 - 201 Local 1051</t>
  </si>
  <si>
    <t>H&amp;M Parque Fabricato;Carrera 50 #30 - 201 Local 1051;051057;Bello;Antioquia</t>
  </si>
  <si>
    <t>CO0015</t>
  </si>
  <si>
    <t>H&amp;M JardÃ­n Plaza</t>
  </si>
  <si>
    <t>Cali</t>
  </si>
  <si>
    <t>CRA 98 16-200</t>
  </si>
  <si>
    <t>CRA 98 16-200;;760032</t>
  </si>
  <si>
    <t>CY0001</t>
  </si>
  <si>
    <t>171-179 Ledras Street</t>
  </si>
  <si>
    <t>Nicosia</t>
  </si>
  <si>
    <t>Cyprus</t>
  </si>
  <si>
    <t>CY</t>
  </si>
  <si>
    <t>171-179 Ledras Street;;1011;Nicosia</t>
  </si>
  <si>
    <t>CZ0001</t>
  </si>
  <si>
    <t>Novy Smichov Shopping Center</t>
  </si>
  <si>
    <t>Prague</t>
  </si>
  <si>
    <t>Czech Republic</t>
  </si>
  <si>
    <t>CZ</t>
  </si>
  <si>
    <t>Plzenska 8</t>
  </si>
  <si>
    <t>Novy Smichov Shopping Center;Plzenska 8;15 000;Praha 5</t>
  </si>
  <si>
    <t>CZ0002</t>
  </si>
  <si>
    <t>Zlicin Metropole</t>
  </si>
  <si>
    <t>RevnickÃ¡ ul. 121/1</t>
  </si>
  <si>
    <t>Zlicin Metropole;RevnickÃ¡ ul. 121/1;155 21;Praha 5 - Zlicin</t>
  </si>
  <si>
    <t>CZ0004</t>
  </si>
  <si>
    <t>Obchodni Centrum Tesco Letnany</t>
  </si>
  <si>
    <t>Veselska 663</t>
  </si>
  <si>
    <t>Obchodni Centrum Tesco Letnany;Veselska 663;199 00;Praha 9-LetÅˆany</t>
  </si>
  <si>
    <t>CZ0005</t>
  </si>
  <si>
    <t>Myslbek</t>
  </si>
  <si>
    <t>Na PrÃ­kope 19-21</t>
  </si>
  <si>
    <t>Myslbek;Na PrÃ­kope 19-21;117 19;Praha</t>
  </si>
  <si>
    <t>CZ0006</t>
  </si>
  <si>
    <t>Ceska</t>
  </si>
  <si>
    <t>Brno</t>
  </si>
  <si>
    <t>Ceska 1/3</t>
  </si>
  <si>
    <t>Ceska;Ceska 1/3;60200;Brno</t>
  </si>
  <si>
    <t>CZ0008</t>
  </si>
  <si>
    <t>Olympia Centrum Plzen</t>
  </si>
  <si>
    <t>Plzen</t>
  </si>
  <si>
    <t>Pisecka 972/1</t>
  </si>
  <si>
    <t>Olympia Centrum Plzen;Pisecka 972/1;326 00;Pilzen - Cernice</t>
  </si>
  <si>
    <t>CZ0010</t>
  </si>
  <si>
    <t>Centrum Olympia Olomouc</t>
  </si>
  <si>
    <t>Olomouc</t>
  </si>
  <si>
    <t>Olomoucka 90</t>
  </si>
  <si>
    <t>Centrum Olympia Olomouc;Olomoucka 90;777 77;Olomouc 7</t>
  </si>
  <si>
    <t>CZ0011</t>
  </si>
  <si>
    <t>Palladium Shopping Center</t>
  </si>
  <si>
    <t>Namesti Republik 1</t>
  </si>
  <si>
    <t>Palladium Shopping Center;Namesti Republik 1;110 00;Praha</t>
  </si>
  <si>
    <t>CZ0013</t>
  </si>
  <si>
    <t>AVION Shopping Park</t>
  </si>
  <si>
    <t>Ostrava</t>
  </si>
  <si>
    <t>Rudna 3114/114</t>
  </si>
  <si>
    <t>AVION Shopping Park;Rudna 3114/114;700 30;Ostrava - jih</t>
  </si>
  <si>
    <t>CZ0014</t>
  </si>
  <si>
    <t>VÃ¡clavskÃ© nÃ¡mÄ›stÃ­</t>
  </si>
  <si>
    <t>VÃ¡clavskÃ© nÃ¡mÄ›stÃ­ 19</t>
  </si>
  <si>
    <t>VÃ¡clavskÃ© nÃ¡mÄ›stÃ­;VÃ¡clavskÃ© nÃ¡mÄ›stÃ­ 19;110 00;Praha 1</t>
  </si>
  <si>
    <t>CZ0015</t>
  </si>
  <si>
    <t>OC Arkady</t>
  </si>
  <si>
    <t>Na PankrÃ¡ci 86</t>
  </si>
  <si>
    <t>OC Arkady;Na PankrÃ¡ci 86;14000;Praha 4</t>
  </si>
  <si>
    <t>CZ0016</t>
  </si>
  <si>
    <t>NÃ¡kupnÃ­ 389/3</t>
  </si>
  <si>
    <t>Europark;NÃ¡kupnÃ­ 389/3;10200;Praha 10</t>
  </si>
  <si>
    <t>CZ0017</t>
  </si>
  <si>
    <t>Zlate Jablko</t>
  </si>
  <si>
    <t>ZlÃ­n</t>
  </si>
  <si>
    <t>Namesti Miru 174,DlouhÃ¡</t>
  </si>
  <si>
    <t>Zlate Jablko;Namesti Miru 174,DlouhÃ¡;76001;ZlÃ­n</t>
  </si>
  <si>
    <t>CZ0018</t>
  </si>
  <si>
    <t>Forum Liberec</t>
  </si>
  <si>
    <t>Liberec</t>
  </si>
  <si>
    <t>FÃ¼gnerova,Soukenne nam.</t>
  </si>
  <si>
    <t>Forum Liberec;FÃ¼gnerova,Soukenne nam.;46001;Liberec</t>
  </si>
  <si>
    <t>CZ0019</t>
  </si>
  <si>
    <t>Olympia Centrum Brno</t>
  </si>
  <si>
    <t>U dÃ¡lnice 777</t>
  </si>
  <si>
    <t>Olympia Centrum Brno;U dÃ¡lnice 777;64442;ModÅ™ice</t>
  </si>
  <si>
    <t>CZ0020</t>
  </si>
  <si>
    <t>Forum Usti</t>
  </si>
  <si>
    <t>ÃšstÃ­ nad Labem</t>
  </si>
  <si>
    <t>Bilinska 3490/6</t>
  </si>
  <si>
    <t>Forum Usti;Bilinska 3490/6;40001;ÃšstÃ­ nad Labem</t>
  </si>
  <si>
    <t>CZ0022</t>
  </si>
  <si>
    <t>Palac Pardubice</t>
  </si>
  <si>
    <t>Pardubice</t>
  </si>
  <si>
    <t>AFI Palac</t>
  </si>
  <si>
    <t>Masarykovo 2799</t>
  </si>
  <si>
    <t>AFI Palac;Masarykovo 2799;53002;Pardubice</t>
  </si>
  <si>
    <t>CZ0023</t>
  </si>
  <si>
    <t>Futurum Hradec</t>
  </si>
  <si>
    <t>Hradec KrÃ¡lovÃ©</t>
  </si>
  <si>
    <t>BrnÄ›nskÃ¡ 1825/23a</t>
  </si>
  <si>
    <t>Futurum Hradec;BrnÄ›nskÃ¡ 1825/23a;50009;Hradec KrÃ¡lovÃ©</t>
  </si>
  <si>
    <t>CZ0024</t>
  </si>
  <si>
    <t>Lannova</t>
  </si>
  <si>
    <t>CeskÃ© Budejovice</t>
  </si>
  <si>
    <t>Lannova 14</t>
  </si>
  <si>
    <t>Lannova;Lannova 14;371 57;ÄŒeskÃ© BudÄ›jovice</t>
  </si>
  <si>
    <t>CZ0025</t>
  </si>
  <si>
    <t>Galerie Harfa</t>
  </si>
  <si>
    <t>ÄŒeskomoravskÃ¡ 2420/</t>
  </si>
  <si>
    <t>Galerie Harfa;ÄŒeskomoravskÃ¡ 2420/;19093;Praha 9</t>
  </si>
  <si>
    <t>CZ0026</t>
  </si>
  <si>
    <t>Vankovka</t>
  </si>
  <si>
    <t>Ve vaÅˆkovce 1</t>
  </si>
  <si>
    <t>Vankovka;Ve vaÅˆkovce 1;60200;Brno</t>
  </si>
  <si>
    <t>CZ0027</t>
  </si>
  <si>
    <t>Karolina</t>
  </si>
  <si>
    <t>Jantarova 3344/4</t>
  </si>
  <si>
    <t>Karolina;Jantarova 3344/4;70200;Ostrava</t>
  </si>
  <si>
    <t>CZ0028</t>
  </si>
  <si>
    <t>Breda&amp;Weinstein</t>
  </si>
  <si>
    <t>Opava</t>
  </si>
  <si>
    <t>U Fortny 49/10</t>
  </si>
  <si>
    <t>Breda&amp;Weinstein;U Fortny 49/10;74601</t>
  </si>
  <si>
    <t>CZ0029</t>
  </si>
  <si>
    <t>Plzen Plaza</t>
  </si>
  <si>
    <t>Radcicka 2</t>
  </si>
  <si>
    <t>Plzen Plaza;Radcicka 2;30100</t>
  </si>
  <si>
    <t>CZ0030</t>
  </si>
  <si>
    <t>AVION Shopping Park Brno</t>
  </si>
  <si>
    <t>SkandinÃ¡vskÃ¡ 2</t>
  </si>
  <si>
    <t>AVION Shopping Park Brno;SkandinÃ¡vskÃ¡ 2;619 00;Brno</t>
  </si>
  <si>
    <t>CZ0031</t>
  </si>
  <si>
    <t>Galerie Santovka</t>
  </si>
  <si>
    <t>PolskÃ¡</t>
  </si>
  <si>
    <t>Galerie Santovka;PolskÃ¡;77900;Olomouc</t>
  </si>
  <si>
    <t>CZ0032</t>
  </si>
  <si>
    <t>Galerie Teplice</t>
  </si>
  <si>
    <t>Teplice</t>
  </si>
  <si>
    <t>NÃ¡m. Svobody 3316</t>
  </si>
  <si>
    <t>Galerie Teplice;NÃ¡m. Svobody 3316;41501;Teplice</t>
  </si>
  <si>
    <t>CZ0033</t>
  </si>
  <si>
    <t>OC FrÃ½da</t>
  </si>
  <si>
    <t>Frydek-Mistek</t>
  </si>
  <si>
    <t>Na PÅ™Ã­kopÄ› 3727</t>
  </si>
  <si>
    <t>OC FrÃ½da;Na PÅ™Ã­kopÄ› 3727;73801;Frydek-Mistek</t>
  </si>
  <si>
    <t>CZ0034</t>
  </si>
  <si>
    <t>Futurum Ostrava</t>
  </si>
  <si>
    <t>Novinarska 6a</t>
  </si>
  <si>
    <t>Futurum Ostrava;Novinarska 6a;70200</t>
  </si>
  <si>
    <t>CZ0036</t>
  </si>
  <si>
    <t>Galerie Moritz</t>
  </si>
  <si>
    <t>8. kvÄ›tna 24</t>
  </si>
  <si>
    <t>Galerie Moritz;8. kvÄ›tna 24;77200;Olomouc</t>
  </si>
  <si>
    <t>CZ0037</t>
  </si>
  <si>
    <t>ObchodnÃ­ centrum NovodvorskÃ¡ Plaza</t>
  </si>
  <si>
    <t>NovodvorskÃ¡ 1800/136</t>
  </si>
  <si>
    <t>ObchodnÃ­ centrum NovodvorskÃ¡ Plaza;NovodvorskÃ¡ 1800/136;142 00;Praha 4</t>
  </si>
  <si>
    <t>CZ0038</t>
  </si>
  <si>
    <t>Centrum Pivovar DÄ›ÄÃ­n</t>
  </si>
  <si>
    <t>Decin</t>
  </si>
  <si>
    <t>SofijskÃ¡ 2/3</t>
  </si>
  <si>
    <t>Centrum Pivovar DÄ›ÄÃ­n;SofijskÃ¡ 2/3;40502;DÄ›ÄÃ­n</t>
  </si>
  <si>
    <t>CZ0039</t>
  </si>
  <si>
    <t>Central Kladno</t>
  </si>
  <si>
    <t>Kladno</t>
  </si>
  <si>
    <t>Petra Bezruce 3388</t>
  </si>
  <si>
    <t>Central Kladno;Petra Bezruce 3388;272 01;Kladno</t>
  </si>
  <si>
    <t>CZ0040</t>
  </si>
  <si>
    <t>OC Nisa Liberec</t>
  </si>
  <si>
    <t>ÄŒeskÃ© MlÃ¡deÅ¾e 456</t>
  </si>
  <si>
    <t>OC Nisa Liberec;ÄŒeskÃ© MlÃ¡deÅ¾e 456;46003;Liberec</t>
  </si>
  <si>
    <t>CZ0041</t>
  </si>
  <si>
    <t>ObchodnÃ­ centrum Å estka</t>
  </si>
  <si>
    <t>Fajtlova 1090/1</t>
  </si>
  <si>
    <t>ObchodnÃ­ centrum Å estka;Fajtlova 1090/1;161 00;Praha 6</t>
  </si>
  <si>
    <t>CZ0042</t>
  </si>
  <si>
    <t>Palac Andel Smichov</t>
  </si>
  <si>
    <t>PlzeÅˆskÃ¡ 345</t>
  </si>
  <si>
    <t>Palac Andel Smichov;PlzeÅˆskÃ¡ 345;15000;Praha</t>
  </si>
  <si>
    <t>CZ0043</t>
  </si>
  <si>
    <t>ZlatÃ¡ BrÃ¡na</t>
  </si>
  <si>
    <t>Prostejov</t>
  </si>
  <si>
    <t>Dukelska brana 7</t>
  </si>
  <si>
    <t>ZlatÃ¡ BrÃ¡na;Dukelska brana 7;79601;Prostejov</t>
  </si>
  <si>
    <t>CZ0044</t>
  </si>
  <si>
    <t>Atrium FlÃ³ra</t>
  </si>
  <si>
    <t>VinohradskÃ¡ 151</t>
  </si>
  <si>
    <t>Atrium FlÃ³ra;VinohradskÃ¡ 151;13000;Praha 3</t>
  </si>
  <si>
    <t>CZ0046</t>
  </si>
  <si>
    <t>Galerie Butovice</t>
  </si>
  <si>
    <t>RadlickÃ¡ 117</t>
  </si>
  <si>
    <t>Galerie Butovice;RadlickÃ¡ 117;15800;Praha 5</t>
  </si>
  <si>
    <t>CZ0048</t>
  </si>
  <si>
    <t>Prerov</t>
  </si>
  <si>
    <t>PÅ™erov</t>
  </si>
  <si>
    <t>Cechova 929/26</t>
  </si>
  <si>
    <t>Prerov;Cechova 929/26;75002;Prerov</t>
  </si>
  <si>
    <t>CZ0049</t>
  </si>
  <si>
    <t>Centrum Cerny Most</t>
  </si>
  <si>
    <t>Chlumecka 765/6</t>
  </si>
  <si>
    <t>Centrum Cerny Most;Chlumecka 765/6;19819;Praha 9</t>
  </si>
  <si>
    <t>CZ0050</t>
  </si>
  <si>
    <t>Centrum Chodov</t>
  </si>
  <si>
    <t>Roztylska 2321/19</t>
  </si>
  <si>
    <t>Centrum Chodov;Roztylska 2321/19;14800;Praha4</t>
  </si>
  <si>
    <t>CZ0052</t>
  </si>
  <si>
    <t>IGY ÄŒeskÃ© BudÄ›jovice</t>
  </si>
  <si>
    <t>PraÅ¾skÃ¡ tÅ™Ã­da 1247/24</t>
  </si>
  <si>
    <t>IGY ÄŒeskÃ© BudÄ›jovice;PraÅ¾skÃ¡ tÅ™Ã­da 1247/24;370 04;ÄŒeskÃ© BudÄ›jovice</t>
  </si>
  <si>
    <t>CZ0053</t>
  </si>
  <si>
    <t>Aupark Hradec</t>
  </si>
  <si>
    <t>GoÄÃ¡rova tÅ™Ã­da 1754/48a</t>
  </si>
  <si>
    <t>Aupark Hradec;GoÄÃ¡rova tÅ™Ã­da 1754/48a;50002;Hradec KrÃ¡lovÃ©</t>
  </si>
  <si>
    <t>CZ0054</t>
  </si>
  <si>
    <t>Central Jablonec</t>
  </si>
  <si>
    <t>Jablonec nad Nisou</t>
  </si>
  <si>
    <t>Komenskeho 5320/18</t>
  </si>
  <si>
    <t>Central Jablonec;Komenskeho 5320/18;46601;Jablonec nad Nisou</t>
  </si>
  <si>
    <t>CZ0055</t>
  </si>
  <si>
    <t>OC Tesco RokycanskÃ¡</t>
  </si>
  <si>
    <t>RokycanskÃ¡ 1424/128</t>
  </si>
  <si>
    <t>OC Tesco RokycanskÃ¡;RokycanskÃ¡ 1424/128;312 00;PlzeÅˆ 4</t>
  </si>
  <si>
    <t>CZ0056</t>
  </si>
  <si>
    <t>Tesco Ostrava</t>
  </si>
  <si>
    <t>SjÃ­zdnÃ¡ 5554/2a</t>
  </si>
  <si>
    <t>Tesco Ostrava;SjÃ­zdnÃ¡ 5554/2a;722 00;SjÃ­zdnÃ¡ 5554/2a, 722 00 Ostrava</t>
  </si>
  <si>
    <t>CZ0057</t>
  </si>
  <si>
    <t>Eden</t>
  </si>
  <si>
    <t>U Slavie 1527</t>
  </si>
  <si>
    <t>Eden;U Slavie 1527;100 00;U Slavie 1527, 100 00 Praha, Czech</t>
  </si>
  <si>
    <t>CZ0058</t>
  </si>
  <si>
    <t>OC FontÃ¡na</t>
  </si>
  <si>
    <t>Karlovy Vary</t>
  </si>
  <si>
    <t>ChebskÃ¡ 370/81A</t>
  </si>
  <si>
    <t>OC FontÃ¡na;ChebskÃ¡ 370/81A;360 06;ChebskÃ¡ 370/81A, Karlovy Vary</t>
  </si>
  <si>
    <t>DE0001</t>
  </si>
  <si>
    <t>Allee-Center</t>
  </si>
  <si>
    <t>Essen</t>
  </si>
  <si>
    <t>Germany</t>
  </si>
  <si>
    <t>DE</t>
  </si>
  <si>
    <t>Altenessener StraÃŸe 411</t>
  </si>
  <si>
    <t>Nordrhein-Westfalen</t>
  </si>
  <si>
    <t>Altenessener StraÃŸe 411;;45329;Essen;Nordrhein-Westfalen</t>
  </si>
  <si>
    <t>DE0002</t>
  </si>
  <si>
    <t>Donau-Einkaufszentrum</t>
  </si>
  <si>
    <t>Regensburg</t>
  </si>
  <si>
    <t>Weichser Weg 5</t>
  </si>
  <si>
    <t>Bayern</t>
  </si>
  <si>
    <t>Weichser Weg 5;;93059;Regensburg;Bayern</t>
  </si>
  <si>
    <t>DE0003</t>
  </si>
  <si>
    <t>Rhein-Galerie Ludwigshafen</t>
  </si>
  <si>
    <t>Ludwigshafen</t>
  </si>
  <si>
    <t>Im Zollhof 4</t>
  </si>
  <si>
    <t>Rheinland-Pfalz</t>
  </si>
  <si>
    <t>Im Zollhof 4;;67061;Ludwigshafen;Rheinland-Pfalz</t>
  </si>
  <si>
    <t>DE0004</t>
  </si>
  <si>
    <t>EUROPA-Galerie</t>
  </si>
  <si>
    <t>SaarbrÃ¼cken</t>
  </si>
  <si>
    <t>Trierer StraÃŸe 1</t>
  </si>
  <si>
    <t>Saarland</t>
  </si>
  <si>
    <t>Trierer StraÃŸe 1;;66111;SaarbrÃ¼cken;Saarland</t>
  </si>
  <si>
    <t>DE0005</t>
  </si>
  <si>
    <t>Rheinpark-Center</t>
  </si>
  <si>
    <t>Neuss</t>
  </si>
  <si>
    <t>Breslauer StraÃŸe 2-4</t>
  </si>
  <si>
    <t>Breslauer StraÃŸe 2-4;;41460;Neuss;Nordrhein-Westfalen</t>
  </si>
  <si>
    <t>DE0006</t>
  </si>
  <si>
    <t>Merk Galerie Emmendingen</t>
  </si>
  <si>
    <t>Emmendingen</t>
  </si>
  <si>
    <t>Freiburger StraÃŸe 2-8</t>
  </si>
  <si>
    <t>Baden-WÃ¼rttemberg</t>
  </si>
  <si>
    <t>Freiburger StraÃŸe 2-8;;79312;Emmendingen;Baden-WÃ¼rttemberg</t>
  </si>
  <si>
    <t>DE0007</t>
  </si>
  <si>
    <t>Chinon Center Hofheim</t>
  </si>
  <si>
    <t>Hofheim</t>
  </si>
  <si>
    <t>Chinonplatz 6</t>
  </si>
  <si>
    <t>Hessen</t>
  </si>
  <si>
    <t>Chinonplatz 6;;65719;Hofheim;Hessen</t>
  </si>
  <si>
    <t>DE0009</t>
  </si>
  <si>
    <t>Eisenach</t>
  </si>
  <si>
    <t>KarlstraÃŸe 17</t>
  </si>
  <si>
    <t>ThÃ¼ringen</t>
  </si>
  <si>
    <t>KarlstraÃŸe 17;;99817;Eisenach;ThÃ¼ringen</t>
  </si>
  <si>
    <t>DE0011</t>
  </si>
  <si>
    <t>MittelstraÃŸe 24-28</t>
  </si>
  <si>
    <t>Lemgo</t>
  </si>
  <si>
    <t>MittelstraÃŸe 24-28;;32657;Lemgo;Nordrhein-Westfalen</t>
  </si>
  <si>
    <t>DE0012</t>
  </si>
  <si>
    <t>KÃ¶nigstraÃŸe 2</t>
  </si>
  <si>
    <t>Tuttlingen</t>
  </si>
  <si>
    <t>KÃ¶nigstraÃŸe 2;;78532;Tuttlingen</t>
  </si>
  <si>
    <t>DE0013</t>
  </si>
  <si>
    <t>Pasing Arcaden</t>
  </si>
  <si>
    <t>Munich</t>
  </si>
  <si>
    <t>Pasinger Bahnhofsplatz 5</t>
  </si>
  <si>
    <t>Pasinger Bahnhofsplatz 5;;81241;MÃ¼nchen</t>
  </si>
  <si>
    <t>DE0014</t>
  </si>
  <si>
    <t>Postgalerie Speyer</t>
  </si>
  <si>
    <t>Speyer</t>
  </si>
  <si>
    <t>Postplatz 1</t>
  </si>
  <si>
    <t>Postplatz 1;;67346;Speyer;Rheinland-Pfalz</t>
  </si>
  <si>
    <t>DE0015</t>
  </si>
  <si>
    <t>HirschstraÃŸe 1</t>
  </si>
  <si>
    <t>Ulm</t>
  </si>
  <si>
    <t>HirschstraÃŸe 1;;89073;Ulm</t>
  </si>
  <si>
    <t>DE0016</t>
  </si>
  <si>
    <t>Galerie NeustÃ¤dter Tor GieÃŸen</t>
  </si>
  <si>
    <t>GieÃŸen</t>
  </si>
  <si>
    <t>Neustadt 28</t>
  </si>
  <si>
    <t>Neustadt 28;;35390;GieÃŸen;Hessen</t>
  </si>
  <si>
    <t>DE0017</t>
  </si>
  <si>
    <t>OststraÃŸe 56</t>
  </si>
  <si>
    <t>Ahlen</t>
  </si>
  <si>
    <t>OststraÃŸe 56;;59227;Ahlen;Nordrhein-Westfalen</t>
  </si>
  <si>
    <t>DE0018</t>
  </si>
  <si>
    <t>HochstraÃŸe 121-123</t>
  </si>
  <si>
    <t>Heinsberg</t>
  </si>
  <si>
    <t>HochstraÃŸe 121-123;;52525;Heinsberg;Nordrhein-Westfalen</t>
  </si>
  <si>
    <t>DE0020</t>
  </si>
  <si>
    <t>Glacis-Galerie Neu-Ulm</t>
  </si>
  <si>
    <t>Neu Ulm</t>
  </si>
  <si>
    <t>Bahnhofstr. 1</t>
  </si>
  <si>
    <t>Bahnhofstr. 1;;89231;Neu-Ulm;Bayern</t>
  </si>
  <si>
    <t>DE0023</t>
  </si>
  <si>
    <t>Solinger StraÃŸe 5</t>
  </si>
  <si>
    <t>Langenfeld</t>
  </si>
  <si>
    <t>Solinger StraÃŸe 5;;40764;Langenfeld;Nordrhein-Westfalen</t>
  </si>
  <si>
    <t>DE0024</t>
  </si>
  <si>
    <t>Arsenal Wittenberg</t>
  </si>
  <si>
    <t>Lutherstadt Wittenberg</t>
  </si>
  <si>
    <t>Arsenalplatz 1</t>
  </si>
  <si>
    <t>Sachsen-Anhalt</t>
  </si>
  <si>
    <t>Arsenalplatz 1;;06886;Lutherstadt-Wittenberg;Sachsen-Anhalt</t>
  </si>
  <si>
    <t>DE0026</t>
  </si>
  <si>
    <t>Thier-Galerie</t>
  </si>
  <si>
    <t>Dortmund</t>
  </si>
  <si>
    <t>Westenhellweg 102-106</t>
  </si>
  <si>
    <t>Westenhellweg 102-106;;44137;Dortmund;Nordrhein-Westfalen</t>
  </si>
  <si>
    <t>DE0027</t>
  </si>
  <si>
    <t>Main-Taunus-Zentrum 1</t>
  </si>
  <si>
    <t>Sulzbach</t>
  </si>
  <si>
    <t>Main-Taunus-Zentrum 1;;65843;Sulzbach;Hessen</t>
  </si>
  <si>
    <t>DE0028</t>
  </si>
  <si>
    <t>Stadtplatz 52</t>
  </si>
  <si>
    <t>MÃ¼hldorf am Inn</t>
  </si>
  <si>
    <t>Stadtplatz 52;;84453;MÃ¼hldorf am Inn;Bayern</t>
  </si>
  <si>
    <t>DE0029</t>
  </si>
  <si>
    <t>City Center</t>
  </si>
  <si>
    <t>Langenhagen</t>
  </si>
  <si>
    <t>Marktplatz 5-7</t>
  </si>
  <si>
    <t>Marktplatz 5-7;;30853;Langenhagen</t>
  </si>
  <si>
    <t>DE0030</t>
  </si>
  <si>
    <t>Kronenplatz 4-5</t>
  </si>
  <si>
    <t>Bietigheim Bissingen</t>
  </si>
  <si>
    <t>Kronenplatz 4-5;;74321;Bietigheim Bissingen;Baden-WÃ¼rttemberg</t>
  </si>
  <si>
    <t>DE0031</t>
  </si>
  <si>
    <t>LouisenstraÃŸe 14-16</t>
  </si>
  <si>
    <t>Bad Homburg</t>
  </si>
  <si>
    <t>LouisenstraÃŸe 14-16;;61348;Bad Homburg</t>
  </si>
  <si>
    <t>DE0032</t>
  </si>
  <si>
    <t>Forum Mittelrhein</t>
  </si>
  <si>
    <t>Koblenz</t>
  </si>
  <si>
    <t>Zentralplatz 2</t>
  </si>
  <si>
    <t>Zentralplatz 2;;56068;Koblenz;Rheinland-Pfalz</t>
  </si>
  <si>
    <t>DE0033</t>
  </si>
  <si>
    <t>KanzleistraÃŸe 2-4</t>
  </si>
  <si>
    <t>Konstanz</t>
  </si>
  <si>
    <t>KanzleistraÃŸe 2-4;;78462;Konstanz;Baden-WÃ¼rttemberg</t>
  </si>
  <si>
    <t>DE0034</t>
  </si>
  <si>
    <t>Paunsdorf Center</t>
  </si>
  <si>
    <t>Leipzig</t>
  </si>
  <si>
    <t>Paunsdorfer Allee 1</t>
  </si>
  <si>
    <t>Sachsen</t>
  </si>
  <si>
    <t>Paunsdorfer Allee 1;;04329;Leipzig;Sachsen</t>
  </si>
  <si>
    <t>DE0035</t>
  </si>
  <si>
    <t>BahnhofstraÃŸe 11</t>
  </si>
  <si>
    <t>Fulda</t>
  </si>
  <si>
    <t>BahnhofstraÃŸe 11;;36037;Fulda;Hessen</t>
  </si>
  <si>
    <t>DE0036</t>
  </si>
  <si>
    <t>dodenhof</t>
  </si>
  <si>
    <t>Posthausen</t>
  </si>
  <si>
    <t>Mitteldorf 1</t>
  </si>
  <si>
    <t>Niedersachsen</t>
  </si>
  <si>
    <t>Mitteldorf 1;Mitteldorf 1;28869;Posthausen;Niedersachsen</t>
  </si>
  <si>
    <t>DE0037</t>
  </si>
  <si>
    <t>KaiserstraÃŸe 71</t>
  </si>
  <si>
    <t>St. Ingbert</t>
  </si>
  <si>
    <t>KaiserstraÃŸe 71;;66386;St. Ingbert;Saarland</t>
  </si>
  <si>
    <t>DE0038</t>
  </si>
  <si>
    <t>Mall of Berlin</t>
  </si>
  <si>
    <t>Berlin</t>
  </si>
  <si>
    <t>Leipziger Platz 12</t>
  </si>
  <si>
    <t>Berlin Ost</t>
  </si>
  <si>
    <t>Leipziger Platz 12;;10177;Berlin;Berlin Ost</t>
  </si>
  <si>
    <t>DE0039</t>
  </si>
  <si>
    <t>Lindaupark</t>
  </si>
  <si>
    <t>Lindau</t>
  </si>
  <si>
    <t>Kemptener StraÃŸe 1</t>
  </si>
  <si>
    <t>Kemptener StraÃŸe 1;;88131;Lindau;Bayern</t>
  </si>
  <si>
    <t>DE0040</t>
  </si>
  <si>
    <t>Forum Zehlendorf</t>
  </si>
  <si>
    <t>Teltower Damm 35</t>
  </si>
  <si>
    <t>Berlin West</t>
  </si>
  <si>
    <t>Teltower Damm 35;;14169;Berlin;Berlin West</t>
  </si>
  <si>
    <t>DE0041</t>
  </si>
  <si>
    <t>Waterfront Men Store</t>
  </si>
  <si>
    <t>Bremen</t>
  </si>
  <si>
    <t>AG-Weser-StraÃŸe 3</t>
  </si>
  <si>
    <t>AG-Weser-StraÃŸe 3;;28237;Bremen;Bremen</t>
  </si>
  <si>
    <t>DE0042</t>
  </si>
  <si>
    <t>Franken-Center</t>
  </si>
  <si>
    <t>Nuernberg</t>
  </si>
  <si>
    <t>Glogauer StraÃŸe 30-38</t>
  </si>
  <si>
    <t>Glogauer StraÃŸe 30-38;;90473;NÃ¼rnberg;Bayern</t>
  </si>
  <si>
    <t>DE0043</t>
  </si>
  <si>
    <t>Galerie KÃ¶nigshof</t>
  </si>
  <si>
    <t>Mettmann</t>
  </si>
  <si>
    <t>TalstraÃŸe 10</t>
  </si>
  <si>
    <t>TalstraÃŸe 10;;40822;Mettmann;Nordrhein-Westfalen</t>
  </si>
  <si>
    <t>DE0044</t>
  </si>
  <si>
    <t>Herkules Center Wetzlar</t>
  </si>
  <si>
    <t>Wetzlar</t>
  </si>
  <si>
    <t>BahnhofstraÃŸe 19</t>
  </si>
  <si>
    <t>BahnhofstraÃŸe 19;;35576;Wetzlar;Hessen</t>
  </si>
  <si>
    <t>DE0046</t>
  </si>
  <si>
    <t>Skyline Plaza Frankfurt</t>
  </si>
  <si>
    <t>Frankfurt</t>
  </si>
  <si>
    <t>Europa-Allee 6</t>
  </si>
  <si>
    <t>Europa-Allee 6;;60327;Frankfurt;Hessen</t>
  </si>
  <si>
    <t>DE0048</t>
  </si>
  <si>
    <t>Neue Mitte Bad Vilbel</t>
  </si>
  <si>
    <t>Bad Vilbel</t>
  </si>
  <si>
    <t>Niddaplatz 1</t>
  </si>
  <si>
    <t>Niddaplatz 1;;61118;Bad Vilbel;Hessen</t>
  </si>
  <si>
    <t>DE0049</t>
  </si>
  <si>
    <t>GrabenstraÃŸe 15</t>
  </si>
  <si>
    <t>Backnang</t>
  </si>
  <si>
    <t>GrabenstraÃŸe 15;;71522;Backnang;Baden-WÃ¼rttemberg</t>
  </si>
  <si>
    <t>DE0050</t>
  </si>
  <si>
    <t>Leine Center</t>
  </si>
  <si>
    <t>Laatzen</t>
  </si>
  <si>
    <t>Albert-Schweitzer-StraÃŸe 10</t>
  </si>
  <si>
    <t>Albert-Schweitzer-StraÃŸe 10;;30880;Laatzen;Niedersachsen</t>
  </si>
  <si>
    <t>DE0051</t>
  </si>
  <si>
    <t>RATIO_Land</t>
  </si>
  <si>
    <t>Kassel</t>
  </si>
  <si>
    <t>FuldastraÃŸe 1-5</t>
  </si>
  <si>
    <t>FuldastraÃŸe 1-5;;34225;Baunatal;Hessen</t>
  </si>
  <si>
    <t>DE0053</t>
  </si>
  <si>
    <t>Altmarkt-Galerie Dresden</t>
  </si>
  <si>
    <t>Dresden</t>
  </si>
  <si>
    <t>Webergasse 1</t>
  </si>
  <si>
    <t>Webergasse 1;;01067;Dresden;Sachsen</t>
  </si>
  <si>
    <t>DE0054</t>
  </si>
  <si>
    <t>HansastraÃŸe 24-30</t>
  </si>
  <si>
    <t>HansastraÃŸe 24-30;;45276;Essen;Nordrhein-Westfalen</t>
  </si>
  <si>
    <t>DE0055</t>
  </si>
  <si>
    <t>City-Galerie</t>
  </si>
  <si>
    <t>Augsburg</t>
  </si>
  <si>
    <t>Willy-Brandt-Platz 1</t>
  </si>
  <si>
    <t>Willy-Brandt-Platz 1;;86153;Augsburg</t>
  </si>
  <si>
    <t>DE0056</t>
  </si>
  <si>
    <t>Forum Hanau</t>
  </si>
  <si>
    <t>Hanau</t>
  </si>
  <si>
    <t>Im Forum 5a</t>
  </si>
  <si>
    <t>Im Forum 5a;;63450;Hanau;Hessen</t>
  </si>
  <si>
    <t>DE0057</t>
  </si>
  <si>
    <t>EKT Einkaufstreffpunkt Farmsen</t>
  </si>
  <si>
    <t>Hamburg</t>
  </si>
  <si>
    <t>Berner Heerweg 173</t>
  </si>
  <si>
    <t>Berner Heerweg 173;;22159;Hamburg;Hamburg</t>
  </si>
  <si>
    <t>DE0058</t>
  </si>
  <si>
    <t>Ruhr Park</t>
  </si>
  <si>
    <t>Bochum</t>
  </si>
  <si>
    <t>Am Einkaufszentrum</t>
  </si>
  <si>
    <t>Am Einkaufszentrum;;44791;Bochum;Nordrhein-Westfalen</t>
  </si>
  <si>
    <t>DE0059</t>
  </si>
  <si>
    <t>Palais Vest</t>
  </si>
  <si>
    <t>Recklinghausen</t>
  </si>
  <si>
    <t>LÃ¶hrhof 1</t>
  </si>
  <si>
    <t>LÃ¶hrhof 1;;45657;Recklinghausen;Nordrhein-Westfalen</t>
  </si>
  <si>
    <t>DE0061</t>
  </si>
  <si>
    <t>August-Ruf-StraÃŸe 5</t>
  </si>
  <si>
    <t>Singen</t>
  </si>
  <si>
    <t>August-Ruf-StraÃŸe 5;;78224;Singen</t>
  </si>
  <si>
    <t>DE0062</t>
  </si>
  <si>
    <t>HÃ¶fe am BrÃ¼hl</t>
  </si>
  <si>
    <t>BrÃ¼hl 1</t>
  </si>
  <si>
    <t>BrÃ¼hl 1;;04109;Leipzig;Sachsen</t>
  </si>
  <si>
    <t>DE0063</t>
  </si>
  <si>
    <t>Breite StraÃŸe 4-10</t>
  </si>
  <si>
    <t>Buxtehude</t>
  </si>
  <si>
    <t>Breite StraÃŸe 4-10;;21624;Buxtehude;Niedersachsen</t>
  </si>
  <si>
    <t>DE0064</t>
  </si>
  <si>
    <t>Rhein-Neckar-Zentrum</t>
  </si>
  <si>
    <t>Viernheim</t>
  </si>
  <si>
    <t>Robert-Schumann-StraÃŸe 8a</t>
  </si>
  <si>
    <t>Robert-Schumann-StraÃŸe 8a;;68519;Viernheim;Hessen</t>
  </si>
  <si>
    <t>DE0065</t>
  </si>
  <si>
    <t>SchlossGalerie</t>
  </si>
  <si>
    <t>Rastatt</t>
  </si>
  <si>
    <t>BahnhofstraÃŸe 4-6</t>
  </si>
  <si>
    <t>BahnhofstraÃŸe 4-6;;76437;Rastatt;Baden-WÃ¼rttemberg</t>
  </si>
  <si>
    <t>DE0067</t>
  </si>
  <si>
    <t>Weinstr. 8</t>
  </si>
  <si>
    <t>Weinstr. 8;;80333;MÃ¼nchen</t>
  </si>
  <si>
    <t>DE0069</t>
  </si>
  <si>
    <t>ERTL Shopping Center</t>
  </si>
  <si>
    <t>Hallstadt bei Bamberg</t>
  </si>
  <si>
    <t>Emil-Kemmer-StraÃŸe 19</t>
  </si>
  <si>
    <t>Emil-Kemmer-StraÃŸe 19;;96103;Bamberg;Bayern</t>
  </si>
  <si>
    <t>DE0070</t>
  </si>
  <si>
    <t>Arneken Galerie</t>
  </si>
  <si>
    <t>Hildesheim</t>
  </si>
  <si>
    <t>ArnekenstraÃŸe 18</t>
  </si>
  <si>
    <t>ArnekenstraÃŸe 18;;31143;Hildesheim;Niedersachsen</t>
  </si>
  <si>
    <t>DE0071</t>
  </si>
  <si>
    <t>In den Blumentriften 40</t>
  </si>
  <si>
    <t>Salzgitter</t>
  </si>
  <si>
    <t>In den Blumentriften 40;;38226;Salzgitter</t>
  </si>
  <si>
    <t>DE0072</t>
  </si>
  <si>
    <t>Boulevard Berlin</t>
  </si>
  <si>
    <t>SchloÃŸstraÃŸe 15</t>
  </si>
  <si>
    <t>SchloÃŸstraÃŸe 15;;12163;Berlin;Berlin West</t>
  </si>
  <si>
    <t>DE0073</t>
  </si>
  <si>
    <t>City-Point Men Store</t>
  </si>
  <si>
    <t>KÃ¶nigsplatz 61</t>
  </si>
  <si>
    <t>KÃ¶nigsplatz 61;;34117;Kassel;Hessen</t>
  </si>
  <si>
    <t>DE0074</t>
  </si>
  <si>
    <t>Vechte Arkaden</t>
  </si>
  <si>
    <t>Nordhorn</t>
  </si>
  <si>
    <t>HagenstraÃŸe 10</t>
  </si>
  <si>
    <t>HagenstraÃŸe 10;;48529;Nordhorn;Niedersachsen</t>
  </si>
  <si>
    <t>DE0076</t>
  </si>
  <si>
    <t>Alter Markt 6 Elmshorn</t>
  </si>
  <si>
    <t>Elmshorn</t>
  </si>
  <si>
    <t>Alter Markt 6</t>
  </si>
  <si>
    <t>Schleswig-Holstein</t>
  </si>
  <si>
    <t>Alter Markt 6;;25335;Elmshorn;Schleswig-Holstein</t>
  </si>
  <si>
    <t>DE0077</t>
  </si>
  <si>
    <t>Das Gerber Stuttgart</t>
  </si>
  <si>
    <t>Stuttgart</t>
  </si>
  <si>
    <t>SophienstraÃŸe 21</t>
  </si>
  <si>
    <t>SophienstraÃŸe 21;;70178;Stuttgart;Baden-WÃ¼rttemberg</t>
  </si>
  <si>
    <t>DE0078</t>
  </si>
  <si>
    <t>dez Einkaufszentrum</t>
  </si>
  <si>
    <t>Frankfurter StraÃŸe 225</t>
  </si>
  <si>
    <t>Frankfurter StraÃŸe 225;;34134;Kassel;Hessen</t>
  </si>
  <si>
    <t>DE0079</t>
  </si>
  <si>
    <t>HauptstraÃŸe 63-67</t>
  </si>
  <si>
    <t>Ehingen</t>
  </si>
  <si>
    <t>HauptstraÃŸe 63-67;;89584;Ehingen;Baden-WÃ¼rttemberg</t>
  </si>
  <si>
    <t>DE0080</t>
  </si>
  <si>
    <t>HauptstraÃŸe 145</t>
  </si>
  <si>
    <t>Bergisch Gladbach</t>
  </si>
  <si>
    <t>HauptstraÃŸe 145;;51465;Bergisch Gladbach;Nordrhein-Westfalen</t>
  </si>
  <si>
    <t>DE0081</t>
  </si>
  <si>
    <t>ElbePark Hermsdorf</t>
  </si>
  <si>
    <t>Hermsdorf</t>
  </si>
  <si>
    <t>Am Elbepark 1</t>
  </si>
  <si>
    <t>Am Elbepark 1;;39326;Hermsdorf;Sachsen-Anhalt</t>
  </si>
  <si>
    <t>DE0083</t>
  </si>
  <si>
    <t>Lindenplatz Pinneberg</t>
  </si>
  <si>
    <t>Pinneberg</t>
  </si>
  <si>
    <t>DingstÃ¤tte 5</t>
  </si>
  <si>
    <t>DingstÃ¤tte 5;;25421;Pinneberg;Schleswig-Holstein</t>
  </si>
  <si>
    <t>DE0084</t>
  </si>
  <si>
    <t>Hochrhein-Center</t>
  </si>
  <si>
    <t>Rheinfelden</t>
  </si>
  <si>
    <t>KapuzinerstraÃŸe 2</t>
  </si>
  <si>
    <t>KapuzinerstraÃŸe 2;;79618;Rheinfelden;Baden-WÃ¼rttemberg</t>
  </si>
  <si>
    <t>DE0086</t>
  </si>
  <si>
    <t>Hofgarten</t>
  </si>
  <si>
    <t>Solingen</t>
  </si>
  <si>
    <t>KÃ¶lner StraÃŸe 99</t>
  </si>
  <si>
    <t>KÃ¶lner StraÃŸe 99;;42651;Solingen;Nordrhein-Westfalen</t>
  </si>
  <si>
    <t>DE0087</t>
  </si>
  <si>
    <t>Echte NordhÃ¤user Marktpassage</t>
  </si>
  <si>
    <t>Nordhausen</t>
  </si>
  <si>
    <t>Am Pferdemarkt 1</t>
  </si>
  <si>
    <t>Am Pferdemarkt 1;;99734;Nordhausen;ThÃ¼ringen</t>
  </si>
  <si>
    <t>DE0089</t>
  </si>
  <si>
    <t>Kaiser-Joseph-StraÃŸe 192</t>
  </si>
  <si>
    <t>Freiburg</t>
  </si>
  <si>
    <t>Kaiser-Joseph-StraÃŸe 192;;79098;Freiburg;Baden-WÃ¼rttemberg</t>
  </si>
  <si>
    <t>DE0091</t>
  </si>
  <si>
    <t>Zoellnerstrasse 31</t>
  </si>
  <si>
    <t>Celle</t>
  </si>
  <si>
    <t>Zoellnerstrasse 31;;29221;Celle;Niedersachsen</t>
  </si>
  <si>
    <t>DE0092</t>
  </si>
  <si>
    <t>MILANEO Stuttgart</t>
  </si>
  <si>
    <t>MailÃ¤nder Platz 7</t>
  </si>
  <si>
    <t>MailÃ¤nder Platz 7;;70191;Stuttgart;Baden-WÃ¼rttemberg</t>
  </si>
  <si>
    <t>DE0093</t>
  </si>
  <si>
    <t>Reichsstrasse 27-29</t>
  </si>
  <si>
    <t>DonauwÃ¶rth</t>
  </si>
  <si>
    <t>Reichsstrasse 27-29;;86609;DonauwÃ¶rth;Bayern</t>
  </si>
  <si>
    <t>DE0094</t>
  </si>
  <si>
    <t>An der BachmÃ¼hle 5-7</t>
  </si>
  <si>
    <t>Mosbach</t>
  </si>
  <si>
    <t>An der BachmÃ¼hle 5-7;;74821;Mosbach;Baden-WÃ¼rttemberg</t>
  </si>
  <si>
    <t>DE0095</t>
  </si>
  <si>
    <t>Marktplatz 1</t>
  </si>
  <si>
    <t>Neubrandenburg</t>
  </si>
  <si>
    <t>Mecklenburg-Vorpommern</t>
  </si>
  <si>
    <t>Marktplatz 1;;17034;Neubrandenburg;Mecklenburg-Vorpommern</t>
  </si>
  <si>
    <t>DE0096</t>
  </si>
  <si>
    <t>Marktplatz 29</t>
  </si>
  <si>
    <t>Schwandorf</t>
  </si>
  <si>
    <t>Marktplatz 29;;92421;Schwandorf;Bayern</t>
  </si>
  <si>
    <t>DE0097</t>
  </si>
  <si>
    <t>Nordersteinstrasse 36</t>
  </si>
  <si>
    <t>Cuxhaven</t>
  </si>
  <si>
    <t>Nordersteinstrasse 36;;27472;Cuxhaven;Niedersachsen</t>
  </si>
  <si>
    <t>DE0098</t>
  </si>
  <si>
    <t>Neutor Galerie</t>
  </si>
  <si>
    <t>Dinslaken</t>
  </si>
  <si>
    <t>SaarstraÃŸe 15</t>
  </si>
  <si>
    <t>SaarstraÃŸe 15;;46535;Dinslaken;Nordrhein-Westfalen</t>
  </si>
  <si>
    <t>DE0140</t>
  </si>
  <si>
    <t>Winziger Platz 8-10</t>
  </si>
  <si>
    <t>Meschede</t>
  </si>
  <si>
    <t>Winziger Platz 8-10;;59872;Meschede;Nordrhein-Westfalen</t>
  </si>
  <si>
    <t>DE0144</t>
  </si>
  <si>
    <t>MarktstraÃŸe 26/27</t>
  </si>
  <si>
    <t>Neustadt am RÃ¼benberge</t>
  </si>
  <si>
    <t>09:30-16:00</t>
  </si>
  <si>
    <t>MarktstraÃŸe 26/27;;31535;Neustadt am RÃ¼benberge;Niedersachsen</t>
  </si>
  <si>
    <t>DE0146</t>
  </si>
  <si>
    <t>Schultheiss Quartier</t>
  </si>
  <si>
    <t>TurmstraÃŸe 25-26</t>
  </si>
  <si>
    <t>TurmstraÃŸe 25-26;;10559;Berlin;Berlin West</t>
  </si>
  <si>
    <t>DE0149</t>
  </si>
  <si>
    <t>East Side Mall</t>
  </si>
  <si>
    <t>Tamara-Danz-Strasse 11</t>
  </si>
  <si>
    <t>Tamara-Danz-Strasse 11;;10243;Berlin;Berlin Ost</t>
  </si>
  <si>
    <t>DE0157</t>
  </si>
  <si>
    <t>Altstadt 26-30</t>
  </si>
  <si>
    <t>Hof</t>
  </si>
  <si>
    <t>Altstadt 26-30;;95028;Hof;Bayern</t>
  </si>
  <si>
    <t>DE0158</t>
  </si>
  <si>
    <t>EDU-Einkaufspark Duckwitz</t>
  </si>
  <si>
    <t>Duckwitzstrasse 55</t>
  </si>
  <si>
    <t>Duckwitzstrasse 55;;28199;Bremen;Bremen</t>
  </si>
  <si>
    <t>DE0159</t>
  </si>
  <si>
    <t>Mitte Garten</t>
  </si>
  <si>
    <t>Neue Schoenhauser Strasse 13</t>
  </si>
  <si>
    <t>Neue Schoenhauser Strasse 13;;10178;Berlin;Berlin Ost</t>
  </si>
  <si>
    <t>DE0165</t>
  </si>
  <si>
    <t>Schwabacher Strasse 5</t>
  </si>
  <si>
    <t>FÃ¼rth</t>
  </si>
  <si>
    <t>Schwabacher Strasse 5;;90762;FÃ¼rth;Bayern</t>
  </si>
  <si>
    <t>DE0177</t>
  </si>
  <si>
    <t>Kaufingerstr. 8</t>
  </si>
  <si>
    <t>Kaufingerstr. 8;;80331;MÃ¼nchen;Bayern</t>
  </si>
  <si>
    <t>DE0179</t>
  </si>
  <si>
    <t>MÃ¶nckebergstraÃŸe 11</t>
  </si>
  <si>
    <t>MÃ¶nckebergstraÃŸe 11;;20095;Hamburg;Hamburg</t>
  </si>
  <si>
    <t>DE0200</t>
  </si>
  <si>
    <t>Werner-Senger-Strasse 3</t>
  </si>
  <si>
    <t>Limburg</t>
  </si>
  <si>
    <t>Werner-Senger-Strasse 3;;65549;Limburg;Hessen</t>
  </si>
  <si>
    <t>DE0201</t>
  </si>
  <si>
    <t>Zeil 58-64</t>
  </si>
  <si>
    <t>Zeil 58-64;;60313;Frankfurt;Hessen</t>
  </si>
  <si>
    <t>DE0202</t>
  </si>
  <si>
    <t>Adalbertstrasse 39</t>
  </si>
  <si>
    <t>Aachen</t>
  </si>
  <si>
    <t>Adalbertstrasse 39;;52062;Aachen;Nordrhein-Westfalen</t>
  </si>
  <si>
    <t>DE0205</t>
  </si>
  <si>
    <t>Schlossgalerie</t>
  </si>
  <si>
    <t>Pirmasens</t>
  </si>
  <si>
    <t>HauptstraÃŸe 13-15</t>
  </si>
  <si>
    <t>HauptstraÃŸe 13-15;;66953;Pirmasens;Rheinland-Pfalz</t>
  </si>
  <si>
    <t>DE0206</t>
  </si>
  <si>
    <t>City-Arkaden</t>
  </si>
  <si>
    <t>Wuppertal/Elberfeld</t>
  </si>
  <si>
    <t>Alte Freiheit 9</t>
  </si>
  <si>
    <t>Alte Freiheit 9;;42103;Wuppertal;Nordrhein-Westfalen</t>
  </si>
  <si>
    <t>DE0207</t>
  </si>
  <si>
    <t>Christian-Weber Platz</t>
  </si>
  <si>
    <t>Homburg / Saar</t>
  </si>
  <si>
    <t>Talstrasse 32a</t>
  </si>
  <si>
    <t>Talstrasse 32a;;66424;Homburg/Saar;Saarland</t>
  </si>
  <si>
    <t>DE0208</t>
  </si>
  <si>
    <t>Spremberger Strasse 10-15</t>
  </si>
  <si>
    <t>Cottbus</t>
  </si>
  <si>
    <t>Brandenburg</t>
  </si>
  <si>
    <t>Spremberger Strasse 10-15;;03046;Cottbus;Brandenburg</t>
  </si>
  <si>
    <t>DE0210</t>
  </si>
  <si>
    <t>Schmiedgasse 26-30</t>
  </si>
  <si>
    <t>Kaufbeuren</t>
  </si>
  <si>
    <t>Schmiedgasse 26-30;;87600;Kaufbeuren;Bayern</t>
  </si>
  <si>
    <t>DE0212</t>
  </si>
  <si>
    <t>Breuningerland Ludwigsburg</t>
  </si>
  <si>
    <t>Ludwigsburg</t>
  </si>
  <si>
    <t>Heinkelstrasse 1</t>
  </si>
  <si>
    <t>Heinkelstrasse 1;;71634;Ludwigsburg;Baden-WÃ¼rttemberg</t>
  </si>
  <si>
    <t>DE0213</t>
  </si>
  <si>
    <t>Kramerstrasse 37 Memmingen</t>
  </si>
  <si>
    <t>Memmingen</t>
  </si>
  <si>
    <t>Kramerstrasse 37</t>
  </si>
  <si>
    <t>Kramerstrasse 37;;87700;Memmingen;Bayern</t>
  </si>
  <si>
    <t>DE0214</t>
  </si>
  <si>
    <t>Mannheimer Strasse 134</t>
  </si>
  <si>
    <t>Bad Kreuznach</t>
  </si>
  <si>
    <t>Mannheimer Strasse 134;;55543;Bad Kreuznach;Rheinland-Pfalz</t>
  </si>
  <si>
    <t>DE0215</t>
  </si>
  <si>
    <t>Tibarg Center Hamburg</t>
  </si>
  <si>
    <t>Tibarg 41</t>
  </si>
  <si>
    <t>Tibarg 41;;22459;Hamburg;Hamburg</t>
  </si>
  <si>
    <t>DE0217</t>
  </si>
  <si>
    <t>Rietstrasse 15</t>
  </si>
  <si>
    <t>Villingen-Schwenningen</t>
  </si>
  <si>
    <t>Rietstrasse 15;;78050;Villingen;Baden-WÃ¼rttemberg</t>
  </si>
  <si>
    <t>DE0218</t>
  </si>
  <si>
    <t>Isenburg-Zentrum</t>
  </si>
  <si>
    <t>Neu-Isenburg</t>
  </si>
  <si>
    <t>HermestraÃŸe 4</t>
  </si>
  <si>
    <t>HermestraÃŸe 4;;63263;Neu Isenburg;Hessen</t>
  </si>
  <si>
    <t>DE0219</t>
  </si>
  <si>
    <t>City Center Weiden</t>
  </si>
  <si>
    <t>Weiden</t>
  </si>
  <si>
    <t>Schillerstrasse 11-13</t>
  </si>
  <si>
    <t>Schillerstrasse 11-13;;92637;Weiden;Bayern</t>
  </si>
  <si>
    <t>DE0220</t>
  </si>
  <si>
    <t>BrÃ¼derstrasse 1B</t>
  </si>
  <si>
    <t>Soest</t>
  </si>
  <si>
    <t>BrÃ¼derstrasse 1B;;59494;Soest;Nordrhein-Westfalen</t>
  </si>
  <si>
    <t>DE0221</t>
  </si>
  <si>
    <t>Regensburg Arcaden</t>
  </si>
  <si>
    <t>Friedenstrasse 23</t>
  </si>
  <si>
    <t>Friedenstrasse 23;;93047;Regensburg;Bayern</t>
  </si>
  <si>
    <t>DE0223</t>
  </si>
  <si>
    <t>Breite Str. 47-51 LÃ¼beck</t>
  </si>
  <si>
    <t>LÃ¼beck</t>
  </si>
  <si>
    <t>Breite Strasse 47-51</t>
  </si>
  <si>
    <t>Breite Strasse 47-51;;23552;LÃ¼beck;Schleswig-Holstein</t>
  </si>
  <si>
    <t>DE0224</t>
  </si>
  <si>
    <t>Volme Galerie</t>
  </si>
  <si>
    <t>Hagen</t>
  </si>
  <si>
    <t>Friedrich-Ebert-Platz 3</t>
  </si>
  <si>
    <t>Friedrich-Ebert-Platz 3;;58095;Hagen;Nordrhein-Westfalen</t>
  </si>
  <si>
    <t>DE0226</t>
  </si>
  <si>
    <t>Marktstrasse 14-16</t>
  </si>
  <si>
    <t>HÃ¶xter</t>
  </si>
  <si>
    <t>Marktstrasse 14-16;;37671;HÃ¶xter;Nordrhein-Westfalen</t>
  </si>
  <si>
    <t>DE0227</t>
  </si>
  <si>
    <t>HauptstraÃŸe 1-5</t>
  </si>
  <si>
    <t>HauptstraÃŸe 1-5;;14776;Brandenburg;Brandenburg</t>
  </si>
  <si>
    <t>DE0228</t>
  </si>
  <si>
    <t>Marktplatz 20 SchwÃ¤bisch GmÃ¼nd</t>
  </si>
  <si>
    <t>SchwÃ¤bisch GmÃ¼nd</t>
  </si>
  <si>
    <t>Marktplatz 20</t>
  </si>
  <si>
    <t>Marktplatz 20;;73525;SchwÃ¤bisch GmÃ¼nd;Baden-WÃ¼rttemberg</t>
  </si>
  <si>
    <t>DE0230</t>
  </si>
  <si>
    <t>Riem Arcaden</t>
  </si>
  <si>
    <t>Willy-Brandt-Platz 5</t>
  </si>
  <si>
    <t>Willy-Brandt-Platz 5;;81829;MÃ¼nchen</t>
  </si>
  <si>
    <t>DE0232</t>
  </si>
  <si>
    <t>Stern-Center</t>
  </si>
  <si>
    <t>LÃ¼denscheid</t>
  </si>
  <si>
    <t>WilhelmstraÃŸe 33</t>
  </si>
  <si>
    <t>WilhelmstraÃŸe 33;;58511;LÃ¼denscheid;Nordrhein-Westfalen</t>
  </si>
  <si>
    <t>DE0234</t>
  </si>
  <si>
    <t>Rhein-Ruhr Zentrum</t>
  </si>
  <si>
    <t>MÃ¼lheim</t>
  </si>
  <si>
    <t>Humboldtring 13</t>
  </si>
  <si>
    <t>Humboldtring 13;;45472;MÃ¼lheim;Nordrhein-Westfalen</t>
  </si>
  <si>
    <t>DE0235</t>
  </si>
  <si>
    <t>Breuningerland Sindelfingen</t>
  </si>
  <si>
    <t>Sindelfingen</t>
  </si>
  <si>
    <t>Tilsiter StraÃŸe 15</t>
  </si>
  <si>
    <t>Tilsiter StraÃŸe 15;;71060;Sindelfingen;Baden-WÃ¼rttemberg</t>
  </si>
  <si>
    <t>DE0237</t>
  </si>
  <si>
    <t>MarktstraÃŸe 21-23</t>
  </si>
  <si>
    <t>Lahr</t>
  </si>
  <si>
    <t>MarktstraÃŸe 21-23;;77933;Lahr;Baden-WÃ¼rttemberg</t>
  </si>
  <si>
    <t>DE0238</t>
  </si>
  <si>
    <t>BÃ¤ckerstraÃŸe 45</t>
  </si>
  <si>
    <t>Hameln</t>
  </si>
  <si>
    <t>BÃ¤ckerstraÃŸe 45;;31785;Hameln;Niedersachsen</t>
  </si>
  <si>
    <t>DE0239</t>
  </si>
  <si>
    <t>Lange StraÃŸe 79-81</t>
  </si>
  <si>
    <t>Greifswald</t>
  </si>
  <si>
    <t>Lange StraÃŸe 79-81;;17489;Greifswald;Mecklenburg-Vorpommern</t>
  </si>
  <si>
    <t>DE0240</t>
  </si>
  <si>
    <t>Kaiser-Passage Worms</t>
  </si>
  <si>
    <t>Worms</t>
  </si>
  <si>
    <t>Korngasse 2</t>
  </si>
  <si>
    <t>Korngasse 2;;67547;Worms;Rheinland-Pfalz</t>
  </si>
  <si>
    <t>DE0241</t>
  </si>
  <si>
    <t>Schloss Arkaden Heidenheim</t>
  </si>
  <si>
    <t>Heidenheim</t>
  </si>
  <si>
    <t>Karlstrasse 12</t>
  </si>
  <si>
    <t>Karlstrasse 12;;89518;Heidenheim;Baden-WÃ¼rttemberg</t>
  </si>
  <si>
    <t>DE0243</t>
  </si>
  <si>
    <t>GroÃŸe StraÃŸe 86-88</t>
  </si>
  <si>
    <t>Kleve</t>
  </si>
  <si>
    <t>GroÃŸe StraÃŸe 86-88;;47533;Kleve;Nordrhein-Westfalen</t>
  </si>
  <si>
    <t>DE0245</t>
  </si>
  <si>
    <t>HansastraÃŸe 18-20</t>
  </si>
  <si>
    <t>Bottrop</t>
  </si>
  <si>
    <t>HansastraÃŸe 18-20;;46236;Bottrop;Nordrhein-Westfalen</t>
  </si>
  <si>
    <t>DE0246</t>
  </si>
  <si>
    <t>GeorgstraÃŸe 14</t>
  </si>
  <si>
    <t>Hannover</t>
  </si>
  <si>
    <t>GeorgstraÃŸe 14;;30159;Hannover;Niedersachsen</t>
  </si>
  <si>
    <t>DE0247</t>
  </si>
  <si>
    <t>Breiter Weg 22</t>
  </si>
  <si>
    <t>Halberstadt</t>
  </si>
  <si>
    <t>Breiter Weg 22;;38820;Halberstadt;Sachsen-Anhalt</t>
  </si>
  <si>
    <t>DE0248</t>
  </si>
  <si>
    <t>TumringerstraÃŸe 186</t>
  </si>
  <si>
    <t>LÃ¶rrach</t>
  </si>
  <si>
    <t>TumringerstraÃŸe 186;;79539;LÃ¶rrach;Baden-WÃ¼rttemberg</t>
  </si>
  <si>
    <t>DE0249</t>
  </si>
  <si>
    <t>WEKA-Karree</t>
  </si>
  <si>
    <t>Gelsenkirchen</t>
  </si>
  <si>
    <t>BahnhofstraÃŸe 55-65</t>
  </si>
  <si>
    <t>BahnhofstraÃŸe 55-65;;45879;Gelsenkirchen;Nordrhein-Westfalen</t>
  </si>
  <si>
    <t>DE0250</t>
  </si>
  <si>
    <t>Georg-Wichtermann-Platz 16</t>
  </si>
  <si>
    <t>Schweinfurt</t>
  </si>
  <si>
    <t>Georg-Wichtermann-Platz 16;;97421;Schweinfurt;Bayern</t>
  </si>
  <si>
    <t>DE0251</t>
  </si>
  <si>
    <t>LÃ¶hrstraÃŸe 40</t>
  </si>
  <si>
    <t>LÃ¶hrstraÃŸe 40;;56068;Koblenz;Rheinland-Pfalz</t>
  </si>
  <si>
    <t>DE0252</t>
  </si>
  <si>
    <t>Mercado NÃ¼rnberg</t>
  </si>
  <si>
    <t>Ã„uÃŸere Bayreuther StraÃŸe 80</t>
  </si>
  <si>
    <t>Ã„uÃŸere Bayreuther StraÃŸe 80;;90491;NÃ¼rnberg;Bayern</t>
  </si>
  <si>
    <t>DE0253</t>
  </si>
  <si>
    <t>fritz Ihr Einkaufszentrum</t>
  </si>
  <si>
    <t>Kulmbach</t>
  </si>
  <si>
    <t>Fritz-Hornschuch-StraÃŸe 9</t>
  </si>
  <si>
    <t>Fritz-Hornschuch-StraÃŸe 9;;95326;Kulmbach;Bayern</t>
  </si>
  <si>
    <t>DE0254</t>
  </si>
  <si>
    <t>UniversitÃ¤tsstraÃŸe 17 Marburg</t>
  </si>
  <si>
    <t>Marburg</t>
  </si>
  <si>
    <t>UniversitÃ¤tsstraÃŸe 17</t>
  </si>
  <si>
    <t>UniversitÃ¤tsstraÃŸe 17;;35037;Marburg</t>
  </si>
  <si>
    <t>DE0255</t>
  </si>
  <si>
    <t>Das HÃ¼ttlinger Schwabach</t>
  </si>
  <si>
    <t>Schwabach</t>
  </si>
  <si>
    <t>KÃ¶nigsplatz 21-23</t>
  </si>
  <si>
    <t>KÃ¶nigsplatz 21-23;;91126;Schwabach;Bayern</t>
  </si>
  <si>
    <t>DE0257</t>
  </si>
  <si>
    <t>HauptstraÃŸe 16-20</t>
  </si>
  <si>
    <t>Arnsberg</t>
  </si>
  <si>
    <t>HauptstraÃŸe 16-20;;59755;Arnsberg;Nordrhein-Westfalen</t>
  </si>
  <si>
    <t>DE0258</t>
  </si>
  <si>
    <t>Steinweg 21-25</t>
  </si>
  <si>
    <t>Gifhorn</t>
  </si>
  <si>
    <t>Steinweg 21-25;;38518;Gifhorn;Niedersachsen</t>
  </si>
  <si>
    <t>DE0260</t>
  </si>
  <si>
    <t>SchlÃ¶ssle-Galerie Pforzheim</t>
  </si>
  <si>
    <t>Pforzheim</t>
  </si>
  <si>
    <t>Kiehnlestrasse 14</t>
  </si>
  <si>
    <t>Kiehnlestrasse 14;;75175;Pforzheim</t>
  </si>
  <si>
    <t>DE0261</t>
  </si>
  <si>
    <t>MÃ¼hlenstraÃŸe 125</t>
  </si>
  <si>
    <t>Leer</t>
  </si>
  <si>
    <t>MÃ¼hlenstraÃŸe 125;;26789;Leer;Niedersachsen</t>
  </si>
  <si>
    <t>DE0262</t>
  </si>
  <si>
    <t>LookenstraÃŸe 14</t>
  </si>
  <si>
    <t>Lingen</t>
  </si>
  <si>
    <t>LookenstraÃŸe 14;;49808;Lingen;Niedersachsen</t>
  </si>
  <si>
    <t>DE0264</t>
  </si>
  <si>
    <t>Berliner StraÃŸe 48-50</t>
  </si>
  <si>
    <t>GÃ¼tersloh</t>
  </si>
  <si>
    <t>Berliner StraÃŸe 48-50;;33330;GÃ¼tersloh;Nordrhein-Westfalen</t>
  </si>
  <si>
    <t>DE0265</t>
  </si>
  <si>
    <t>Lange StraÃŸe 28</t>
  </si>
  <si>
    <t>Delmenhorst</t>
  </si>
  <si>
    <t>Lange StraÃŸe 28;;27749;Delmenhorst;Niedersachsen</t>
  </si>
  <si>
    <t>DE0266</t>
  </si>
  <si>
    <t>WilhelmstraÃŸe 27</t>
  </si>
  <si>
    <t>Friedrichshafen</t>
  </si>
  <si>
    <t>WilhelmstraÃŸe 27;;88045;Friedrichshafen;Baden-WÃ¼rttemberg</t>
  </si>
  <si>
    <t>DE0268</t>
  </si>
  <si>
    <t>SpitalerstraÃŸe 12</t>
  </si>
  <si>
    <t>SpitalerstraÃŸe 12;;20095;Hamburg;Hamburg</t>
  </si>
  <si>
    <t>DE0269</t>
  </si>
  <si>
    <t>hamburger meile</t>
  </si>
  <si>
    <t>Hamburger StraÃŸe 27</t>
  </si>
  <si>
    <t>Hamburger StraÃŸe 27;;22083;Hamburg;Hamburg</t>
  </si>
  <si>
    <t>DE0270</t>
  </si>
  <si>
    <t>Alsterhaus</t>
  </si>
  <si>
    <t>Jungfernstieg 16-20</t>
  </si>
  <si>
    <t>Jungfernstieg 16-20;;20354;Hamburg;Hamburg</t>
  </si>
  <si>
    <t>DE0271</t>
  </si>
  <si>
    <t>Fronhofer Galeria</t>
  </si>
  <si>
    <t>Bonn</t>
  </si>
  <si>
    <t>Am Fronhof 9</t>
  </si>
  <si>
    <t>Am Fronhof 9;;53177;Bonn Bad Godesberg;Nordrhein-Westfalen</t>
  </si>
  <si>
    <t>DE0272</t>
  </si>
  <si>
    <t>CarrÃ© Bad Cannstatt</t>
  </si>
  <si>
    <t>Wildunger StraÃŸe 2-4</t>
  </si>
  <si>
    <t>Wildunger StraÃŸe 2-4;;70372;Stuttgart;Baden-WÃ¼rttemberg</t>
  </si>
  <si>
    <t>DE0273</t>
  </si>
  <si>
    <t>GeorgenstraÃŸe 12-14</t>
  </si>
  <si>
    <t>Amberg</t>
  </si>
  <si>
    <t>GeorgenstraÃŸe 12-14;;92224;Amberg;Bayern</t>
  </si>
  <si>
    <t>DE0275</t>
  </si>
  <si>
    <t>SteinstraÃŸe 12-14</t>
  </si>
  <si>
    <t>Moers</t>
  </si>
  <si>
    <t>SteinstraÃŸe 12-14;;47441;Moers;Nordrhein-Westfalen</t>
  </si>
  <si>
    <t>DE0276</t>
  </si>
  <si>
    <t>KÃ¶ln Arcaden</t>
  </si>
  <si>
    <t>KÃ¶ln</t>
  </si>
  <si>
    <t>Kalker Hauptstrasse 55</t>
  </si>
  <si>
    <t>Kalker Hauptstrasse 55;;51103;KÃ¶ln;Nordrhein-Westfalen</t>
  </si>
  <si>
    <t>DE0277</t>
  </si>
  <si>
    <t>Holzmarkt 1</t>
  </si>
  <si>
    <t>TÃ¼bingen</t>
  </si>
  <si>
    <t>Holzmarkt 1;;72070;TÃ¼bingen;Baden-WÃ¼rttemberg</t>
  </si>
  <si>
    <t>DE0278</t>
  </si>
  <si>
    <t>MittelstraÃŸe 35-37</t>
  </si>
  <si>
    <t>Hilden</t>
  </si>
  <si>
    <t>MittelstraÃŸe 35-37;;40721;Hilden;Nordrhein-Westfalen</t>
  </si>
  <si>
    <t>DE0279</t>
  </si>
  <si>
    <t>LippestraÃŸe 3</t>
  </si>
  <si>
    <t>Dorsten</t>
  </si>
  <si>
    <t>LippestraÃŸe 3;;46282;Dorsten;Nordrhein-Westfalen</t>
  </si>
  <si>
    <t>DE0280</t>
  </si>
  <si>
    <t>PetersstraÃŸe 1</t>
  </si>
  <si>
    <t>PetersstraÃŸe 1;;04109;Leipzig;Sachsen</t>
  </si>
  <si>
    <t>DE0281</t>
  </si>
  <si>
    <t>Altstadt 258-259</t>
  </si>
  <si>
    <t>Landshut</t>
  </si>
  <si>
    <t>Altstadt 258-259;;84028;Landshut;Bayern</t>
  </si>
  <si>
    <t>DE0282</t>
  </si>
  <si>
    <t>City Galerie</t>
  </si>
  <si>
    <t>Bad Hersfeld</t>
  </si>
  <si>
    <t>Klausstrasse 24</t>
  </si>
  <si>
    <t>Klausstrasse 24;;36251;Bad Hersfeld;Hessen</t>
  </si>
  <si>
    <t>DE0287</t>
  </si>
  <si>
    <t>Schildergasse 24-30</t>
  </si>
  <si>
    <t>Schildergasse 24-30;;50667;KÃ¶ln;Nordrhein-Westfalen</t>
  </si>
  <si>
    <t>DE0290</t>
  </si>
  <si>
    <t>Olympia-Einkaufszentrum</t>
  </si>
  <si>
    <t>Hanauer StraÃŸe 68</t>
  </si>
  <si>
    <t>Hanauer StraÃŸe 68;;80993;MÃ¼nchen;Bayern</t>
  </si>
  <si>
    <t>DE0293</t>
  </si>
  <si>
    <t>StadtCenter DÃ¼ren</t>
  </si>
  <si>
    <t>DÃ¼ren</t>
  </si>
  <si>
    <t>Kuhgasse 8</t>
  </si>
  <si>
    <t>Kuhgasse 8;;52349;DÃ¼ren;Nordrhein-Westfalen</t>
  </si>
  <si>
    <t>DE0294</t>
  </si>
  <si>
    <t>Phoenix-Center</t>
  </si>
  <si>
    <t>Hannoversche StraÃŸe 86</t>
  </si>
  <si>
    <t>Hannoversche StraÃŸe 86;;21079;Hamburg;Hamburg</t>
  </si>
  <si>
    <t>DE0295</t>
  </si>
  <si>
    <t>Alter Rathausplatz 9</t>
  </si>
  <si>
    <t>Iserlohn</t>
  </si>
  <si>
    <t>Alter Rathausplatz 9;;58636;Iserlohn;Nordrhein-Westfalen</t>
  </si>
  <si>
    <t>DE0297</t>
  </si>
  <si>
    <t>CityCenter</t>
  </si>
  <si>
    <t>Northeim</t>
  </si>
  <si>
    <t>Grafenhof 3</t>
  </si>
  <si>
    <t>Grafenhof 3;;37154;Northeim;Niedersachsen</t>
  </si>
  <si>
    <t>DE0298</t>
  </si>
  <si>
    <t>Damm 16</t>
  </si>
  <si>
    <t>Braunschweig</t>
  </si>
  <si>
    <t>Damm 16;;38100;Braunschweig;Niedersachsen</t>
  </si>
  <si>
    <t>DE0299</t>
  </si>
  <si>
    <t>BurgstraÃŸe 21-23</t>
  </si>
  <si>
    <t>Aurich</t>
  </si>
  <si>
    <t>BurgstraÃŸe 21-23;;26603;Aurich;Niedersachsen</t>
  </si>
  <si>
    <t>DE0301</t>
  </si>
  <si>
    <t>BahnhofstraÃŸe 14</t>
  </si>
  <si>
    <t>Passau</t>
  </si>
  <si>
    <t>BahnhofstraÃŸe 14;;94032;Passau;Bayern</t>
  </si>
  <si>
    <t>DE0302</t>
  </si>
  <si>
    <t>Innere Plauensche StraÃŸe 31-33</t>
  </si>
  <si>
    <t>Zwickau</t>
  </si>
  <si>
    <t>Innere Plauensche StraÃŸe 31-33;;08056;Zwickau;Sachsen</t>
  </si>
  <si>
    <t>DE0303</t>
  </si>
  <si>
    <t>Oder-Center</t>
  </si>
  <si>
    <t>Schwedt</t>
  </si>
  <si>
    <t>Landgrabenpark 1</t>
  </si>
  <si>
    <t>Landgrabenpark 1;;16303;Schwedt;Brandenburg</t>
  </si>
  <si>
    <t>DE0304</t>
  </si>
  <si>
    <t>NOVA Shoppingcenter</t>
  </si>
  <si>
    <t>GÃ¼ntersd. (Leipzig)</t>
  </si>
  <si>
    <t>Einkaufszentrum Nova</t>
  </si>
  <si>
    <t>Einkaufszentrum Nova;;06254;Leuna OT GÃ¼nthersdorf;Sachsen-Anhalt</t>
  </si>
  <si>
    <t>DE0305</t>
  </si>
  <si>
    <t>Lili Wiesbaden</t>
  </si>
  <si>
    <t>Wiesbaden</t>
  </si>
  <si>
    <t>Bahnhofsplatz 3</t>
  </si>
  <si>
    <t>Bahnhofsplatz 3;;65189;Wiesbaden;Hessen</t>
  </si>
  <si>
    <t>DE0306</t>
  </si>
  <si>
    <t>Ring-Center</t>
  </si>
  <si>
    <t>Frankfurter Allee 111</t>
  </si>
  <si>
    <t>Frankfurter Allee 111;;10247;Berlin;Berlin Ost</t>
  </si>
  <si>
    <t>DE0307</t>
  </si>
  <si>
    <t>EASTGATE</t>
  </si>
  <si>
    <t>Marzahner Promenade 1A</t>
  </si>
  <si>
    <t>Marzahner Promenade 1A;;12679;Berlin;Berlin Ost</t>
  </si>
  <si>
    <t>DE0308</t>
  </si>
  <si>
    <t>Saarpark-Center Neunkirchen</t>
  </si>
  <si>
    <t>Neunkirchen</t>
  </si>
  <si>
    <t>Stummplatz 1</t>
  </si>
  <si>
    <t>Stummplatz 1;;66538;Neunkirchen;Saarland</t>
  </si>
  <si>
    <t>DE0309</t>
  </si>
  <si>
    <t>Kaufpark Dresden-Nickern</t>
  </si>
  <si>
    <t>Dresden-Nickern</t>
  </si>
  <si>
    <t>Dohnaer StraÃŸe 246</t>
  </si>
  <si>
    <t>Dohnaer StraÃŸe 246;;01239;Dresden;Sachsen</t>
  </si>
  <si>
    <t>DE0310</t>
  </si>
  <si>
    <t>Saarbasar SaarbrÃ¼cken</t>
  </si>
  <si>
    <t>Breslauer StraÃŸe 1a</t>
  </si>
  <si>
    <t>Breslauer StraÃŸe 1a;;66121;SaarbrÃ¼cken;Saarland</t>
  </si>
  <si>
    <t>DE0311</t>
  </si>
  <si>
    <t>Rheincenter</t>
  </si>
  <si>
    <t>Weil am Rhein</t>
  </si>
  <si>
    <t>HauptstraÃŸe 435</t>
  </si>
  <si>
    <t>HauptstraÃŸe 435;;79576;Weil am Rhein;Baden-WÃ¼rttemberg</t>
  </si>
  <si>
    <t>DE0312</t>
  </si>
  <si>
    <t>HauptstraÃŸe 88</t>
  </si>
  <si>
    <t>Offenburg</t>
  </si>
  <si>
    <t>HauptstraÃŸe 88;;77652;Offenburg;Baden-WÃ¼rttemberg</t>
  </si>
  <si>
    <t>DE0313</t>
  </si>
  <si>
    <t>BÃ¼rgermeister-Smidt-StraÃŸe 44</t>
  </si>
  <si>
    <t>Bremerhaven</t>
  </si>
  <si>
    <t>BÃ¼rgermeister-Smidt-StraÃŸe 44;;27568;Bremerhaven;Niedersachsen</t>
  </si>
  <si>
    <t>DE0315</t>
  </si>
  <si>
    <t>MarktstraÃŸe 22 GÃ¶ppingen</t>
  </si>
  <si>
    <t>GÃ¶ppingen</t>
  </si>
  <si>
    <t>MarktstraÃŸe 22</t>
  </si>
  <si>
    <t>MarktstraÃŸe 22;;73033;GÃ¶ppingen;Baden-WÃ¼rttemberg</t>
  </si>
  <si>
    <t>DE0316</t>
  </si>
  <si>
    <t>LuitpoldstraÃŸe 15</t>
  </si>
  <si>
    <t>Deggendorf</t>
  </si>
  <si>
    <t>LuitpoldstraÃŸe 15;;94469;Deggendorf;Bayern</t>
  </si>
  <si>
    <t>DE0317</t>
  </si>
  <si>
    <t>SchiffbrÃ¼ckenplatz 17</t>
  </si>
  <si>
    <t>Rendsburg</t>
  </si>
  <si>
    <t>SchiffbrÃ¼ckenplatz 17;;24768;Rendsburg;Schleswig-Holstein</t>
  </si>
  <si>
    <t>DE0318</t>
  </si>
  <si>
    <t>AEZ Alstertal-Einkaufszentrum</t>
  </si>
  <si>
    <t>Heegbarg 31</t>
  </si>
  <si>
    <t>Heegbarg 31;;22391;Hamburg;Hamburg</t>
  </si>
  <si>
    <t>DE0319</t>
  </si>
  <si>
    <t>Hauptplatz 155 Landsberg am Lech</t>
  </si>
  <si>
    <t>Landsberg</t>
  </si>
  <si>
    <t>Hauptplatz 155</t>
  </si>
  <si>
    <t>Hauptplatz 155;;86899;Landsberg am Lech;Bayern</t>
  </si>
  <si>
    <t>DE0320</t>
  </si>
  <si>
    <t>Sachsen-Allee</t>
  </si>
  <si>
    <t>Chemnitz</t>
  </si>
  <si>
    <t>Thomas-Mann-Platz 1B</t>
  </si>
  <si>
    <t>Thomas-Mann-Platz 1B;;09130;Chemnitz;Sachsen</t>
  </si>
  <si>
    <t>DE0321</t>
  </si>
  <si>
    <t>BahnhofstraÃŸe 8-12</t>
  </si>
  <si>
    <t>Sinsheim</t>
  </si>
  <si>
    <t>BahnhofstraÃŸe 8-12;;74889;Sinsheim;Baden-WÃ¼rttemberg</t>
  </si>
  <si>
    <t>DE0322</t>
  </si>
  <si>
    <t>Hinter dem Rathaus 23</t>
  </si>
  <si>
    <t>Wismar</t>
  </si>
  <si>
    <t>Hinter dem Rathaus 23;;23966;Wismar;Mecklenburg-Vorpommern</t>
  </si>
  <si>
    <t>DE0323</t>
  </si>
  <si>
    <t>CITTI-PARK Kiel</t>
  </si>
  <si>
    <t>Kiel</t>
  </si>
  <si>
    <t>MÃ¼hlendamm 1</t>
  </si>
  <si>
    <t>MÃ¼hlendamm 1;;24113;Kiel;Schleswig-Holstein</t>
  </si>
  <si>
    <t>DE0325</t>
  </si>
  <si>
    <t>WilhelmGalerie Ludwigsburg</t>
  </si>
  <si>
    <t>WilhelmstraÃŸe 26</t>
  </si>
  <si>
    <t>WilhelmstraÃŸe 26;;71638;Ludwigsburg;Baden-WÃ¼rttemberg</t>
  </si>
  <si>
    <t>DE0326</t>
  </si>
  <si>
    <t>Shopping CitÃ©</t>
  </si>
  <si>
    <t>Baden-Baden</t>
  </si>
  <si>
    <t>Gewerbepark Cite 7</t>
  </si>
  <si>
    <t>Gewerbepark Cite 7;;76532;Baden-Baden;Baden-WÃ¼rttemberg</t>
  </si>
  <si>
    <t>DE0327</t>
  </si>
  <si>
    <t>Markt 14-15</t>
  </si>
  <si>
    <t>Meppen</t>
  </si>
  <si>
    <t>Markt 14-15;;49716;Meppen;Niedersachsen</t>
  </si>
  <si>
    <t>DE0329</t>
  </si>
  <si>
    <t>Lange StraÃŸe 68-70</t>
  </si>
  <si>
    <t>Detmold</t>
  </si>
  <si>
    <t>Lange StraÃŸe 68-70;;32756;Detmold;Nordrhein-Westfalen</t>
  </si>
  <si>
    <t>DE0330</t>
  </si>
  <si>
    <t>Ernst-August-Galerie</t>
  </si>
  <si>
    <t>Ernst-August-Platz 2</t>
  </si>
  <si>
    <t>Ernst-August-Platz 2;;30159;Hannover;Niedersachsen</t>
  </si>
  <si>
    <t>DE0331</t>
  </si>
  <si>
    <t>NiederstraÃŸe 66-74</t>
  </si>
  <si>
    <t>NiederstraÃŸe 66-74;;41460;Neuss;Nordrhein-Westfalen</t>
  </si>
  <si>
    <t>DE0332</t>
  </si>
  <si>
    <t>KrÃ¶peliner StraÃŸe 56-57</t>
  </si>
  <si>
    <t>Rostock</t>
  </si>
  <si>
    <t>KrÃ¶peliner StraÃŸe 56-57;;18055;Rostock;Mecklenburg-Vorpommern</t>
  </si>
  <si>
    <t>DE0333</t>
  </si>
  <si>
    <t>Buchholz Galerie</t>
  </si>
  <si>
    <t>Buchholz</t>
  </si>
  <si>
    <t>Breite StraÃŸe 16</t>
  </si>
  <si>
    <t>Breite StraÃŸe 16;;21244;Buchholz;Niedersachsen</t>
  </si>
  <si>
    <t>DE0334</t>
  </si>
  <si>
    <t>Alexa</t>
  </si>
  <si>
    <t>GrunerstraÃŸe 20</t>
  </si>
  <si>
    <t>GrunerstraÃŸe 20;;10179;Berlin;Berlin Ost</t>
  </si>
  <si>
    <t>DE0335</t>
  </si>
  <si>
    <t>GroÃŸe StraÃŸe 22</t>
  </si>
  <si>
    <t>IbbenbÃ¼ren</t>
  </si>
  <si>
    <t>GroÃŸe StraÃŸe 22;;49477;IbbenbÃ¼ren;Nordrhein-Westfalen</t>
  </si>
  <si>
    <t>DE0336</t>
  </si>
  <si>
    <t>Pferdemarkt 12</t>
  </si>
  <si>
    <t>Stade</t>
  </si>
  <si>
    <t>Pferdemarkt 12;;21682;Stade;Niedersachsen</t>
  </si>
  <si>
    <t>DE0338</t>
  </si>
  <si>
    <t>Reschop CarrÃ©</t>
  </si>
  <si>
    <t>Hattingen</t>
  </si>
  <si>
    <t>Reschop CarrÃ©-Platz 1</t>
  </si>
  <si>
    <t>Reschop CarrÃ©-Platz 1;;45525;Hattingen;Nordrhein-Westfalen</t>
  </si>
  <si>
    <t>DE0339</t>
  </si>
  <si>
    <t>Lange StraÃŸe 63</t>
  </si>
  <si>
    <t>Nienburg</t>
  </si>
  <si>
    <t>Lange StraÃŸe 63;;31582;Nienburg;Niedersachsen</t>
  </si>
  <si>
    <t>DE0340</t>
  </si>
  <si>
    <t>STADTGALERIE Heilbronn</t>
  </si>
  <si>
    <t>Heilbronn</t>
  </si>
  <si>
    <t>DeutschhofstraÃŸe 19</t>
  </si>
  <si>
    <t>DeutschhofstraÃŸe 19;;74072;Heilbronn;Baden-WÃ¼rttemberg</t>
  </si>
  <si>
    <t>DE0342</t>
  </si>
  <si>
    <t>MarktstraÃŸe 21</t>
  </si>
  <si>
    <t>Albstadt</t>
  </si>
  <si>
    <t>MarktstraÃŸe 21;;72458;Albstadt;Baden-WÃ¼rttemberg</t>
  </si>
  <si>
    <t>DE0344</t>
  </si>
  <si>
    <t>Rhein-Center</t>
  </si>
  <si>
    <t>Aachener StraÃŸe 1253</t>
  </si>
  <si>
    <t>Aachener StraÃŸe 1253;;50858;KÃ¶ln;Nordrhein-Westfalen</t>
  </si>
  <si>
    <t>DE0345</t>
  </si>
  <si>
    <t>Kupferpassage</t>
  </si>
  <si>
    <t>Coesfeld</t>
  </si>
  <si>
    <t>PoststraÃŸe 4</t>
  </si>
  <si>
    <t>PoststraÃŸe 4;;48653;Coesfeld;Nordrhein-Westfalen</t>
  </si>
  <si>
    <t>DE0346</t>
  </si>
  <si>
    <t>MÃ¼llerstraÃŸe 36</t>
  </si>
  <si>
    <t>MÃ¼llerstraÃŸe 36;;13353;Berlin;Berlin West</t>
  </si>
  <si>
    <t>DE0347</t>
  </si>
  <si>
    <t>Famila Einkaufsland Wechloy</t>
  </si>
  <si>
    <t>Oldenburg</t>
  </si>
  <si>
    <t>Posthalterweg 10</t>
  </si>
  <si>
    <t>Posthalterweg 10;;26129;Oldenburg;Niedersachsen</t>
  </si>
  <si>
    <t>DE0348</t>
  </si>
  <si>
    <t>Tempelhofer Hafen</t>
  </si>
  <si>
    <t>Tempelhofer Damm 227</t>
  </si>
  <si>
    <t>Tempelhofer Damm 227;;12099;Berlin;Berlin West</t>
  </si>
  <si>
    <t>DE0349</t>
  </si>
  <si>
    <t>Forum</t>
  </si>
  <si>
    <t>Duisburg</t>
  </si>
  <si>
    <t>KÃ¶nigstraÃŸe 57</t>
  </si>
  <si>
    <t>KÃ¶nigstraÃŸe 57;;47051;Duisburg;Nordrhein-Westfalen</t>
  </si>
  <si>
    <t>DE0350</t>
  </si>
  <si>
    <t>Wilma Shoppen</t>
  </si>
  <si>
    <t>Wilmersdorfer StraÃŸe 46</t>
  </si>
  <si>
    <t>Wilmersdorfer StraÃŸe 46;;10627;Berlin;Berlin West</t>
  </si>
  <si>
    <t>DE0352</t>
  </si>
  <si>
    <t>Remscheid</t>
  </si>
  <si>
    <t>Theodor-Heuss-Platz 7</t>
  </si>
  <si>
    <t>Theodor-Heuss-Platz 7;;42853;Remscheid;Nordrhein-Westfalen</t>
  </si>
  <si>
    <t>DE0353</t>
  </si>
  <si>
    <t>Weender StraÃŸe 72</t>
  </si>
  <si>
    <t>GÃ¶ttingen</t>
  </si>
  <si>
    <t>Weender StraÃŸe 72;;37073;GÃ¶ttingen;Niedersachsen</t>
  </si>
  <si>
    <t>DE0354</t>
  </si>
  <si>
    <t>Kaiser Passage</t>
  </si>
  <si>
    <t>Goslar</t>
  </si>
  <si>
    <t>Breite StraÃŸe 98</t>
  </si>
  <si>
    <t>Breite StraÃŸe 98;;38640;Goslar;Niedersachsen</t>
  </si>
  <si>
    <t>DE0355</t>
  </si>
  <si>
    <t>StadtGalerie</t>
  </si>
  <si>
    <t>Witten</t>
  </si>
  <si>
    <t>HammerstraÃŸe 9-11</t>
  </si>
  <si>
    <t>HammerstraÃŸe 9-11;;58452;Witten;Nordrhein-Westfalen</t>
  </si>
  <si>
    <t>DE0356</t>
  </si>
  <si>
    <t>MIRA Einkaufszentrum MÃ¼nchen</t>
  </si>
  <si>
    <t>SchleiÃŸheimerstraÃŸe 506</t>
  </si>
  <si>
    <t>SchleiÃŸheimerstraÃŸe 506;;80937;MÃ¼nchen;Bayern</t>
  </si>
  <si>
    <t>DE0357</t>
  </si>
  <si>
    <t>Airport Arkaden</t>
  </si>
  <si>
    <t>DÃ¼sseldorf</t>
  </si>
  <si>
    <t>FlughafenstraÃŸe 120</t>
  </si>
  <si>
    <t>FlughafenstraÃŸe 120;;40474;DÃ¼sseldorf;Nordrhein-Westfalen</t>
  </si>
  <si>
    <t>DE0358</t>
  </si>
  <si>
    <t>ChamonixstraÃŸe 3-9</t>
  </si>
  <si>
    <t>Garmisch-Partenkirchen</t>
  </si>
  <si>
    <t>ChamonixstraÃŸe 3-9;;82467;Garmisch-Partenkirchen;Bayern</t>
  </si>
  <si>
    <t>DE0360</t>
  </si>
  <si>
    <t>PEP Einkaufscenter</t>
  </si>
  <si>
    <t>Thomas-Dehler-StraÃŸe 10</t>
  </si>
  <si>
    <t>Thomas-Dehler-StraÃŸe 10;;81737;MÃ¼nchen;Bayern</t>
  </si>
  <si>
    <t>DE0361</t>
  </si>
  <si>
    <t>City Galerie Aschaffenburg</t>
  </si>
  <si>
    <t>Aschaffenburg</t>
  </si>
  <si>
    <t>Goldbacher StraÃŸe 2</t>
  </si>
  <si>
    <t>Goldbacher StraÃŸe 2;;63739;Aschaffenburg;Bayern</t>
  </si>
  <si>
    <t>DE0363</t>
  </si>
  <si>
    <t>OberstraÃŸe 44 Ratingen</t>
  </si>
  <si>
    <t>Ratingen</t>
  </si>
  <si>
    <t>OberstraÃŸe 44</t>
  </si>
  <si>
    <t>OberstraÃŸe 44;;40878;Ratingen;Nordrhein-Westfalen</t>
  </si>
  <si>
    <t>DE0364</t>
  </si>
  <si>
    <t>Lange StraÃŸe  62-74</t>
  </si>
  <si>
    <t>LÃ¼nen</t>
  </si>
  <si>
    <t>Lange StraÃŸe  62-74;;44532;LÃ¼nen;Nordrhein-Westfalen</t>
  </si>
  <si>
    <t>DE0366</t>
  </si>
  <si>
    <t>Waterfront Bremen</t>
  </si>
  <si>
    <t>DE0367</t>
  </si>
  <si>
    <t>Karl-Marx-StraÃŸe 92-98</t>
  </si>
  <si>
    <t>Karl-Marx-StraÃŸe 92-98;;12043;Berlin;Berlin West</t>
  </si>
  <si>
    <t>DE0368</t>
  </si>
  <si>
    <t>KaiserstraÃŸe 37</t>
  </si>
  <si>
    <t>Gummersbach</t>
  </si>
  <si>
    <t>KaiserstraÃŸe 37;;51643;Gummersbach;Nordrhein-Westfalen</t>
  </si>
  <si>
    <t>DE0369</t>
  </si>
  <si>
    <t>DÃ¼sseldorf Arcaden</t>
  </si>
  <si>
    <t>FriedrichstraÃŸe 133</t>
  </si>
  <si>
    <t>FriedrichstraÃŸe 133;;40217;DÃ¼sseldorf;Nordrhein-Westfalen</t>
  </si>
  <si>
    <t>DE0370</t>
  </si>
  <si>
    <t>Weinheim Galerie</t>
  </si>
  <si>
    <t>Weinheim</t>
  </si>
  <si>
    <t>DÃ¼rrestraÃŸe 2</t>
  </si>
  <si>
    <t>DÃ¼rrestraÃŸe 2;;69469;Weinheim;Baden-WÃ¼rttemberg</t>
  </si>
  <si>
    <t>DE0371</t>
  </si>
  <si>
    <t>Rathausgalerie Bruchsal</t>
  </si>
  <si>
    <t>Bruchsal</t>
  </si>
  <si>
    <t>KaiserstraÃŸe 64</t>
  </si>
  <si>
    <t>KaiserstraÃŸe 64;;76646;Bruchsal;Baden-WÃ¼rttemberg</t>
  </si>
  <si>
    <t>DE0373</t>
  </si>
  <si>
    <t>Rathaus-Galerie</t>
  </si>
  <si>
    <t>Leverkusen</t>
  </si>
  <si>
    <t>Friedrich-Ebert-Platz 2</t>
  </si>
  <si>
    <t>Friedrich-Ebert-Platz 2;;51373;Leverkusen;Nordrhein-Westfalen</t>
  </si>
  <si>
    <t>DE0374</t>
  </si>
  <si>
    <t>Elbe Einkaufszentrum</t>
  </si>
  <si>
    <t>Osdorfer LandstraÃŸe 131-135</t>
  </si>
  <si>
    <t>Osdorfer LandstraÃŸe 131-135;;22609;Hamburg;Hamburg</t>
  </si>
  <si>
    <t>DE0375</t>
  </si>
  <si>
    <t>Hessen-Center</t>
  </si>
  <si>
    <t>Borsigallee 26</t>
  </si>
  <si>
    <t>Borsigallee 26;;60388;Frankfurt</t>
  </si>
  <si>
    <t>DE0377</t>
  </si>
  <si>
    <t>KOMM Offenbach</t>
  </si>
  <si>
    <t>Offenbach</t>
  </si>
  <si>
    <t>Aliceplatz 11</t>
  </si>
  <si>
    <t>Aliceplatz 11;;63065;Offenbach;Hessen</t>
  </si>
  <si>
    <t>DE0380</t>
  </si>
  <si>
    <t>Trier Galerie</t>
  </si>
  <si>
    <t>Trier</t>
  </si>
  <si>
    <t>FleischstraÃŸe 62</t>
  </si>
  <si>
    <t>FleischstraÃŸe 62;;54290;Trier;Rheinland-Pfalz</t>
  </si>
  <si>
    <t>DE0381</t>
  </si>
  <si>
    <t>A10 Center</t>
  </si>
  <si>
    <t>Wildau</t>
  </si>
  <si>
    <t>ChaussestraÃŸe 1</t>
  </si>
  <si>
    <t>ChaussestraÃŸe 1;;15745;Wildau;Brandenburg</t>
  </si>
  <si>
    <t>DE0382</t>
  </si>
  <si>
    <t>Elbepark Dresden</t>
  </si>
  <si>
    <t>PeschelstraÃŸe 33</t>
  </si>
  <si>
    <t>PeschelstraÃŸe 33;;01139;Dresden;Sachsen</t>
  </si>
  <si>
    <t>DE0383</t>
  </si>
  <si>
    <t>Limbecker Platz</t>
  </si>
  <si>
    <t>Limbecker Platz 1a</t>
  </si>
  <si>
    <t>Limbecker Platz 1a;;45127;Essen;Nordrhein-Westfalen</t>
  </si>
  <si>
    <t>DE0384</t>
  </si>
  <si>
    <t>Chemnitz Center</t>
  </si>
  <si>
    <t>Ringstrasse 17</t>
  </si>
  <si>
    <t>Ringstrasse 17;;09247;Chemnitz;Sachsen</t>
  </si>
  <si>
    <t>DE0385</t>
  </si>
  <si>
    <t>City Arcaden Ingolstadt</t>
  </si>
  <si>
    <t>Ingolstadt</t>
  </si>
  <si>
    <t>LudwigstraÃŸe 25</t>
  </si>
  <si>
    <t>LudwigstraÃŸe 25;;85049;Ingolstadt;Bayern</t>
  </si>
  <si>
    <t>DE0386</t>
  </si>
  <si>
    <t>KÃ¶nigstraÃŸe 5</t>
  </si>
  <si>
    <t>KÃ¶nigstraÃŸe 5;;93047;Regensburg;Bayern</t>
  </si>
  <si>
    <t>DE0387</t>
  </si>
  <si>
    <t>LOOP5 Weiterstadt</t>
  </si>
  <si>
    <t>Weiterstadt</t>
  </si>
  <si>
    <t>GutenbergstraÃŸe 5</t>
  </si>
  <si>
    <t>GutenbergstraÃŸe 5;;64331;Weiterstadt;Hessen</t>
  </si>
  <si>
    <t>DE0388</t>
  </si>
  <si>
    <t>City-Point</t>
  </si>
  <si>
    <t>DE0389</t>
  </si>
  <si>
    <t>Neuer Mohnhof Bergedorf</t>
  </si>
  <si>
    <t>Sachsentor 58</t>
  </si>
  <si>
    <t>Sachsentor 58;;21029;Hamburg;Hamburg</t>
  </si>
  <si>
    <t>DE0390</t>
  </si>
  <si>
    <t>QUARREE Wandsbek-Markt</t>
  </si>
  <si>
    <t>Quarree 8-10</t>
  </si>
  <si>
    <t>Quarree 8-10;;22041;Hamburg;Hamburg</t>
  </si>
  <si>
    <t>DE0391</t>
  </si>
  <si>
    <t>SchlÃ¶sserstraÃŸe 8</t>
  </si>
  <si>
    <t>Erfurt</t>
  </si>
  <si>
    <t>SchlÃ¶sserstraÃŸe 8;;99048;Erfurt;ThÃ¼ringen</t>
  </si>
  <si>
    <t>DE0393</t>
  </si>
  <si>
    <t>Gera Arcaden Gera</t>
  </si>
  <si>
    <t>Gera</t>
  </si>
  <si>
    <t>HeinrichstraÃŸe 30</t>
  </si>
  <si>
    <t>HeinrichstraÃŸe 30;;07545;Gera;ThÃ¼ringen</t>
  </si>
  <si>
    <t>DE0396</t>
  </si>
  <si>
    <t>Rahlstedt Center</t>
  </si>
  <si>
    <t>Wariner Weg 1</t>
  </si>
  <si>
    <t>Wariner Weg 1;;22143;Hamburg;Hamburg</t>
  </si>
  <si>
    <t>DE0397</t>
  </si>
  <si>
    <t>Marktplatz Galerie</t>
  </si>
  <si>
    <t>Bramfelder Chaussee 230</t>
  </si>
  <si>
    <t>Bramfelder Chaussee 230;;22177;Hamburg;Hamburg</t>
  </si>
  <si>
    <t>DE0398</t>
  </si>
  <si>
    <t>Alter Postplatz 7</t>
  </si>
  <si>
    <t>Waiblingen</t>
  </si>
  <si>
    <t>Alter Postplatz 7;;71332;Waiblingen;Baden-WÃ¼rttemberg</t>
  </si>
  <si>
    <t>DE0399</t>
  </si>
  <si>
    <t>Lange StraÃŸe 36</t>
  </si>
  <si>
    <t>Lippstadt</t>
  </si>
  <si>
    <t>Lange StraÃŸe 36;;59555;Lippstadt;Nordrhein-Westfalen</t>
  </si>
  <si>
    <t>DE0430</t>
  </si>
  <si>
    <t>Dormagen</t>
  </si>
  <si>
    <t>KÃ¶lner StraÃŸe 96-100</t>
  </si>
  <si>
    <t>KÃ¶lner StraÃŸe 96-100;;41539;Dormagen;Nordrhein-Westfalen</t>
  </si>
  <si>
    <t>DE0431</t>
  </si>
  <si>
    <t>HauptstraÃŸe 121-123</t>
  </si>
  <si>
    <t>Frechen</t>
  </si>
  <si>
    <t>HauptstraÃŸe 121-123;;50226;Frechen;Nordrhein-Westfalen</t>
  </si>
  <si>
    <t>DE0432</t>
  </si>
  <si>
    <t>MercadenÂ®BÃ¶blingen</t>
  </si>
  <si>
    <t>BÃ¶blingen</t>
  </si>
  <si>
    <t>Wolfgang-Brumme-Allee 27</t>
  </si>
  <si>
    <t>Wolfgang-Brumme-Allee 27;;71034;BÃ¶blingen;Baden-WÃ¼rttemberg</t>
  </si>
  <si>
    <t>DE0433</t>
  </si>
  <si>
    <t>CENTRO</t>
  </si>
  <si>
    <t>Oberhausen</t>
  </si>
  <si>
    <t>Centroallee 1000</t>
  </si>
  <si>
    <t>Centroallee 1000;;46047;Oberhausen;Nordrhein-Westfalen</t>
  </si>
  <si>
    <t>DE0434</t>
  </si>
  <si>
    <t>Minto</t>
  </si>
  <si>
    <t>MÃ¶nchengladbach</t>
  </si>
  <si>
    <t>Am Minto 3</t>
  </si>
  <si>
    <t>Am Minto 3;;41061;MÃ¶nchengladbach;Nordrhein-Westfalen</t>
  </si>
  <si>
    <t>DE0437</t>
  </si>
  <si>
    <t>Markt 26-27</t>
  </si>
  <si>
    <t>Siegburg</t>
  </si>
  <si>
    <t>Markt 26-27;;53721;Siegburg;Nordrhein-Westfalen</t>
  </si>
  <si>
    <t>DE0438</t>
  </si>
  <si>
    <t>Badischer Hof</t>
  </si>
  <si>
    <t>Achern</t>
  </si>
  <si>
    <t>HauptstraÃŸe 10</t>
  </si>
  <si>
    <t>HauptstraÃŸe 10;;77855;Achern;Baden-WÃ¼rttemberg</t>
  </si>
  <si>
    <t>DE0439</t>
  </si>
  <si>
    <t>Holsten-Galerie</t>
  </si>
  <si>
    <t>Neumuenster</t>
  </si>
  <si>
    <t>GÃ¤nsemarkt 1</t>
  </si>
  <si>
    <t>GÃ¤nsemarkt 1;;24534;NeumÃ¼nster;Schleswig-Holstein</t>
  </si>
  <si>
    <t>DE0440</t>
  </si>
  <si>
    <t>Frankenberger Tor</t>
  </si>
  <si>
    <t>Frankenberg</t>
  </si>
  <si>
    <t>RÃ¶ddenauer StraÃŸe 2</t>
  </si>
  <si>
    <t>Frankenberger Tor;RÃ¶ddenauer StraÃŸe 2;35066;Frankenberg (Eder)</t>
  </si>
  <si>
    <t>DE0441</t>
  </si>
  <si>
    <t>Salzburger StraÃŸe 4</t>
  </si>
  <si>
    <t>Wasserburg</t>
  </si>
  <si>
    <t>Salzburger StraÃŸe 4;;83512;Wasserburg am Inn;Bayern</t>
  </si>
  <si>
    <t>DE0442</t>
  </si>
  <si>
    <t>MarktstraÃŸe 58</t>
  </si>
  <si>
    <t>Landau</t>
  </si>
  <si>
    <t>MarktstraÃŸe 58;;76829;Landau;Rheinland-Pfalz</t>
  </si>
  <si>
    <t>DE0443</t>
  </si>
  <si>
    <t>Galerie Kleiner Markt</t>
  </si>
  <si>
    <t>Saarlouis</t>
  </si>
  <si>
    <t>Kleiner Markt 1</t>
  </si>
  <si>
    <t>Kleiner Markt 1;;66740;Saarlouis;Saarland</t>
  </si>
  <si>
    <t>DE0444</t>
  </si>
  <si>
    <t>City-Center KÃ¶ln-Chorweiler</t>
  </si>
  <si>
    <t>MailÃ¤nder Passage 1</t>
  </si>
  <si>
    <t>MailÃ¤nder Passage 1;;50765;KÃ¶ln;Nordrhein-Westfalen</t>
  </si>
  <si>
    <t>DE0445</t>
  </si>
  <si>
    <t>Marstall Ludwigsburg</t>
  </si>
  <si>
    <t>MarstallstraÃŸe 1</t>
  </si>
  <si>
    <t>MarstallstraÃŸe 1;;71634;Ludwigsburg;Baden-WÃ¼rttemberg</t>
  </si>
  <si>
    <t>DE0447</t>
  </si>
  <si>
    <t>GÃ„NSBÃœHL CENTER</t>
  </si>
  <si>
    <t>Ravensburg</t>
  </si>
  <si>
    <t>GaensbÃ¼hl 2</t>
  </si>
  <si>
    <t>GaensbÃ¼hl 2;;88212;Ravensburg;Baden-WÃ¼rttemberg</t>
  </si>
  <si>
    <t>DE0449</t>
  </si>
  <si>
    <t>Untere HauptstraÃŸe 8</t>
  </si>
  <si>
    <t>Freising</t>
  </si>
  <si>
    <t>Untere HauptstraÃŸe 8;;85354;Freising;Bayern</t>
  </si>
  <si>
    <t>DE0450</t>
  </si>
  <si>
    <t>Ettlinger Tor</t>
  </si>
  <si>
    <t>Karlsruhe</t>
  </si>
  <si>
    <t>Karl-Friedrich-StraÃŸe 12</t>
  </si>
  <si>
    <t>Karl-Friedrich-StraÃŸe 12;;76137;Karlsruhe;Baden-WÃ¼rttemberg</t>
  </si>
  <si>
    <t>DE0452</t>
  </si>
  <si>
    <t>Neue Mitte Ingelheim</t>
  </si>
  <si>
    <t>Ingelheim</t>
  </si>
  <si>
    <t>Binger StraÃŸe 78</t>
  </si>
  <si>
    <t>Binger StraÃŸe 78;;55218;Ingelheim am Rhein;Rheinland-Pfalz</t>
  </si>
  <si>
    <t>DE0453</t>
  </si>
  <si>
    <t>BECK ARKADEN</t>
  </si>
  <si>
    <t>Bad SÃ¤ckingen</t>
  </si>
  <si>
    <t>Alte Basler StraÃŸe 2</t>
  </si>
  <si>
    <t>Alte Basler StraÃŸe 2;;79713;Bad SÃ¤ckingen;Baden-WÃ¼rttemberg</t>
  </si>
  <si>
    <t>DE0459</t>
  </si>
  <si>
    <t>Lausitz-Center Hoyerswerda</t>
  </si>
  <si>
    <t>Hoyerswerda</t>
  </si>
  <si>
    <t>09:00-16:00</t>
  </si>
  <si>
    <t>Lausitzer Platz 1-3</t>
  </si>
  <si>
    <t>Lausitzer Platz 1-3;;02977;Hoyerswerda;Sachsen</t>
  </si>
  <si>
    <t>DE0461</t>
  </si>
  <si>
    <t>CITTI-PARK LÃ¼beck</t>
  </si>
  <si>
    <t>Herrenholz 14</t>
  </si>
  <si>
    <t>Herrenholz 14;;23556;LÃ¼beck;Schleswig-Holstein</t>
  </si>
  <si>
    <t>DE0463</t>
  </si>
  <si>
    <t>BÃ¤ckerstraÃŸe 61</t>
  </si>
  <si>
    <t>Minden</t>
  </si>
  <si>
    <t>BÃ¤ckerstraÃŸe 61;;32423;Minden;Nordrhein-Westfalen</t>
  </si>
  <si>
    <t>DE0464</t>
  </si>
  <si>
    <t>SchulstraÃŸe 24-26</t>
  </si>
  <si>
    <t>Schorndorf</t>
  </si>
  <si>
    <t>SchulstraÃŸe 24-26;;73614;Schorndorf;Baden-WÃ¼rttemberg</t>
  </si>
  <si>
    <t>DE0465</t>
  </si>
  <si>
    <t>Gropius Passagen</t>
  </si>
  <si>
    <t>Johannisthaler Chaussee 309</t>
  </si>
  <si>
    <t>Johannisthaler Chaussee 309;;12351;Berlin;Berlin West</t>
  </si>
  <si>
    <t>DE0468</t>
  </si>
  <si>
    <t>Huma Shoppingwelt</t>
  </si>
  <si>
    <t>Sankt Augustin</t>
  </si>
  <si>
    <t>Rathausallee 16</t>
  </si>
  <si>
    <t>Rathausallee 16;;53757;Sankt Augustin;Nordrhein-Westfalen</t>
  </si>
  <si>
    <t>DE0470</t>
  </si>
  <si>
    <t>KÃ– Bogen II</t>
  </si>
  <si>
    <t>SchadowstraÃŸe 50-52</t>
  </si>
  <si>
    <t>SchadowstraÃŸe 50-52;;40215;DÃ¼sseldorf;Nordrhein-Westfalen</t>
  </si>
  <si>
    <t>DE0472</t>
  </si>
  <si>
    <t>Dollart Center</t>
  </si>
  <si>
    <t>Emden</t>
  </si>
  <si>
    <t>ThÃ¼ringer StraÃŸe 9</t>
  </si>
  <si>
    <t>ThÃ¼ringer StraÃŸe 9;;26723;Emden;Niedersachsen</t>
  </si>
  <si>
    <t>DE0477</t>
  </si>
  <si>
    <t>Markt 21</t>
  </si>
  <si>
    <t>Geldern</t>
  </si>
  <si>
    <t>Markt 21;;47608;Geldern;Nordrhein-Westfalen</t>
  </si>
  <si>
    <t>DE0478</t>
  </si>
  <si>
    <t>Lohwall 7-9</t>
  </si>
  <si>
    <t>DÃ¼lmen</t>
  </si>
  <si>
    <t>Lohwall 7-9;;48249;DÃ¼lmen;Nordrhein-Westfalen</t>
  </si>
  <si>
    <t>DE0481</t>
  </si>
  <si>
    <t>IndustriestraÃŸe 8</t>
  </si>
  <si>
    <t>MÃ¼lheim-KÃ¤rlich</t>
  </si>
  <si>
    <t>IndustriestraÃŸe 8;;56218;MÃ¼hlheim-KÃ¤rlich;Rheinland-Pfalz</t>
  </si>
  <si>
    <t>DE0483</t>
  </si>
  <si>
    <t>THEO Husum</t>
  </si>
  <si>
    <t>Husum</t>
  </si>
  <si>
    <t>GroÃŸstraÃŸe 15-17</t>
  </si>
  <si>
    <t>GroÃŸstraÃŸe 15-17;;25813;Husum;Schleswig-Holstein</t>
  </si>
  <si>
    <t>DE0484</t>
  </si>
  <si>
    <t>Havelpark</t>
  </si>
  <si>
    <t>Berlin-Dallgow</t>
  </si>
  <si>
    <t>DÃ¶beritzer Weg 3</t>
  </si>
  <si>
    <t>DÃ¶beritzer Weg 3;;14624;Dallgow;Brandenburg</t>
  </si>
  <si>
    <t>DE0486</t>
  </si>
  <si>
    <t>Aischpark Center</t>
  </si>
  <si>
    <t>HÃ¶chstadt a.d. Aisch</t>
  </si>
  <si>
    <t>Kieferndorfer Weg 58</t>
  </si>
  <si>
    <t>Kieferndorfer Weg 58;;91315;HÃ¶chstadt an der Aisch;Bayern</t>
  </si>
  <si>
    <t>DE0490</t>
  </si>
  <si>
    <t>Forum SchwanthalerhÃ¶he</t>
  </si>
  <si>
    <t>TheresienhÃ¶he 5</t>
  </si>
  <si>
    <t>TheresienhÃ¶he 5;;80339;MÃ¼nchen;Bayern</t>
  </si>
  <si>
    <t>DE0491</t>
  </si>
  <si>
    <t>Stadtgraben 1+3</t>
  </si>
  <si>
    <t>Nagold</t>
  </si>
  <si>
    <t>Stadtgraben 1+3;;72202;Nagold;Baden-WÃ¼rttemberg</t>
  </si>
  <si>
    <t>DE0492</t>
  </si>
  <si>
    <t>Kaufpark Eiche</t>
  </si>
  <si>
    <t>Ahrensfelde</t>
  </si>
  <si>
    <t>Landsberger Chaussee 17</t>
  </si>
  <si>
    <t>Landsberger Chaussee 17;;16356;Ahrensfelde;Brandenburg</t>
  </si>
  <si>
    <t>DE0494</t>
  </si>
  <si>
    <t>Obere KÃ¶nigstraÃŸe 37</t>
  </si>
  <si>
    <t>Obere KÃ¶nigstraÃŸe 37;;34117;Kassel;Hessen</t>
  </si>
  <si>
    <t>DE0495</t>
  </si>
  <si>
    <t>NEL MEZZO</t>
  </si>
  <si>
    <t>Geislingen</t>
  </si>
  <si>
    <t>BahnhofstraÃŸe 94</t>
  </si>
  <si>
    <t>BahnhofstraÃŸe 94;;73312;Geislingen;Baden-WÃ¼rttemberg</t>
  </si>
  <si>
    <t>DE0498</t>
  </si>
  <si>
    <t>GIESLER GALERIE</t>
  </si>
  <si>
    <t>BrÃ¼hl</t>
  </si>
  <si>
    <t>UhlstraÃŸe 100</t>
  </si>
  <si>
    <t>UhlstraÃŸe 100;;50321;BrÃ¼hl;Nordrhein-Westfalen</t>
  </si>
  <si>
    <t>DE0603</t>
  </si>
  <si>
    <t>Billstedt Center</t>
  </si>
  <si>
    <t>MÃ¶llner LandstraÃŸe 3</t>
  </si>
  <si>
    <t>MÃ¶llner LandstraÃŸe 3;;22111;Hamburg;Hamburg</t>
  </si>
  <si>
    <t>DE0607</t>
  </si>
  <si>
    <t>AchternstraÃŸe 19</t>
  </si>
  <si>
    <t>AchternstraÃŸe 19;;26122;Oldenburg;Niedersachsen</t>
  </si>
  <si>
    <t>DE0609</t>
  </si>
  <si>
    <t>Kranzler Eck</t>
  </si>
  <si>
    <t>KurfÃ¼rstendamm 20-24</t>
  </si>
  <si>
    <t>KurfÃ¼rstendamm 20-24;;10719;Berlin;Berlin West</t>
  </si>
  <si>
    <t>DE0612</t>
  </si>
  <si>
    <t>Planken O7, 7-8</t>
  </si>
  <si>
    <t>Mannheim</t>
  </si>
  <si>
    <t>Planken O7, 7-8;;68161;Mannheim;Baden-WÃ¼rttemberg</t>
  </si>
  <si>
    <t>DE0617</t>
  </si>
  <si>
    <t>BahnhofstraÃŸe 27a</t>
  </si>
  <si>
    <t>Bielefeld</t>
  </si>
  <si>
    <t>BahnhofstraÃŸe 27a;;33602;Bielefeld;Nordrhein-Westfalen</t>
  </si>
  <si>
    <t>DE0618</t>
  </si>
  <si>
    <t>Sophienhof Kiel</t>
  </si>
  <si>
    <t>Sophienblatt 20</t>
  </si>
  <si>
    <t>Sophienblatt 20;;24103;Kiel;Schleswig-Holstein</t>
  </si>
  <si>
    <t>DE0620</t>
  </si>
  <si>
    <t>ObernstraÃŸe 55</t>
  </si>
  <si>
    <t>ObernstraÃŸe 55;;28195;Bremen;Bremen</t>
  </si>
  <si>
    <t>DE0622</t>
  </si>
  <si>
    <t>Breite Gasse 47-49</t>
  </si>
  <si>
    <t>Breite Gasse 47-49;;90402;NÃ¼rnberg;Bayern</t>
  </si>
  <si>
    <t>DE0623</t>
  </si>
  <si>
    <t>EKZ KrÃ¶pcke-Center</t>
  </si>
  <si>
    <t>GeorgstraÃŸe 31-33</t>
  </si>
  <si>
    <t>GeorgstraÃŸe 31-33;;30159;Hannover;Niedersachsen</t>
  </si>
  <si>
    <t>DE0624</t>
  </si>
  <si>
    <t>EKZ City Point</t>
  </si>
  <si>
    <t>KortumstraÃŸe 89</t>
  </si>
  <si>
    <t>KortumstraÃŸe 89;;44787;Bochum;Nordrhein-Westfalen</t>
  </si>
  <si>
    <t>DE0625</t>
  </si>
  <si>
    <t>Neumarkt 7</t>
  </si>
  <si>
    <t>OsnabrÃ¼ck</t>
  </si>
  <si>
    <t>Neumarkt 7;;49074;OsnabrÃ¼ck;Niedersachsen</t>
  </si>
  <si>
    <t>DE0626</t>
  </si>
  <si>
    <t>WestPark Einkaufszentrum</t>
  </si>
  <si>
    <t>Am Westpark 6</t>
  </si>
  <si>
    <t>Am Westpark 6;;85057;Ingolstadt;Bayern</t>
  </si>
  <si>
    <t>DE0627</t>
  </si>
  <si>
    <t>Schloss-Arkaden</t>
  </si>
  <si>
    <t>Platz am Ritterbrunnen 1</t>
  </si>
  <si>
    <t>Platz am Ritterbrunnen 1;;38100;Braunschweig;Niedersachsen</t>
  </si>
  <si>
    <t>DE0631</t>
  </si>
  <si>
    <t>Herold-Center Norderstedt</t>
  </si>
  <si>
    <t>Norderstedt</t>
  </si>
  <si>
    <t>Berliner Allee 34-44a</t>
  </si>
  <si>
    <t>Berliner Allee 34-44a;;22850;Norderstedt;Hamburg</t>
  </si>
  <si>
    <t>DE0632</t>
  </si>
  <si>
    <t>MEN STORE KaufingerstraÃŸe 26</t>
  </si>
  <si>
    <t>KaufingerstraÃŸe 26</t>
  </si>
  <si>
    <t>KaufingerstraÃŸe 26;;80331;MÃ¼nchen;Bayern</t>
  </si>
  <si>
    <t>DE0633</t>
  </si>
  <si>
    <t>Schildergasse 98-100</t>
  </si>
  <si>
    <t>Schildergasse 98-100;;50667;KÃ¶ln;Nordrhein-Westfalen</t>
  </si>
  <si>
    <t>DE0637</t>
  </si>
  <si>
    <t>Allee Center</t>
  </si>
  <si>
    <t>Hamm</t>
  </si>
  <si>
    <t>Richard-Matthaei-Platz 1</t>
  </si>
  <si>
    <t>Richard-Matthaei-Platz 1;;59065;Hamm;Nordrhein-Westfalen</t>
  </si>
  <si>
    <t>DE0642</t>
  </si>
  <si>
    <t>Das Schloss</t>
  </si>
  <si>
    <t>SchloÃŸstraÃŸe 34-36</t>
  </si>
  <si>
    <t>SchloÃŸstraÃŸe 34-36;;12163;Berlin;Berlin West</t>
  </si>
  <si>
    <t>DE0647</t>
  </si>
  <si>
    <t>Olympia-Einkaufszentrum MÃ¼nchen</t>
  </si>
  <si>
    <t>DE0654</t>
  </si>
  <si>
    <t>Lange StraÃŸe 54</t>
  </si>
  <si>
    <t>Cloppenburg</t>
  </si>
  <si>
    <t>Lange StraÃŸe 54;;49661;Cloppenburg;Niedersachsen</t>
  </si>
  <si>
    <t>DE0655</t>
  </si>
  <si>
    <t>Kirchgasse 23</t>
  </si>
  <si>
    <t>Kirchgasse 23;;65185;Wiesbaden;Hessen</t>
  </si>
  <si>
    <t>DE0656</t>
  </si>
  <si>
    <t>Schwanenmarkt</t>
  </si>
  <si>
    <t>Krefeld</t>
  </si>
  <si>
    <t>HochstraÃŸe 114</t>
  </si>
  <si>
    <t>HochstraÃŸe 114;;47798;Krefeld;Nordrhein-Westfalen</t>
  </si>
  <si>
    <t>DE0657</t>
  </si>
  <si>
    <t>FORUM</t>
  </si>
  <si>
    <t>Hans-BÃ¶ckler-Platz 1H</t>
  </si>
  <si>
    <t>Hans-BÃ¶ckler-Platz 1H;;45468;MÃ¼lheim;Nordrhein-Westfalen</t>
  </si>
  <si>
    <t>DE0666</t>
  </si>
  <si>
    <t>BahnhofstraÃŸe 53-57 SaarbrÃ¼cken</t>
  </si>
  <si>
    <t>BahnhofstraÃŸe 53-57</t>
  </si>
  <si>
    <t>BahnhofstraÃŸe 53-57;;66111;SaarbrÃ¼cken;Saarland</t>
  </si>
  <si>
    <t>DE0667</t>
  </si>
  <si>
    <t>Zeil 85-93</t>
  </si>
  <si>
    <t>Zeil 85-93;;60313;Frankfurt;Hessen</t>
  </si>
  <si>
    <t>DE0668</t>
  </si>
  <si>
    <t>Stadtzentrum Schenefeld</t>
  </si>
  <si>
    <t>Schenefeld</t>
  </si>
  <si>
    <t>Kiebitzweg 2</t>
  </si>
  <si>
    <t>Kiebitzweg 2;;22869;Schenefeld;Hamburg</t>
  </si>
  <si>
    <t>DE0669</t>
  </si>
  <si>
    <t>NordWestZentrum Frankfurt</t>
  </si>
  <si>
    <t>Limescorso 8</t>
  </si>
  <si>
    <t>Limescorso 8;;60439;Frankfurt;Hessen</t>
  </si>
  <si>
    <t>DE0670</t>
  </si>
  <si>
    <t>FischerstraÃŸe 19 Kempten</t>
  </si>
  <si>
    <t>Kempten</t>
  </si>
  <si>
    <t>FischerstraÃŸe 19</t>
  </si>
  <si>
    <t>FischerstraÃŸe 19;;87435;Kempten;Bayern</t>
  </si>
  <si>
    <t>DE0671</t>
  </si>
  <si>
    <t>Brandenburger StraÃŸe 21</t>
  </si>
  <si>
    <t>Potsdam</t>
  </si>
  <si>
    <t>Brandenburger StraÃŸe 21;;14467;Potsdam;Brandenburg</t>
  </si>
  <si>
    <t>DE0672</t>
  </si>
  <si>
    <t>Mercado Altona-Ottensen Hamburg</t>
  </si>
  <si>
    <t>Ottenser HauptstraÃŸe 10</t>
  </si>
  <si>
    <t>Ottenser HauptstraÃŸe 10;;22765;Hamburg;Hamburg</t>
  </si>
  <si>
    <t>DE0673</t>
  </si>
  <si>
    <t>PoststraÃŸe 21</t>
  </si>
  <si>
    <t>PoststraÃŸe 21;;53111;Bonn;Nordrhein-Westfalen</t>
  </si>
  <si>
    <t>DE0674</t>
  </si>
  <si>
    <t>FriedrichstraÃŸe 200</t>
  </si>
  <si>
    <t>Velbert</t>
  </si>
  <si>
    <t>FriedrichstraÃŸe 200;;42551;Velbert;Nordrhein-Westfalen</t>
  </si>
  <si>
    <t>DE0678</t>
  </si>
  <si>
    <t>WesternstraÃŸe 31-33</t>
  </si>
  <si>
    <t>Paderborn</t>
  </si>
  <si>
    <t>WesternstraÃŸe 31-33;;33098;Paderborn;Nordrhein-Westfalen</t>
  </si>
  <si>
    <t>DE0683</t>
  </si>
  <si>
    <t>Rathaus Center Dessau</t>
  </si>
  <si>
    <t>Dessau</t>
  </si>
  <si>
    <t>KavalierstraÃŸe 49</t>
  </si>
  <si>
    <t>KavalierstraÃŸe 49;;06844;Dessau;Sachsen-Anhalt</t>
  </si>
  <si>
    <t>DE0684</t>
  </si>
  <si>
    <t>Prager StraÃŸe 10 Dresden</t>
  </si>
  <si>
    <t>Prager StraÃŸe 10</t>
  </si>
  <si>
    <t>Prager StraÃŸe 10;;01069;Dresden;Sachsen</t>
  </si>
  <si>
    <t>DE0687</t>
  </si>
  <si>
    <t>Ritterhaus Halle</t>
  </si>
  <si>
    <t>Halle/Saale</t>
  </si>
  <si>
    <t>Leipziger StraÃŸe 87-92</t>
  </si>
  <si>
    <t>Leipziger StraÃŸe 87-92;;06108;Halle/Saale;Sachsen-Anhalt</t>
  </si>
  <si>
    <t>DE0688</t>
  </si>
  <si>
    <t>Am Brand 31 Mainz</t>
  </si>
  <si>
    <t>Mainz</t>
  </si>
  <si>
    <t>Am Brand 31</t>
  </si>
  <si>
    <t>Am Brand 31;;55116;Mainz;Rheinland-Pfalz</t>
  </si>
  <si>
    <t>DE0690</t>
  </si>
  <si>
    <t>WilhelmstraÃŸe 18-20 Reutlingen</t>
  </si>
  <si>
    <t>Reutlingen</t>
  </si>
  <si>
    <t>WilhelmstraÃŸe 18-20</t>
  </si>
  <si>
    <t>WilhelmstraÃŸe 18-20;;72764;Reutlingen;Baden-WÃ¼rttemberg</t>
  </si>
  <si>
    <t>DE0692</t>
  </si>
  <si>
    <t>Weserpark</t>
  </si>
  <si>
    <t>Hans-Bredow-StraÃŸe 19</t>
  </si>
  <si>
    <t>Hans-Bredow-StraÃŸe 19;;28307;Bremen;Bremen</t>
  </si>
  <si>
    <t>DE0694</t>
  </si>
  <si>
    <t>KÃ¶nigstraÃŸe 14 Stuttgart</t>
  </si>
  <si>
    <t>KÃ¶nigstraÃŸe 14</t>
  </si>
  <si>
    <t>KÃ¶nigstraÃŸe 14;;70173;Stuttgart;Baden-WÃ¼rttemberg</t>
  </si>
  <si>
    <t>DE0696</t>
  </si>
  <si>
    <t>KÃ¶lner Tor</t>
  </si>
  <si>
    <t>Siegen</t>
  </si>
  <si>
    <t>KÃ¶lner StraÃŸe 64</t>
  </si>
  <si>
    <t>KÃ¶lner StraÃŸe 64;;57072;Siegen;Nordrhein-Westfalen</t>
  </si>
  <si>
    <t>DE0698</t>
  </si>
  <si>
    <t>Holm 38-42 Flensburg</t>
  </si>
  <si>
    <t>Flensburg</t>
  </si>
  <si>
    <t>Holm 38-42</t>
  </si>
  <si>
    <t>Holm 38-42;;24937;Flensburg;Schleswig-Holstein</t>
  </si>
  <si>
    <t>DE0700</t>
  </si>
  <si>
    <t>Kaiser-Joseph-StraÃŸe 202 Freiburg</t>
  </si>
  <si>
    <t>Kaiser-Joseph-StraÃŸe 202</t>
  </si>
  <si>
    <t>Kaiser-Joseph-StraÃŸe 202;;79098;Freiburg;Baden-WÃ¼rttemberg</t>
  </si>
  <si>
    <t>DE0701</t>
  </si>
  <si>
    <t>HÃ¼rth Park</t>
  </si>
  <si>
    <t>HÃ¼rth</t>
  </si>
  <si>
    <t>TheresienhÃ¶he 4</t>
  </si>
  <si>
    <t>TheresienhÃ¶he 4;;50354;HÃ¼rth;Nordrhein-Westfalen</t>
  </si>
  <si>
    <t>DE0704</t>
  </si>
  <si>
    <t>Stern-Center 1-10</t>
  </si>
  <si>
    <t>Stern-Center 1-10;;14480;Potsdam;Brandenburg</t>
  </si>
  <si>
    <t>DE0707</t>
  </si>
  <si>
    <t>EmsstraÃŸe 18-22 Rheine</t>
  </si>
  <si>
    <t>Rheine</t>
  </si>
  <si>
    <t>EmsstraÃŸe 18-22</t>
  </si>
  <si>
    <t>EmsstraÃŸe 18-22;;48431;Rheine;Nordrhein-Westfalen</t>
  </si>
  <si>
    <t>DE0708</t>
  </si>
  <si>
    <t>DarmstÃ¤dter Hof Centrum</t>
  </si>
  <si>
    <t>Heidelberg</t>
  </si>
  <si>
    <t>HauptstraÃŸe 12</t>
  </si>
  <si>
    <t>HauptstraÃŸe 12;;69117;Heidelberg;Baden-WÃ¼rttemberg</t>
  </si>
  <si>
    <t>DE0709</t>
  </si>
  <si>
    <t>Westenhellweg 11-13</t>
  </si>
  <si>
    <t>Westenhellweg 11-13;;44137;Dortmund;Nordrhein-Westfalen</t>
  </si>
  <si>
    <t>DE0711</t>
  </si>
  <si>
    <t>StraÃŸburg-Passage GÃ¶rlitz</t>
  </si>
  <si>
    <t>GÃ¶rlitz</t>
  </si>
  <si>
    <t>JakobstraÃŸe 34</t>
  </si>
  <si>
    <t>JakobstraÃŸe 34;;02826;GÃ¶rlitz;Sachsen</t>
  </si>
  <si>
    <t>DE0713</t>
  </si>
  <si>
    <t>KurfÃ¼rstendamm 237</t>
  </si>
  <si>
    <t>KurfÃ¼rstendamm 237;;10719;Berlin;Berlin West</t>
  </si>
  <si>
    <t>DE0714</t>
  </si>
  <si>
    <t>KaiserstraÃŸe 90 Karlsruhe</t>
  </si>
  <si>
    <t>KaiserstraÃŸe 90</t>
  </si>
  <si>
    <t>KaiserstraÃŸe 90;;76133;Karlsruhe;Baden-WÃ¼rttemberg</t>
  </si>
  <si>
    <t>DE0717</t>
  </si>
  <si>
    <t>Erlangen Arcaden</t>
  </si>
  <si>
    <t>Erlangen</t>
  </si>
  <si>
    <t>NÃ¼rnberger StraÃŸe 7</t>
  </si>
  <si>
    <t>NÃ¼rnberger StraÃŸe 7;;91052;Erlangen;Bayern</t>
  </si>
  <si>
    <t>DE0719</t>
  </si>
  <si>
    <t>NordseePassage</t>
  </si>
  <si>
    <t>Wilhelmshaven</t>
  </si>
  <si>
    <t>BahnhofsstraÃŸe 10</t>
  </si>
  <si>
    <t>BahnhofsstraÃŸe 10;;26382;Wilhelmshaven;Niedersachsen</t>
  </si>
  <si>
    <t>DE0720</t>
  </si>
  <si>
    <t>Gesundbrunnen-Center</t>
  </si>
  <si>
    <t>BadstraÃŸe 4</t>
  </si>
  <si>
    <t>BadstraÃŸe 4;;13357;Berlin;Berlin West</t>
  </si>
  <si>
    <t>DE0722</t>
  </si>
  <si>
    <t>Forum KÃ¶penick</t>
  </si>
  <si>
    <t>BahnhofstraÃŸe 33-38</t>
  </si>
  <si>
    <t>BahnhofstraÃŸe 33-38;;12555;Berlin;Berlin Ost</t>
  </si>
  <si>
    <t>DE0723</t>
  </si>
  <si>
    <t>Marienplatz 5 Schwerin</t>
  </si>
  <si>
    <t>Schwerin</t>
  </si>
  <si>
    <t>Marienplatz 5</t>
  </si>
  <si>
    <t>Marienplatz 5;;19053;Schwerin;Mecklenburg-Vorpommern</t>
  </si>
  <si>
    <t>DE0724</t>
  </si>
  <si>
    <t>MÃ¼nchener StraÃŸe 22-24 Rosenheim</t>
  </si>
  <si>
    <t>Rosenheim</t>
  </si>
  <si>
    <t>MÃ¼nchener StraÃŸe 22-24</t>
  </si>
  <si>
    <t>MÃ¼nchener StraÃŸe 22-24;;83022;Rosenheim;Bayern</t>
  </si>
  <si>
    <t>DE0725</t>
  </si>
  <si>
    <t>E1, 1 Mannheim</t>
  </si>
  <si>
    <t>E1, 1</t>
  </si>
  <si>
    <t>E1, 1;;68161;Mannheim;Baden-WÃ¼rttemberg</t>
  </si>
  <si>
    <t>DE0727</t>
  </si>
  <si>
    <t>ThÃ¼ringen-Park</t>
  </si>
  <si>
    <t>NordhÃ¤user StraÃŸe 73t</t>
  </si>
  <si>
    <t>NordhÃ¤user StraÃŸe 73t;;99091;Erfurt;ThÃ¼ringen</t>
  </si>
  <si>
    <t>DE0728</t>
  </si>
  <si>
    <t>Rotmain-Center</t>
  </si>
  <si>
    <t>Bayreuth</t>
  </si>
  <si>
    <t>Hohenzollernring 58</t>
  </si>
  <si>
    <t>Hohenzollernring 58;;95444;Bayreuth;Bayern</t>
  </si>
  <si>
    <t>DE0730</t>
  </si>
  <si>
    <t>Zwickau Arcaden</t>
  </si>
  <si>
    <t>Innere Plauensche StraÃŸe 4</t>
  </si>
  <si>
    <t>Innere Plauensche StraÃŸe 4;;08056;Zwickau;Sachsen</t>
  </si>
  <si>
    <t>DE0731</t>
  </si>
  <si>
    <t>Hohe StraÃŸe 113-115</t>
  </si>
  <si>
    <t>Hohe StraÃŸe 113-115;;50667;KÃ¶ln;Nordrhein-Westfalen</t>
  </si>
  <si>
    <t>DE0733</t>
  </si>
  <si>
    <t>SchÃ¶nbornstraÃŸe 8 WÃ¼rzburg</t>
  </si>
  <si>
    <t>WÃ¼rzburg</t>
  </si>
  <si>
    <t>SchÃ¶nbornstraÃŸe 8</t>
  </si>
  <si>
    <t>SchÃ¶nbornstraÃŸe 8;;97070;WÃ¼rzburg;Bayern</t>
  </si>
  <si>
    <t>DE0734</t>
  </si>
  <si>
    <t>Luisencenter</t>
  </si>
  <si>
    <t>Darmstadt</t>
  </si>
  <si>
    <t>Luisenplatz 5</t>
  </si>
  <si>
    <t>Luisencenter;Luisenplatz 5;64283;Darmstadt</t>
  </si>
  <si>
    <t>DE0738</t>
  </si>
  <si>
    <t>Allee Center Magdeburg</t>
  </si>
  <si>
    <t>Magdeburg</t>
  </si>
  <si>
    <t>Ernst-Reuter-Allee 11</t>
  </si>
  <si>
    <t>Ernst-Reuter-Allee 11;;39104;Magdeburg;Sachsen-Anhalt</t>
  </si>
  <si>
    <t>DE0740</t>
  </si>
  <si>
    <t>KaufingerstraÃŸe 18</t>
  </si>
  <si>
    <t>KaufingerstraÃŸe 18;;80331;MÃ¼nchen;Bayern</t>
  </si>
  <si>
    <t>DE0745</t>
  </si>
  <si>
    <t>Werre Park</t>
  </si>
  <si>
    <t>Bad Oeynhausen</t>
  </si>
  <si>
    <t>Mindener StraÃŸe 22</t>
  </si>
  <si>
    <t>Mindener StraÃŸe 22;;32547;Bad Oeyenhausen;Nordrhein-Westfalen</t>
  </si>
  <si>
    <t>DE0746</t>
  </si>
  <si>
    <t>Blautal-Center</t>
  </si>
  <si>
    <t>Blaubeurer StraÃŸe 95</t>
  </si>
  <si>
    <t>Blaubeurer StraÃŸe 95;;89077;Ulm;Baden-WÃ¼rttemberg</t>
  </si>
  <si>
    <t>DE0747</t>
  </si>
  <si>
    <t>Anger 62 Erfurt</t>
  </si>
  <si>
    <t>Anger 62</t>
  </si>
  <si>
    <t>Anger 62;;99084;Erfurt;ThÃ¼ringen</t>
  </si>
  <si>
    <t>DE0748</t>
  </si>
  <si>
    <t>FackelstraÃŸe 1 Kaiserslautern</t>
  </si>
  <si>
    <t>Kaiserslautern</t>
  </si>
  <si>
    <t>FackelstraÃŸe 1</t>
  </si>
  <si>
    <t>FackelstraÃŸe 1;;67655;Kaiserslautern;Rheinland-Pfalz</t>
  </si>
  <si>
    <t>DE0754</t>
  </si>
  <si>
    <t>BahnhofstraÃŸe 10 Ulm</t>
  </si>
  <si>
    <t>BahnhofstraÃŸe 10</t>
  </si>
  <si>
    <t>BahnhofstraÃŸe 10;;89073;Ulm;Baden-WÃ¼rttemberg</t>
  </si>
  <si>
    <t>DE0762</t>
  </si>
  <si>
    <t>Hallen am Borsigturm</t>
  </si>
  <si>
    <t>Am Borsigturm 2</t>
  </si>
  <si>
    <t>Am Borsigturm 2;;13507;Berlin;Berlin West</t>
  </si>
  <si>
    <t>DE0764</t>
  </si>
  <si>
    <t>LÃ¶bderstraÃŸe 4 Jena</t>
  </si>
  <si>
    <t>Jena</t>
  </si>
  <si>
    <t>LÃ¶bderstraÃŸe 4</t>
  </si>
  <si>
    <t>LÃ¶bderstraÃŸe 4;;07743;Jena;ThÃ¼ringen</t>
  </si>
  <si>
    <t>DE0765</t>
  </si>
  <si>
    <t>SchÃ¶nhauser Allee Arcaden</t>
  </si>
  <si>
    <t>SchÃ¶nhauser Allee 80</t>
  </si>
  <si>
    <t>SchÃ¶nhauser Allee 80;;10439;Berlin;Berlin Ost</t>
  </si>
  <si>
    <t>DE0767</t>
  </si>
  <si>
    <t>Galerie Roter Turm Chemnitz</t>
  </si>
  <si>
    <t>Neumarkt 2</t>
  </si>
  <si>
    <t>Neumarkt 2;;09111;Chemnitz;Sachsen</t>
  </si>
  <si>
    <t>DE0768</t>
  </si>
  <si>
    <t>LudgeristraÃŸe 11-17</t>
  </si>
  <si>
    <t>MÃ¼nster</t>
  </si>
  <si>
    <t>LudgeristraÃŸe 11-17;;48143;MÃ¼nster;Nordrhein-Westfalen</t>
  </si>
  <si>
    <t>DE0771</t>
  </si>
  <si>
    <t>Moritzplatz 6</t>
  </si>
  <si>
    <t>Moritzplatz 6;;86150;Augsburg;Bayern</t>
  </si>
  <si>
    <t>DE0772</t>
  </si>
  <si>
    <t>OssenreyerstraÃŸe 21-22</t>
  </si>
  <si>
    <t>Stralsund</t>
  </si>
  <si>
    <t>OssenreyerstraÃŸe 21-22;;18439;Stralsund;Mecklenburg-Vorpommern</t>
  </si>
  <si>
    <t>DE0773</t>
  </si>
  <si>
    <t>Neutorplatz 2</t>
  </si>
  <si>
    <t>Bocholt</t>
  </si>
  <si>
    <t>Neutorplatz 2;;46399;Bocholt;Nordrhein-Westfalen</t>
  </si>
  <si>
    <t>DE0776</t>
  </si>
  <si>
    <t>Seltersweg 19 GieÃŸen</t>
  </si>
  <si>
    <t>Seltersweg 19</t>
  </si>
  <si>
    <t>Seltersweg 19;;35390;GieÃŸen;Hessen</t>
  </si>
  <si>
    <t>DE0778</t>
  </si>
  <si>
    <t>Postplatz 2 Plauen</t>
  </si>
  <si>
    <t>Plauen</t>
  </si>
  <si>
    <t>Postplatz 2</t>
  </si>
  <si>
    <t>Postplatz 2;;08523;Plauen;Sachsen</t>
  </si>
  <si>
    <t>DE0779</t>
  </si>
  <si>
    <t>Spitalgasse 16 Coburg</t>
  </si>
  <si>
    <t>Coburg</t>
  </si>
  <si>
    <t>Spitalgasse 16</t>
  </si>
  <si>
    <t>Spitalgasse 16;;96450;Coburg;Bayern</t>
  </si>
  <si>
    <t>DE0780</t>
  </si>
  <si>
    <t>Ludwigsplatz 27</t>
  </si>
  <si>
    <t>Straubing</t>
  </si>
  <si>
    <t>Ludwigsplatz 27;;94315;Straubing;Bayern</t>
  </si>
  <si>
    <t>DE0781</t>
  </si>
  <si>
    <t>Martin-Luther-Platz 9-11 Ansbach</t>
  </si>
  <si>
    <t>Ansbach</t>
  </si>
  <si>
    <t>Martin-Luther-Platz 9-11</t>
  </si>
  <si>
    <t>Martin-Luther-Platz 9-11;;91522;Ansbach;Bayern</t>
  </si>
  <si>
    <t>DE0782</t>
  </si>
  <si>
    <t>LennÃ©-Passagen</t>
  </si>
  <si>
    <t>Frankfurt/Oder</t>
  </si>
  <si>
    <t>Karl-Marx-StraÃŸe 194</t>
  </si>
  <si>
    <t>Karl-Marx-StraÃŸe 194;;15230;Frankfurt/Oder;Brandenburg</t>
  </si>
  <si>
    <t>DE0784</t>
  </si>
  <si>
    <t>Neue StraÃŸe 25 SchwÃ¤bisch Hall</t>
  </si>
  <si>
    <t>SchwÃ¤bisch Hall</t>
  </si>
  <si>
    <t>Neue StraÃŸe 25</t>
  </si>
  <si>
    <t>Neue StraÃŸe 25;;74523;SchwÃ¤bisch Hall;Baden-WÃ¼rttemberg</t>
  </si>
  <si>
    <t>DE0785</t>
  </si>
  <si>
    <t>GroÃŸe BÃ¤ckerstraÃŸe 8</t>
  </si>
  <si>
    <t>LÃ¼neburg</t>
  </si>
  <si>
    <t>GroÃŸe BÃ¤ckerstraÃŸe 8;;21335;LÃ¼neburg;Niedersachsen</t>
  </si>
  <si>
    <t>DE0787</t>
  </si>
  <si>
    <t>MittelstraÃŸe 21</t>
  </si>
  <si>
    <t>Neuwied</t>
  </si>
  <si>
    <t>MittelstraÃŸe 21;;56564;Neuwied;Rheinland-Pfalz</t>
  </si>
  <si>
    <t>DE0788</t>
  </si>
  <si>
    <t>GrÃ¼ner Markt 24 Bamberg</t>
  </si>
  <si>
    <t>Bamberg</t>
  </si>
  <si>
    <t>GrÃ¼ner Markt 24</t>
  </si>
  <si>
    <t>GrÃ¼ner Markt 24;;96047;Bamberg;Bayern</t>
  </si>
  <si>
    <t>DE0789</t>
  </si>
  <si>
    <t>LAGO Konstanz</t>
  </si>
  <si>
    <t>BodanstraÃŸe 1</t>
  </si>
  <si>
    <t>BodanstraÃŸe 1;;78462;Konstanz;Baden-WÃ¼rttemberg</t>
  </si>
  <si>
    <t>DE0790</t>
  </si>
  <si>
    <t>Spandau Arcaden</t>
  </si>
  <si>
    <t>KlosterstraÃŸe 3</t>
  </si>
  <si>
    <t>KlosterstraÃŸe 3;;13581;Berlin;Berlin West</t>
  </si>
  <si>
    <t>DE0791</t>
  </si>
  <si>
    <t>Hohe StraÃŸe 57</t>
  </si>
  <si>
    <t>Wesel</t>
  </si>
  <si>
    <t>Hohe StraÃŸe 57;;46483;Wesel;Nordrhein-Westfalen</t>
  </si>
  <si>
    <t>DE0792</t>
  </si>
  <si>
    <t>Marktplatz 21 Aalen</t>
  </si>
  <si>
    <t>Aalen</t>
  </si>
  <si>
    <t>Marktplatz 21</t>
  </si>
  <si>
    <t>Marktplatz 21;;73430;Aalen;Baden-WÃ¼rttemberg</t>
  </si>
  <si>
    <t>DE0793</t>
  </si>
  <si>
    <t>Marler Stern</t>
  </si>
  <si>
    <t>Marl</t>
  </si>
  <si>
    <t>BergstraÃŸe 228</t>
  </si>
  <si>
    <t>BergstraÃŸe 228;;45768;Marl;Nordrhein-Westfalen</t>
  </si>
  <si>
    <t>DE0794</t>
  </si>
  <si>
    <t>DAS ES!</t>
  </si>
  <si>
    <t>Esslingen</t>
  </si>
  <si>
    <t>BahnhofstraÃŸe 2</t>
  </si>
  <si>
    <t>BahnhofstraÃŸe 2;;73728;Esslingen;Baden-WÃ¼rttemberg</t>
  </si>
  <si>
    <t>DE0797</t>
  </si>
  <si>
    <t>PorschestraÃŸe 68</t>
  </si>
  <si>
    <t>Wolfsburg</t>
  </si>
  <si>
    <t>PorschestraÃŸe 68;;38440;Wolfsburg;Niedersachsen</t>
  </si>
  <si>
    <t>DE0798</t>
  </si>
  <si>
    <t>KarolinenstraÃŸe 45 NÃ¼rnberg</t>
  </si>
  <si>
    <t>KarolinenstraÃŸe 45</t>
  </si>
  <si>
    <t>KarolinenstraÃŸe 45;;90402;NÃ¼rnberg;Bayern</t>
  </si>
  <si>
    <t>DE0799</t>
  </si>
  <si>
    <t>Obere MarktstraÃŸe 40</t>
  </si>
  <si>
    <t>Neumarkt</t>
  </si>
  <si>
    <t>Obere MarktstraÃŸe 40;;92318;Neumarkt</t>
  </si>
  <si>
    <t>DK0501</t>
  </si>
  <si>
    <t>KÃ¸bmagergade 36</t>
  </si>
  <si>
    <t>Copenhagen K</t>
  </si>
  <si>
    <t>Denmark</t>
  </si>
  <si>
    <t>DK</t>
  </si>
  <si>
    <t>KÃ¸bmagergade 36;;1150;KÃ¸benhavn K</t>
  </si>
  <si>
    <t>DK0502</t>
  </si>
  <si>
    <t>Fields</t>
  </si>
  <si>
    <t>Copenhagen S</t>
  </si>
  <si>
    <t>Arne Jacobsens AllÃ© 12</t>
  </si>
  <si>
    <t>Arne Jacobsens AllÃ© 12;;2300;KÃ¸benhavn S</t>
  </si>
  <si>
    <t>DK0700</t>
  </si>
  <si>
    <t>Bryggen</t>
  </si>
  <si>
    <t>Vejle</t>
  </si>
  <si>
    <t>SÃ¸ndertorv 2</t>
  </si>
  <si>
    <t>SÃ¸ndertorv 2;;7100;Vejle</t>
  </si>
  <si>
    <t>DK0701</t>
  </si>
  <si>
    <t>RÃ¥dhusstrÃ¦de 5C</t>
  </si>
  <si>
    <t>KÃ¸ge</t>
  </si>
  <si>
    <t>RÃ¥dhusstrÃ¦de 5C;;4600;KÃ¸ge</t>
  </si>
  <si>
    <t>DK0703</t>
  </si>
  <si>
    <t>Broen</t>
  </si>
  <si>
    <t>Esbjerg</t>
  </si>
  <si>
    <t>Exnersgade 18, st. 14</t>
  </si>
  <si>
    <t>Exnersgade 18, st. 14;;6700;Esbjerg</t>
  </si>
  <si>
    <t>DK0705</t>
  </si>
  <si>
    <t>Metropol</t>
  </si>
  <si>
    <t>HjÃ¸rring</t>
  </si>
  <si>
    <t>Ã˜stergade 30</t>
  </si>
  <si>
    <t>Ã˜stergade 30;;9800;HjÃ¸rring</t>
  </si>
  <si>
    <t>DK0706</t>
  </si>
  <si>
    <t>Galleriet</t>
  </si>
  <si>
    <t>Slagelse</t>
  </si>
  <si>
    <t>11:00-15:00</t>
  </si>
  <si>
    <t>Nytorv 9L</t>
  </si>
  <si>
    <t>Nytorv 9L;;4200;Slagelse</t>
  </si>
  <si>
    <t>DK0708</t>
  </si>
  <si>
    <t>Herlev hovedgade 29 BIG</t>
  </si>
  <si>
    <t>Herlev</t>
  </si>
  <si>
    <t>Herlev Hovedgade 29</t>
  </si>
  <si>
    <t>Herlev Hovedgade 29;;2730;Herlev</t>
  </si>
  <si>
    <t>DK0709</t>
  </si>
  <si>
    <t>Friis Aalborg City Center</t>
  </si>
  <si>
    <t>Aalborg</t>
  </si>
  <si>
    <t>Nytorv 27</t>
  </si>
  <si>
    <t>Nytorv 27;;9000;Aalborg</t>
  </si>
  <si>
    <t>DK0712</t>
  </si>
  <si>
    <t>Esbjerg Storcenter, LejemÃ¥l 301</t>
  </si>
  <si>
    <t>Gl. Vardevej 230</t>
  </si>
  <si>
    <t>Gl. Vardevej 230;;6715;Esbjerg N</t>
  </si>
  <si>
    <t>DK0713</t>
  </si>
  <si>
    <t>Jernbanegade 23B</t>
  </si>
  <si>
    <t>NykÃ¸bing F</t>
  </si>
  <si>
    <t>10:00-14:00</t>
  </si>
  <si>
    <t>Jernbanegade 23B;;4800;NykÃ¸bing F</t>
  </si>
  <si>
    <t>DK0717</t>
  </si>
  <si>
    <t>John F. Kennedys Plads</t>
  </si>
  <si>
    <t>11:00-16:00</t>
  </si>
  <si>
    <t>John F. Kennedys Plads;;9000;Aalborg</t>
  </si>
  <si>
    <t>DK0720</t>
  </si>
  <si>
    <t>Nytorv 1</t>
  </si>
  <si>
    <t>Middelfart</t>
  </si>
  <si>
    <t>Nytorv 1;;5500;Middelfart</t>
  </si>
  <si>
    <t>DK0723</t>
  </si>
  <si>
    <t>SlotsArkaderne, LejemÃ¥l 1106</t>
  </si>
  <si>
    <t>HillerÃ¸d</t>
  </si>
  <si>
    <t>SlotsArkaderne, LejemÃ¥l 1106;;3400;HillerÃ¸d</t>
  </si>
  <si>
    <t>DK0780</t>
  </si>
  <si>
    <t>Vestergade 25</t>
  </si>
  <si>
    <t>TÃ¸nder</t>
  </si>
  <si>
    <t>Vestergade 25;;6270;TÃ¸nder</t>
  </si>
  <si>
    <t>DK0781</t>
  </si>
  <si>
    <t>SÃ¸ndergade 27</t>
  </si>
  <si>
    <t>Nakskov</t>
  </si>
  <si>
    <t>09:30-14:00</t>
  </si>
  <si>
    <t>SÃ¸ndergade 27;;4900;Nakskov</t>
  </si>
  <si>
    <t>DK0784</t>
  </si>
  <si>
    <t>Kronen</t>
  </si>
  <si>
    <t>VanlÃ¸se</t>
  </si>
  <si>
    <t>VanlÃ¸se Torv 1,1. dÃ¸r 243</t>
  </si>
  <si>
    <t>VanlÃ¸se Torv 1,1. dÃ¸r 243;;2720;VanlÃ¸se</t>
  </si>
  <si>
    <t>DK0786</t>
  </si>
  <si>
    <t>NÃ¸rregade 3</t>
  </si>
  <si>
    <t>Nyborg</t>
  </si>
  <si>
    <t>NÃ¸rregade 3;;5800;Nyborg</t>
  </si>
  <si>
    <t>DK0787</t>
  </si>
  <si>
    <t>BorgergÃ¥rden</t>
  </si>
  <si>
    <t>HolbÃ¦k</t>
  </si>
  <si>
    <t>10:00-15:00</t>
  </si>
  <si>
    <t>Ahlgade 61-63</t>
  </si>
  <si>
    <t>Ahlgade 61-63;;4300;HolbÃ¦k</t>
  </si>
  <si>
    <t>DK0790</t>
  </si>
  <si>
    <t>Kordilgade 28</t>
  </si>
  <si>
    <t>Kalundborg</t>
  </si>
  <si>
    <t>Kordilgade 28;;4400;Kalundborg</t>
  </si>
  <si>
    <t>DK0792</t>
  </si>
  <si>
    <t>Ballerup-Centret 2, st. 37</t>
  </si>
  <si>
    <t>Ballerup</t>
  </si>
  <si>
    <t>Ballerup-Centret 2, st. 37;;2750;Ballerup</t>
  </si>
  <si>
    <t>DK0794</t>
  </si>
  <si>
    <t>NÃ¸rrebro Bycenter</t>
  </si>
  <si>
    <t>Copenhagen N</t>
  </si>
  <si>
    <t>Lygten 2</t>
  </si>
  <si>
    <t>Lygten 2;;2400;KÃ¸benhavn NV</t>
  </si>
  <si>
    <t>DK0795</t>
  </si>
  <si>
    <t>Sillebroen</t>
  </si>
  <si>
    <t>Frederikssund</t>
  </si>
  <si>
    <t>Nygade 1, st, - Butik 27</t>
  </si>
  <si>
    <t>Nygade 1, st, - Butik 27;;3600;Frederikssund</t>
  </si>
  <si>
    <t>DK0796</t>
  </si>
  <si>
    <t>Waves</t>
  </si>
  <si>
    <t>Hundige</t>
  </si>
  <si>
    <t>Over bÃ¸lgen 17B</t>
  </si>
  <si>
    <t>Over bÃ¸lgen 17B;;2670;Greve</t>
  </si>
  <si>
    <t>DK0797</t>
  </si>
  <si>
    <t>Spinderiet</t>
  </si>
  <si>
    <t>Valby</t>
  </si>
  <si>
    <t>Valbytorvene 10</t>
  </si>
  <si>
    <t>Valbytorvene 10;;2500;Valby</t>
  </si>
  <si>
    <t>DK0798</t>
  </si>
  <si>
    <t>Klosterparks Alle 10</t>
  </si>
  <si>
    <t>Ringsted</t>
  </si>
  <si>
    <t>Klosterparks Alle 10;;4100;Ringsted</t>
  </si>
  <si>
    <t>DK0799</t>
  </si>
  <si>
    <t>Waterfront</t>
  </si>
  <si>
    <t>Hellerup</t>
  </si>
  <si>
    <t>Phillip Heymans Alle 17</t>
  </si>
  <si>
    <t>Phillip Heymans Alle 17;;2900;Hellerup</t>
  </si>
  <si>
    <t>DK0800</t>
  </si>
  <si>
    <t>Snellemarkcentret</t>
  </si>
  <si>
    <t>RÃ¶nne</t>
  </si>
  <si>
    <t>Snellemark 17</t>
  </si>
  <si>
    <t>Snellemark 17;;3700;RÃ¸nne</t>
  </si>
  <si>
    <t>DK0801</t>
  </si>
  <si>
    <t>FieldÂ´s</t>
  </si>
  <si>
    <t>Arne Jacobsens AllÃ© 12;;2300;Copenhagen S</t>
  </si>
  <si>
    <t>DK0802</t>
  </si>
  <si>
    <t>Amagercentret</t>
  </si>
  <si>
    <t>Reberbanegade 3</t>
  </si>
  <si>
    <t>Reberbanegade 3;;2300;KÃ¸benhavn S</t>
  </si>
  <si>
    <t>DK0803</t>
  </si>
  <si>
    <t>RoÂ´s Torv 1, Store 10</t>
  </si>
  <si>
    <t>Roskilde</t>
  </si>
  <si>
    <t>KÃ¸benhavnsvej 29 - 39</t>
  </si>
  <si>
    <t>KÃ¸benhavnsvej 29 - 39;;4000;Roskilde</t>
  </si>
  <si>
    <t>DK0804</t>
  </si>
  <si>
    <t>Frederiksberg Centret</t>
  </si>
  <si>
    <t>Frederiksberg</t>
  </si>
  <si>
    <t>Falkoner AllÃ© 21</t>
  </si>
  <si>
    <t>Falkoner AllÃ© 21;;2000;Frederiksberg</t>
  </si>
  <si>
    <t>DK0806</t>
  </si>
  <si>
    <t>Glostrup Shopping Center 34</t>
  </si>
  <si>
    <t>Glostrup</t>
  </si>
  <si>
    <t>Glostrup Shopping Center 34;;2600;Glostrup</t>
  </si>
  <si>
    <t>DK0808</t>
  </si>
  <si>
    <t>RÃ¸dovre Centrum</t>
  </si>
  <si>
    <t>RÃ¸dovre</t>
  </si>
  <si>
    <t>RÃ¸dovre Centrum 1, Indgang C, 1. sal, nr. 212</t>
  </si>
  <si>
    <t>RÃ¸dovre Centrum 1, Indgang C, 1. sal, nr. 212;;2610;RÃ¸dovre</t>
  </si>
  <si>
    <t>DK0809</t>
  </si>
  <si>
    <t>Fisketorvet Shopping Center</t>
  </si>
  <si>
    <t>Copenhagen V</t>
  </si>
  <si>
    <t>Kalvebod Brygge 59</t>
  </si>
  <si>
    <t>Kalvebod Brygge 59;;1561;Copenhagen V</t>
  </si>
  <si>
    <t>DK0811</t>
  </si>
  <si>
    <t>StrÃ¸get</t>
  </si>
  <si>
    <t>Amagertorv 23</t>
  </si>
  <si>
    <t>Amagertorv 23;;1160;Copenhagen K</t>
  </si>
  <si>
    <t>DK0813</t>
  </si>
  <si>
    <t>City 2</t>
  </si>
  <si>
    <t>TÃ¥strup</t>
  </si>
  <si>
    <t>Cityringen 2. 316</t>
  </si>
  <si>
    <t>Cityringen 2. 316;;2630;TÃ¥strup</t>
  </si>
  <si>
    <t>DK0815</t>
  </si>
  <si>
    <t>Galleri K</t>
  </si>
  <si>
    <t>Ã˜stergade 32-34</t>
  </si>
  <si>
    <t>Ã˜stergade 32-34;;1100;Copenhagen K</t>
  </si>
  <si>
    <t>DK0816</t>
  </si>
  <si>
    <t>Hvidovre Stationscenter</t>
  </si>
  <si>
    <t>Hvidovre</t>
  </si>
  <si>
    <t>Laurits Olsens Vej 1, stue, dÃ¸r 7</t>
  </si>
  <si>
    <t>Laurits Olsens Vej 1, stue, dÃ¸r 7;;2650;Hvidovre</t>
  </si>
  <si>
    <t>DK0817</t>
  </si>
  <si>
    <t>StrÃ¸ghuset</t>
  </si>
  <si>
    <t>Lyngby</t>
  </si>
  <si>
    <t>Lyngby Storcenter 1, st.32</t>
  </si>
  <si>
    <t>Lyngby Storcenter 1, st.32;;2800;Lyngby</t>
  </si>
  <si>
    <t>DK0819</t>
  </si>
  <si>
    <t>IshÃ¸j Bycenter</t>
  </si>
  <si>
    <t>IshÃ¸j</t>
  </si>
  <si>
    <t>Ã˜stergade 2</t>
  </si>
  <si>
    <t>Ã˜stergade 2;;2635;IshÃ¸j</t>
  </si>
  <si>
    <t>DK0820</t>
  </si>
  <si>
    <t>HÃ¸rsholm Midtpunkt</t>
  </si>
  <si>
    <t>HÃ¸rsholm</t>
  </si>
  <si>
    <t>HÃ¸rsholm Midtpunkt;;2970;HÃ¸rsholm</t>
  </si>
  <si>
    <t>DK0825</t>
  </si>
  <si>
    <t>StÃ¼rups Plads 1</t>
  </si>
  <si>
    <t>HelsingÃ¸r</t>
  </si>
  <si>
    <t>StÃ¼rups Plads 1;;3000;HelsingÃ¸r</t>
  </si>
  <si>
    <t>DK0826</t>
  </si>
  <si>
    <t>Skomagergade 15-17</t>
  </si>
  <si>
    <t>Skomagergade 15-17;;4000;Roskilde</t>
  </si>
  <si>
    <t>DK0829</t>
  </si>
  <si>
    <t>NÃ¦stved Storcenter 3,67</t>
  </si>
  <si>
    <t>NÃ¦stved</t>
  </si>
  <si>
    <t>NÃ¦stved Storcenter 3,67;;4700;NÃ¦steved</t>
  </si>
  <si>
    <t>DK0832</t>
  </si>
  <si>
    <t>Bispensgade 19 - 21</t>
  </si>
  <si>
    <t>Bispensgade 19 - 21;;9000;Aalborg</t>
  </si>
  <si>
    <t>DK0838</t>
  </si>
  <si>
    <t>Bredgade 24</t>
  </si>
  <si>
    <t>Herning</t>
  </si>
  <si>
    <t>Bredgade 24;;7400;Herning</t>
  </si>
  <si>
    <t>DK0840</t>
  </si>
  <si>
    <t>Vestergade 41</t>
  </si>
  <si>
    <t>Odense C</t>
  </si>
  <si>
    <t>Vestergade 41;;5000;Odense C</t>
  </si>
  <si>
    <t>DK0844</t>
  </si>
  <si>
    <t>Storcenter Nord</t>
  </si>
  <si>
    <t>Ã…rhus N</t>
  </si>
  <si>
    <t>Finlandsgade 17, ST.124</t>
  </si>
  <si>
    <t>Finlandsgade 17, ST.124;;8200;Ã…rhus N</t>
  </si>
  <si>
    <t>DK0846</t>
  </si>
  <si>
    <t>Svendborg Bycenter</t>
  </si>
  <si>
    <t>Svendborg</t>
  </si>
  <si>
    <t>09:30-15:00</t>
  </si>
  <si>
    <t>Tinghusgade 1</t>
  </si>
  <si>
    <t>Tinghusgade 1;;5700;Svendborg</t>
  </si>
  <si>
    <t>DK0847</t>
  </si>
  <si>
    <t>Aalborg Storcenter</t>
  </si>
  <si>
    <t>Hobrovej 452</t>
  </si>
  <si>
    <t>Hobrovej 452;;9200;Aalborg</t>
  </si>
  <si>
    <t>DK0848</t>
  </si>
  <si>
    <t>SÃ¸nder Centret</t>
  </si>
  <si>
    <t>Skive</t>
  </si>
  <si>
    <t>Ã…gade 2</t>
  </si>
  <si>
    <t>Ã…gade 2;;7800;Skive</t>
  </si>
  <si>
    <t>DK0850</t>
  </si>
  <si>
    <t>Randers Storcenter</t>
  </si>
  <si>
    <t>Randers</t>
  </si>
  <si>
    <t>Merkurvej 55</t>
  </si>
  <si>
    <t>Merkurvej 55;;8900;Randers</t>
  </si>
  <si>
    <t>DK0851</t>
  </si>
  <si>
    <t>RosengÃ¥rdscentret 89</t>
  </si>
  <si>
    <t>Odense SÃ˜</t>
  </si>
  <si>
    <t>RosengÃ¥rdscentret 89;;5220;Odense SÃ˜</t>
  </si>
  <si>
    <t>DK0853</t>
  </si>
  <si>
    <t>St. Mathiasgade 29</t>
  </si>
  <si>
    <t>Viborg</t>
  </si>
  <si>
    <t>St. Mathiasgade 29;;8800;Viborg</t>
  </si>
  <si>
    <t>DK0857</t>
  </si>
  <si>
    <t>Bruuns Galleri</t>
  </si>
  <si>
    <t>Ã…rhus C</t>
  </si>
  <si>
    <t>MP Bruuns Gade 25</t>
  </si>
  <si>
    <t>MP Bruuns Gade 25;;8000;Ã…rhus C.</t>
  </si>
  <si>
    <t>DK0858</t>
  </si>
  <si>
    <t>City Vest</t>
  </si>
  <si>
    <t>Brabrand</t>
  </si>
  <si>
    <t>Gurunsvej 7, 1.276</t>
  </si>
  <si>
    <t>Gurunsvej 7, 1.276;;8220;Brabrand</t>
  </si>
  <si>
    <t>DK0859</t>
  </si>
  <si>
    <t>Colosseum</t>
  </si>
  <si>
    <t>Frederikshavn</t>
  </si>
  <si>
    <t>Danmarksgade 80 A</t>
  </si>
  <si>
    <t>Danmarksgade 80 A;;9900;Frederikshavn</t>
  </si>
  <si>
    <t>DK0860</t>
  </si>
  <si>
    <t>Bytorv Horsens</t>
  </si>
  <si>
    <t>Horsens</t>
  </si>
  <si>
    <t>SÃ¸ndergade 10</t>
  </si>
  <si>
    <t>SÃ¸ndergade 10;;8700;Horsens</t>
  </si>
  <si>
    <t>DK0861</t>
  </si>
  <si>
    <t>RÃ¥dhusstrÃ¦de 4</t>
  </si>
  <si>
    <t>RÃ¥dhusstrÃ¦de 4;;8900;Randers</t>
  </si>
  <si>
    <t>DK0862</t>
  </si>
  <si>
    <t>NÃ¸rregade 29a-29c</t>
  </si>
  <si>
    <t>NÃ¸rregade 29a-29c;;7100;Vejle</t>
  </si>
  <si>
    <t>DK0863</t>
  </si>
  <si>
    <t>Kolding storcenter</t>
  </si>
  <si>
    <t>Kolding</t>
  </si>
  <si>
    <t>Skovvangen 42</t>
  </si>
  <si>
    <t>Skovvangen 42;;6000;Kolding</t>
  </si>
  <si>
    <t>DK0864</t>
  </si>
  <si>
    <t>Storegade 4</t>
  </si>
  <si>
    <t>Haderslev</t>
  </si>
  <si>
    <t>Storegade 4;;6100;Haderslev</t>
  </si>
  <si>
    <t>DK0865</t>
  </si>
  <si>
    <t>Shoppen Vandmanden 5</t>
  </si>
  <si>
    <t>Shoppen Vandmanden 5, LejemÃ¥l 8</t>
  </si>
  <si>
    <t>Shoppen Vandmanden 5, LejemÃ¥l 8;;9200;Aalborg</t>
  </si>
  <si>
    <t>DK0866</t>
  </si>
  <si>
    <t>NÃ¸rreport centret</t>
  </si>
  <si>
    <t>Holstebro</t>
  </si>
  <si>
    <t>NÃ¸rregade 58</t>
  </si>
  <si>
    <t>NÃ¸rregade 58;;7500;Holstebro</t>
  </si>
  <si>
    <t>DK0868</t>
  </si>
  <si>
    <t>Thisted</t>
  </si>
  <si>
    <t>Storegade 4;;7700;Thisted</t>
  </si>
  <si>
    <t>DK0871</t>
  </si>
  <si>
    <t>Jyllandsgade 22</t>
  </si>
  <si>
    <t>Fredericia</t>
  </si>
  <si>
    <t>Jyllandsgade 22;;7000;Fredericia</t>
  </si>
  <si>
    <t>DK0872</t>
  </si>
  <si>
    <t>Torvet 11</t>
  </si>
  <si>
    <t>Silkeborg</t>
  </si>
  <si>
    <t>Torvet 11;;8600;Silkeborg</t>
  </si>
  <si>
    <t>DK0873</t>
  </si>
  <si>
    <t>Ramsherred 37-39</t>
  </si>
  <si>
    <t>Aabenraa</t>
  </si>
  <si>
    <t>Ramsherred 37-39;;6200;Aabenraa</t>
  </si>
  <si>
    <t>DK0875</t>
  </si>
  <si>
    <t>Herningcentret</t>
  </si>
  <si>
    <t>Merkurvej 1E, st.131</t>
  </si>
  <si>
    <t>Merkurvej 1E, st.131;;7400;Herning</t>
  </si>
  <si>
    <t>DK0876</t>
  </si>
  <si>
    <t>Borgen</t>
  </si>
  <si>
    <t>SÃ¸nderborg</t>
  </si>
  <si>
    <t>Kastanje AllÃ© 3, st., 1</t>
  </si>
  <si>
    <t>Kastanje AllÃ© 3, st., 1;;6400;SÃ¸nderborg</t>
  </si>
  <si>
    <t>DK0877</t>
  </si>
  <si>
    <t>Bloms Butikker 23</t>
  </si>
  <si>
    <t>Skanderborg</t>
  </si>
  <si>
    <t>Adelgade 61</t>
  </si>
  <si>
    <t>Adelgade 61;;8660;Skanderborg</t>
  </si>
  <si>
    <t>DK0879</t>
  </si>
  <si>
    <t>Skt. Clemenstorv 10</t>
  </si>
  <si>
    <t>Skt. Clemenstorv 10;;8000;Ã…rhus C</t>
  </si>
  <si>
    <t>EE0401</t>
  </si>
  <si>
    <t>Paldiski maantee 102</t>
  </si>
  <si>
    <t>Tallinn</t>
  </si>
  <si>
    <t>Estonia</t>
  </si>
  <si>
    <t>EE</t>
  </si>
  <si>
    <t>Paldiski maantee 102;;13522;Tallinn</t>
  </si>
  <si>
    <t>EE0402</t>
  </si>
  <si>
    <t>Narva Maantee 1</t>
  </si>
  <si>
    <t>Narva Maantee 1;;10111;Tallinn</t>
  </si>
  <si>
    <t>EE0403</t>
  </si>
  <si>
    <t>Endla str 45</t>
  </si>
  <si>
    <t>Endla str 45;;10615;Tallinn</t>
  </si>
  <si>
    <t>EE0404</t>
  </si>
  <si>
    <t>Suur-sÃµjamÃ¤e 4</t>
  </si>
  <si>
    <t>Suur-sÃµjamÃ¤e 4;;11415;Tallinn</t>
  </si>
  <si>
    <t>EE0405</t>
  </si>
  <si>
    <t>Aida 7</t>
  </si>
  <si>
    <t>PÃ¤rnu</t>
  </si>
  <si>
    <t>Aida 7;;80010;PÃ¤rnu</t>
  </si>
  <si>
    <t>EE0406</t>
  </si>
  <si>
    <t>Tallinna mnt. 41</t>
  </si>
  <si>
    <t>Narva</t>
  </si>
  <si>
    <t>Tallinna mnt. 41;;20605;Narva</t>
  </si>
  <si>
    <t>EE0407</t>
  </si>
  <si>
    <t>Kvartal</t>
  </si>
  <si>
    <t>Tartu</t>
  </si>
  <si>
    <t>Riia 2</t>
  </si>
  <si>
    <t>Kvartal;Riia 2;51004;Tartu</t>
  </si>
  <si>
    <t>EE0408</t>
  </si>
  <si>
    <t>PÃµhjakeskus</t>
  </si>
  <si>
    <t>Rakvere</t>
  </si>
  <si>
    <t>Haljala tee 4</t>
  </si>
  <si>
    <t>PÃµhjakeskus;Haljala tee 4;44415;Rakvere vald</t>
  </si>
  <si>
    <t>EE0409</t>
  </si>
  <si>
    <t>LÃµunakeskus</t>
  </si>
  <si>
    <t>Ringtee 75</t>
  </si>
  <si>
    <t>LÃµunakeskus;Ringtee 75;50105;Tartu</t>
  </si>
  <si>
    <t>EE0411</t>
  </si>
  <si>
    <t>Kalda tee 1c</t>
  </si>
  <si>
    <t>Kalda tee 1c;;50703;Tartu</t>
  </si>
  <si>
    <t>EE0413</t>
  </si>
  <si>
    <t>Tallinna 88</t>
  </si>
  <si>
    <t>Kuressaare</t>
  </si>
  <si>
    <t>Tallinna 88;;93851;Kudjape</t>
  </si>
  <si>
    <t>EE0415</t>
  </si>
  <si>
    <t>Ahtri 9</t>
  </si>
  <si>
    <t>Shopping Centre Nautica</t>
  </si>
  <si>
    <t>Ahtri 9;Shopping Centre Nautica;10151;Tallinn</t>
  </si>
  <si>
    <t>EE0418</t>
  </si>
  <si>
    <t>Pargi 30</t>
  </si>
  <si>
    <t>Johvi</t>
  </si>
  <si>
    <t>Pargi 30;;41534;Johvi</t>
  </si>
  <si>
    <t>EG0114</t>
  </si>
  <si>
    <t>Lotus Stars Building</t>
  </si>
  <si>
    <t>Alexandria</t>
  </si>
  <si>
    <t>Egypt</t>
  </si>
  <si>
    <t>EG</t>
  </si>
  <si>
    <t>3 Mohammed Bahaa Al Din Al Ghouri, Ezbet Saad</t>
  </si>
  <si>
    <t>Lotus Stars Building;3 Mohammed Bahaa Al Din Al Ghouri, Ezbet Saad;21615;Qism Sidi Gabir, Alexandria</t>
  </si>
  <si>
    <t>EG0228</t>
  </si>
  <si>
    <t xml:space="preserve"> City stars</t>
  </si>
  <si>
    <t>Cairo</t>
  </si>
  <si>
    <t>Omar Ibn El-Khatab st.</t>
  </si>
  <si>
    <t xml:space="preserve"> City stars;Omar Ibn El-Khatab st.;Cairo; Cairo</t>
  </si>
  <si>
    <t>EG0234</t>
  </si>
  <si>
    <t>Alexandria City Center</t>
  </si>
  <si>
    <t>Gate 4, 1st Alexandria Cairo Desert Road</t>
  </si>
  <si>
    <t>Alexandria City Center;Gate 4, 1st Alexandria Cairo Desert Road;11432;Qesm Al Amereyah, Alexandria</t>
  </si>
  <si>
    <t>EG0260</t>
  </si>
  <si>
    <t>Dandy Mall</t>
  </si>
  <si>
    <t>Cairo-Alexandrea Desert</t>
  </si>
  <si>
    <t>Dandy Mall;Cairo-Alexandrea Desert;Cairo;Cairo</t>
  </si>
  <si>
    <t>EG0294</t>
  </si>
  <si>
    <t>Mohandseen</t>
  </si>
  <si>
    <t>Mohandseen;;Cairo;Cairo</t>
  </si>
  <si>
    <t>EG0295</t>
  </si>
  <si>
    <t>Katameyah DownTown</t>
  </si>
  <si>
    <t>Katameyah DownTown;;Cairo;Cairo</t>
  </si>
  <si>
    <t>EG0305</t>
  </si>
  <si>
    <t>Cairo Festival city</t>
  </si>
  <si>
    <t>Cairo Festival city;;Cairo</t>
  </si>
  <si>
    <t>EG0309</t>
  </si>
  <si>
    <t>Maadi City Center</t>
  </si>
  <si>
    <t>Maadi City Center;;Cairo;Cairo</t>
  </si>
  <si>
    <t>EG0550</t>
  </si>
  <si>
    <t>36 Lebanon Street, Mohandseen, Cairo</t>
  </si>
  <si>
    <t>36 Lebanon Street, Mohandseen, Cairo;;x</t>
  </si>
  <si>
    <t>EG0551</t>
  </si>
  <si>
    <t>The Point 90</t>
  </si>
  <si>
    <t>The Point 90;;x</t>
  </si>
  <si>
    <t>EG0556</t>
  </si>
  <si>
    <t>Al Omnareyah</t>
  </si>
  <si>
    <t>Al Omnareyah;;+20 2</t>
  </si>
  <si>
    <t>EG0569</t>
  </si>
  <si>
    <t>Cairo;;2080</t>
  </si>
  <si>
    <t>EG0570</t>
  </si>
  <si>
    <t>Nehru Street</t>
  </si>
  <si>
    <t>Heliopolis, Cairo</t>
  </si>
  <si>
    <t>Nehru Street;Heliopolis, Cairo;x</t>
  </si>
  <si>
    <t>EG1466</t>
  </si>
  <si>
    <t>Almaza City Center</t>
  </si>
  <si>
    <t>10:00-01:00</t>
  </si>
  <si>
    <t>Passage inside AL Maza Airport</t>
  </si>
  <si>
    <t>Passage inside AL Maza Airport;;0000;El Nozha Cairo Governorate</t>
  </si>
  <si>
    <t>ES0001</t>
  </si>
  <si>
    <t>C.C. La Maquinista</t>
  </si>
  <si>
    <t>Barcelona</t>
  </si>
  <si>
    <t>Spain</t>
  </si>
  <si>
    <t>ES</t>
  </si>
  <si>
    <t>Ciutat de lÂ´ AssumpciÃ³, s/n</t>
  </si>
  <si>
    <t>CataluÃ±a</t>
  </si>
  <si>
    <t>Ciutat de lÂ´ AssumpciÃ³, s/n;;08034;Barcelona;CataluÃ±a</t>
  </si>
  <si>
    <t>ES0002</t>
  </si>
  <si>
    <t>Calle del Mar, 31-33</t>
  </si>
  <si>
    <t>Badalona (Barcelona)</t>
  </si>
  <si>
    <t>Calle del Mar, 31-33;;08911;Badalona (Barcelona);CataluÃ±a</t>
  </si>
  <si>
    <t>ES0003</t>
  </si>
  <si>
    <t>C.C. Bonaire</t>
  </si>
  <si>
    <t>Valencia</t>
  </si>
  <si>
    <t>Carretera Nacional 3, km 3-5</t>
  </si>
  <si>
    <t>Comunidad Valenciana</t>
  </si>
  <si>
    <t>Carretera Nacional 3, km 3-5;;46960;Aldaia (Valencia);Comunidad Valenciana</t>
  </si>
  <si>
    <t>ES0004</t>
  </si>
  <si>
    <t>C.C. Grancasa</t>
  </si>
  <si>
    <t>Zaragoza</t>
  </si>
  <si>
    <t>Calle MÂª Zambrano, 35</t>
  </si>
  <si>
    <t>AragÃ³n</t>
  </si>
  <si>
    <t>Calle MÂª Zambrano, 35;;50015;Zaragoza;AragÃ³n</t>
  </si>
  <si>
    <t>ES0011</t>
  </si>
  <si>
    <t>Calle Orense, 6</t>
  </si>
  <si>
    <t>Madrid</t>
  </si>
  <si>
    <t>Comunidad de Madrid</t>
  </si>
  <si>
    <t>Calle Orense, 6;;28020;Madrid;Comunidad de Madrid</t>
  </si>
  <si>
    <t>ES0012</t>
  </si>
  <si>
    <t>C.C. Gran VÃ­a 2</t>
  </si>
  <si>
    <t>LÂ´Hospitalet de Llobregat</t>
  </si>
  <si>
    <t>Avinguda Gran Via, 75-97</t>
  </si>
  <si>
    <t>Avinguda Gran Via, 75-97;;08038;Hospitalet de Llobregat (Barcelona);CataluÃ±a</t>
  </si>
  <si>
    <t>ES0014</t>
  </si>
  <si>
    <t>C.C. Artea</t>
  </si>
  <si>
    <t>Bilbao</t>
  </si>
  <si>
    <t>Barrio Peruri, 33</t>
  </si>
  <si>
    <t>PaÃ­s Vasco</t>
  </si>
  <si>
    <t>C.C. Artea;Barrio Peruri, 33;48940;Leioa (Bizkaia);PaÃ­s Vasco</t>
  </si>
  <si>
    <t>ES0019</t>
  </si>
  <si>
    <t>C.C. La Morea</t>
  </si>
  <si>
    <t>Pamplona</t>
  </si>
  <si>
    <t>Barrio la Morea s/n</t>
  </si>
  <si>
    <t>Navarra</t>
  </si>
  <si>
    <t>C.C. La Morea;Barrio la Morea s/n;31191;Cordovilla;Navarra</t>
  </si>
  <si>
    <t>ES0020</t>
  </si>
  <si>
    <t>Calle Mayor, 3-5</t>
  </si>
  <si>
    <t>Terrassa (Barcelona)</t>
  </si>
  <si>
    <t>Calle Mayor, 3-5;;08221;Terrassa (Barcelona);CataluÃ±a</t>
  </si>
  <si>
    <t>ES0021</t>
  </si>
  <si>
    <t>C.C. XanadÃº</t>
  </si>
  <si>
    <t>Ctra. N-5, km 23,5 local B/Q</t>
  </si>
  <si>
    <t>Ctra. N-5, km 23,5 local B/Q;;28939;Arroyomolinos;Comunidad de Madrid</t>
  </si>
  <si>
    <t>ES0022</t>
  </si>
  <si>
    <t>C.C. Plaza Mar 2</t>
  </si>
  <si>
    <t>Alicante</t>
  </si>
  <si>
    <t>Av. De Denia s/n</t>
  </si>
  <si>
    <t>Av. De Denia s/n;;03016;Alicante;Comunidad Valenciana</t>
  </si>
  <si>
    <t>ES0025</t>
  </si>
  <si>
    <t>C.C. LÂ´Aljub</t>
  </si>
  <si>
    <t>Elche (Alicante)</t>
  </si>
  <si>
    <t>PolÃ­gono Ind.LÂ´Aljub. Calle Jacarilla 7</t>
  </si>
  <si>
    <t>PolÃ­gono Ind.LÂ´Aljub. Calle Jacarilla 7;;03205;Elche (Alicante);Comunidad Valenciana</t>
  </si>
  <si>
    <t>ES0029</t>
  </si>
  <si>
    <t>C.C. Boulevard de Vitoria</t>
  </si>
  <si>
    <t>Vitoria</t>
  </si>
  <si>
    <t>Calle Zaramaga 1</t>
  </si>
  <si>
    <t>C.C. Boulevard de Vitoria;Calle Zaramaga 1;01013;Vitoria;PaÃ­s Vasco</t>
  </si>
  <si>
    <t>ES0030</t>
  </si>
  <si>
    <t>Gran VÃ­a, 32</t>
  </si>
  <si>
    <t>Gran VÃ­a, 32;;28013;Madrid;Comunidad de Madrid</t>
  </si>
  <si>
    <t>ES0031</t>
  </si>
  <si>
    <t>C.C. Plaza Norte 2</t>
  </si>
  <si>
    <t>Avda. Juncal 15-17, Nacional 1 Salida</t>
  </si>
  <si>
    <t>Avda. Juncal 15-17, Nacional 1 Salida;;28703;San SebastiÃ¡n de los Reyes;Comunidad de Madrid</t>
  </si>
  <si>
    <t>ES0033</t>
  </si>
  <si>
    <t>C.C. La CaÃ±ada</t>
  </si>
  <si>
    <t>Marbella (MÃ¡laga)</t>
  </si>
  <si>
    <t>Carretera de OjÃ©n S/N</t>
  </si>
  <si>
    <t>AndalucÃ­a</t>
  </si>
  <si>
    <t>Carretera de OjÃ©n S/N;;29600;Marbella (MÃ¡laga);AndalucÃ­a</t>
  </si>
  <si>
    <t>ES0034</t>
  </si>
  <si>
    <t>Calle OÂ´Donnell, 7</t>
  </si>
  <si>
    <t>Sevilla</t>
  </si>
  <si>
    <t>Calle OÂ´Donnell, 7;;41001;Sevilla;AndalucÃ­a</t>
  </si>
  <si>
    <t>ES0036</t>
  </si>
  <si>
    <t>C.C. Parc Central</t>
  </si>
  <si>
    <t>Tarragona</t>
  </si>
  <si>
    <t>C/ Vidal y Barraquer 15-17 Local B-01</t>
  </si>
  <si>
    <t>C/ Vidal y Barraquer 15-17 Local B-01;;43005;Tarragona;CataluÃ±a</t>
  </si>
  <si>
    <t>ES0038</t>
  </si>
  <si>
    <t>C.C. PrÃ­ncipe PÃ­o</t>
  </si>
  <si>
    <t>Paseo de la Florida, 2</t>
  </si>
  <si>
    <t>Paseo de la Florida, 2;;28008;Madrid;Comunidad de Madrid</t>
  </si>
  <si>
    <t>ES0039</t>
  </si>
  <si>
    <t>C.C. Itaroa</t>
  </si>
  <si>
    <t>Calle IntxaurdÃ­a, 5</t>
  </si>
  <si>
    <t>C.C. Itaroa;Calle IntxaurdÃ­a, 5;31620;Huarte;Navarra</t>
  </si>
  <si>
    <t>ES0040</t>
  </si>
  <si>
    <t>C.C. Espacio LeÃ³n</t>
  </si>
  <si>
    <t>LeÃ³n</t>
  </si>
  <si>
    <t>Avenida del PaÃ­s LeonÃ©s, 12</t>
  </si>
  <si>
    <t>Castilla LeÃ³n</t>
  </si>
  <si>
    <t>C.C. Espacio LeÃ³n;Avenida del PaÃ­s LeonÃ©s, 12;24010;LeÃ³n;Castilla LeÃ³n</t>
  </si>
  <si>
    <t>ES0043</t>
  </si>
  <si>
    <t>C.C. Plenilunio</t>
  </si>
  <si>
    <t>Calle Aracne, 3, Pol. Ind. Las Mercedes</t>
  </si>
  <si>
    <t>Calle Aracne, 3, Pol. Ind. Las Mercedes;;28022;Madrid;Comunidad de Madrid</t>
  </si>
  <si>
    <t>ES0044</t>
  </si>
  <si>
    <t>C.C. Habaneras</t>
  </si>
  <si>
    <t>Torrevieja (Alicante)</t>
  </si>
  <si>
    <t>Avda. de Rosa MazÃ³n Valero</t>
  </si>
  <si>
    <t>Avda. de Rosa MazÃ³n Valero;;03180;Torrevieja (Alicante);Comunidad Valenciana</t>
  </si>
  <si>
    <t>ES0045</t>
  </si>
  <si>
    <t>C.C. Parque Almenara</t>
  </si>
  <si>
    <t>Lorca (Murcia)</t>
  </si>
  <si>
    <t>Carretera a Ãguilas</t>
  </si>
  <si>
    <t>Murcia</t>
  </si>
  <si>
    <t>Carretera a Ãguilas;;30800;Lorca;Murcia</t>
  </si>
  <si>
    <t>ES0046</t>
  </si>
  <si>
    <t>Parque Principado</t>
  </si>
  <si>
    <t>Oviedo</t>
  </si>
  <si>
    <t>Autovia A-66, km 4,5 Acceso Santander</t>
  </si>
  <si>
    <t>Asturias</t>
  </si>
  <si>
    <t>Autovia A-66, km 4,5 Acceso Santander;;33429;Paredes (Oviedo);Asturias</t>
  </si>
  <si>
    <t>ES0047</t>
  </si>
  <si>
    <t>Plaza Juan Carlos I, no. 1</t>
  </si>
  <si>
    <t>Palma de Mallorca</t>
  </si>
  <si>
    <t>Baleares</t>
  </si>
  <si>
    <t>Plaza Juan Carlos I, no. 1;;07012;Palma de Mallorca;Baleares</t>
  </si>
  <si>
    <t>ES0048</t>
  </si>
  <si>
    <t>C.C. MediterrÃ¡neo</t>
  </si>
  <si>
    <t>AlmerÃ­a</t>
  </si>
  <si>
    <t>Prolong. Avda.MediterrÃ¡neo, s/n</t>
  </si>
  <si>
    <t>Prolong. Avda.MediterrÃ¡neo, s/n;;04009;AlmerÃ­a;AndalucÃ­a</t>
  </si>
  <si>
    <t>ES0053</t>
  </si>
  <si>
    <t>C.C. Espacio Torrelodones</t>
  </si>
  <si>
    <t>Avda. de la Fontanilla s/n</t>
  </si>
  <si>
    <t>Avda. de la Fontanilla s/n;Avda. de la Fontanilla s/n;28250;Torrelodones;Comunidad de Madrid</t>
  </si>
  <si>
    <t>ES0055</t>
  </si>
  <si>
    <t>C.C. Espai GironÃ¨s</t>
  </si>
  <si>
    <t>Girona</t>
  </si>
  <si>
    <t>CamÃ­ dels Carlins, 10</t>
  </si>
  <si>
    <t>CamÃ­ dels Carlins, 10;;17190;Salt (Girona);CataluÃ±a</t>
  </si>
  <si>
    <t>ES0057</t>
  </si>
  <si>
    <t>C.C. Berceo</t>
  </si>
  <si>
    <t>LogroÃ±o</t>
  </si>
  <si>
    <t>C/ LÃ©rida, 4</t>
  </si>
  <si>
    <t>La Rioja</t>
  </si>
  <si>
    <t>C.C. Berceo;C/ LÃ©rida, 4;26006;LogroÃ±o;La Rioja</t>
  </si>
  <si>
    <t>ES0058</t>
  </si>
  <si>
    <t>C.C. As Termas</t>
  </si>
  <si>
    <t>Lugo</t>
  </si>
  <si>
    <t>Avenida Elena, s/n</t>
  </si>
  <si>
    <t>Galicia</t>
  </si>
  <si>
    <t>C.C. As Termas;Avenida Elena, s/n;27003;Lugo;Galicia</t>
  </si>
  <si>
    <t>ES0059</t>
  </si>
  <si>
    <t>Calle Sant Antoni, 4-6</t>
  </si>
  <si>
    <t>Lleida</t>
  </si>
  <si>
    <t>Calle Sant Antoni, 4-6;;25002;Lleida;CataluÃ±a</t>
  </si>
  <si>
    <t>ES0061</t>
  </si>
  <si>
    <t>C.C. Nueva Condomina</t>
  </si>
  <si>
    <t>AutovÃ­a A7- Km 760</t>
  </si>
  <si>
    <t>AutovÃ­a A7- Km 760;;30110;Churra;Murcia</t>
  </si>
  <si>
    <t>ES0062</t>
  </si>
  <si>
    <t>C.C. El Tormes</t>
  </si>
  <si>
    <t>Salamanca</t>
  </si>
  <si>
    <t>Avda. Salamanca, s/n</t>
  </si>
  <si>
    <t>C.C. El Tormes;Avda. Salamanca, s/n;37900;Santa Marta de Tormes (Salamanca);Castilla LeÃ³n</t>
  </si>
  <si>
    <t>ES0065</t>
  </si>
  <si>
    <t>C.C. Plaza Mayor</t>
  </si>
  <si>
    <t>MÃ¡laga</t>
  </si>
  <si>
    <t>Calle Alfonso Ponce de LeÃ³n, 3</t>
  </si>
  <si>
    <t>Calle Alfonso Ponce de LeÃ³n, 3;;29004;MÃ¡laga;AndalucÃ­a</t>
  </si>
  <si>
    <t>ES0067</t>
  </si>
  <si>
    <t>C.C. Salera Shopping</t>
  </si>
  <si>
    <t>CastellÃ³n de la Plana</t>
  </si>
  <si>
    <t>Crta. Nacional 340, km 64</t>
  </si>
  <si>
    <t>Crta. Nacional 340, km 64;;12004;CastellÃ³n de la Plana;Comunidad Valenciana</t>
  </si>
  <si>
    <t>ES0069</t>
  </si>
  <si>
    <t>C.C. Las Rotondas</t>
  </si>
  <si>
    <t>Pto. del Rosario</t>
  </si>
  <si>
    <t>Pi y Arsuaga no. 2</t>
  </si>
  <si>
    <t>Canarias</t>
  </si>
  <si>
    <t>C.C. Las Rotondas;Pi y Arsuaga no. 2;35600;Pto. del Rosario (Fuerteventura);Canarias</t>
  </si>
  <si>
    <t>ES0070</t>
  </si>
  <si>
    <t>C.C. La Marina</t>
  </si>
  <si>
    <t>Benidorm (Alicante)</t>
  </si>
  <si>
    <t>Avda Del PaÃ­s ValenciÃ , 2</t>
  </si>
  <si>
    <t>Avda Del PaÃ­s ValenciÃ , 2;;03509;Finestrat (Alicante);Comunidad Valenciana</t>
  </si>
  <si>
    <t>ES0073</t>
  </si>
  <si>
    <t>C.C. El Rosal</t>
  </si>
  <si>
    <t>Ponferrada (LeÃ³n)</t>
  </si>
  <si>
    <t>Avenida de Asturias s/n</t>
  </si>
  <si>
    <t>C.C. El Rosal;Avenida de Asturias s/n;24400;Ponferrada (LeÃ³n);Castilla LeÃ³n</t>
  </si>
  <si>
    <t>ES0074</t>
  </si>
  <si>
    <t>C.C. Gran Plaza</t>
  </si>
  <si>
    <t>Roquetas de Mar (AlmerÃ­a)</t>
  </si>
  <si>
    <t>Avda. Alicun, s/n</t>
  </si>
  <si>
    <t>Avda. Alicun, s/n;;04740;Roquetas de Mar (AlmerÃ­a);AndalucÃ­a</t>
  </si>
  <si>
    <t>ES0075</t>
  </si>
  <si>
    <t>C.C. Gran VÃ­a de Vigo</t>
  </si>
  <si>
    <t>Vigo</t>
  </si>
  <si>
    <t>Rua do Miradoiro, 2</t>
  </si>
  <si>
    <t>C.C. Gran VÃ­a de Vigo;Rua do Miradoiro, 2;36210;Vigo;Galicia</t>
  </si>
  <si>
    <t>ES0076</t>
  </si>
  <si>
    <t>Avenida Francesc MaciÃ , 30</t>
  </si>
  <si>
    <t>Sabadell (Barcelona)</t>
  </si>
  <si>
    <t>Avenida Francesc MaciÃ , 30;;08206;Sabadell (Barcelona);CataluÃ±a</t>
  </si>
  <si>
    <t>ES0077</t>
  </si>
  <si>
    <t>C.C. Nevada 2000</t>
  </si>
  <si>
    <t>Granada</t>
  </si>
  <si>
    <t>Av. de las palmeras nÂº 75</t>
  </si>
  <si>
    <t>Av. de las palmeras nÂº 75;;18100;Armilla (Granada);AndalucÃ­a</t>
  </si>
  <si>
    <t>ES0079</t>
  </si>
  <si>
    <t>C.C. Alcampo La Laguna</t>
  </si>
  <si>
    <t>Santa Cruz de Tenerife</t>
  </si>
  <si>
    <t>AutovÃ­a Sta. Cruz La Laguna</t>
  </si>
  <si>
    <t>C.C. Alcampo La Laguna;AutovÃ­a Sta. Cruz La Laguna;38205;S.CristÃ³bal de la Laguna (Tenerife);Canarias</t>
  </si>
  <si>
    <t>ES0080</t>
  </si>
  <si>
    <t>C.C. Airesur</t>
  </si>
  <si>
    <t>Parque Castilleja Ctra.Castilleja de la Cuesta Tomares s/n</t>
  </si>
  <si>
    <t>Parque Castilleja Ctra.Castilleja de la Cuesta Tomares s/n;;41950;Castilleja de la Cuesta (Sevilla);AndalucÃ­a</t>
  </si>
  <si>
    <t>ES0082</t>
  </si>
  <si>
    <t>Calle Bisbe Lorenzana, 29</t>
  </si>
  <si>
    <t>Calle Bisbe Lorenzana, 29;;17002;Girona;CataluÃ±a</t>
  </si>
  <si>
    <t>ES0083</t>
  </si>
  <si>
    <t>C.C. H2Ocio</t>
  </si>
  <si>
    <t>Calle Marie Curie, no.4</t>
  </si>
  <si>
    <t>Calle Marie Curie, no.4;Calle Marie Curie, no.4;28529;Rivas Vaciamadrid;Comunidad de Madrid</t>
  </si>
  <si>
    <t>ES0084</t>
  </si>
  <si>
    <t>C.C. Espacio MediterrÃ¡neo</t>
  </si>
  <si>
    <t>Cartagena (Murcia)</t>
  </si>
  <si>
    <t>C/Budapest Esquina C/Londres</t>
  </si>
  <si>
    <t>C/Budapest Esquina C/Londres;;30353;Cartagena;Murcia</t>
  </si>
  <si>
    <t>ES0088</t>
  </si>
  <si>
    <t>C.C. Vilamarina</t>
  </si>
  <si>
    <t>Avenida del Siglo XXI, 6</t>
  </si>
  <si>
    <t>Avenida del Siglo XXI, 6;;08840;Viladecans (Barcelona);CataluÃ±a</t>
  </si>
  <si>
    <t>ES0089</t>
  </si>
  <si>
    <t>C.C. Areasur</t>
  </si>
  <si>
    <t>J.de la Frontera (CÃ¡diz)</t>
  </si>
  <si>
    <t>Ctra. Nacional IV  Km 639</t>
  </si>
  <si>
    <t>Ctra. Nacional IV  Km 639;;11408;Jerez de la Frontera (CÃ¡diz);AndalucÃ­a</t>
  </si>
  <si>
    <t>ES0090</t>
  </si>
  <si>
    <t>C.C. Parque Las Dunas</t>
  </si>
  <si>
    <t>SanlÃºcar Barrameda(CÃ¡diz)</t>
  </si>
  <si>
    <t>Calle Mayor, 1</t>
  </si>
  <si>
    <t>Calle Mayor, 1;;11540;SanlÃºcar de Barrameda (CÃ¡diz);AndalucÃ­a</t>
  </si>
  <si>
    <t>ES0091</t>
  </si>
  <si>
    <t>C.C. Marineda City</t>
  </si>
  <si>
    <t>A CoruÃ±a</t>
  </si>
  <si>
    <t>Carretera BaÃ±os de Arteixo, 43 PolÃ­gono A Grela</t>
  </si>
  <si>
    <t>C.C. Marineda City;Carretera BaÃ±os de Arteixo, 43 PolÃ­gono A Grela;15008;A CoruÃ±a;Galicia</t>
  </si>
  <si>
    <t>ES0092</t>
  </si>
  <si>
    <t>C.C. y de Ocio Islazul</t>
  </si>
  <si>
    <t>C/de la Calderilla, 1 Salida 27-28 M-40</t>
  </si>
  <si>
    <t>C/de la Calderilla, 1 Salida 27-28 M-40;C/de la Calderilla, 1 Salida 27-28 M-40;28054;Madrid;Comunidad de Madrid</t>
  </si>
  <si>
    <t>ES0097</t>
  </si>
  <si>
    <t>C.C. Ventanal de la Sierra</t>
  </si>
  <si>
    <t>Colmenar Viejo (Madrid)</t>
  </si>
  <si>
    <t>Ronda de los Canteros, s/n</t>
  </si>
  <si>
    <t>Ronda de los Canteros, s/n;;28770;Colmenar Viejo;Comunidad de Madrid</t>
  </si>
  <si>
    <t>ES0098</t>
  </si>
  <si>
    <t>C.C. Splau</t>
  </si>
  <si>
    <t>CornellÃ¡ (Barcelona)</t>
  </si>
  <si>
    <t>Avda. Baix Llobregat</t>
  </si>
  <si>
    <t>Avda. Baix Llobregat;;08940;CornellÃ¡ (Barcelona);CataluÃ±a</t>
  </si>
  <si>
    <t>ES0099</t>
  </si>
  <si>
    <t>Rua Do paseo, 1</t>
  </si>
  <si>
    <t>Orense</t>
  </si>
  <si>
    <t>Rua Do paseo, 1;;32003;Ourense;Galicia</t>
  </si>
  <si>
    <t>ES0100</t>
  </si>
  <si>
    <t>C.C. Ballonti</t>
  </si>
  <si>
    <t>Avenida del Ballonti, 1</t>
  </si>
  <si>
    <t>C.C. Ballonti;Avenida del Ballonti, 1;48920;Portugalete (Bizkaia);PaÃ­s Vasco</t>
  </si>
  <si>
    <t>ES0101</t>
  </si>
  <si>
    <t>Calle Mayor, 67</t>
  </si>
  <si>
    <t>Palencia</t>
  </si>
  <si>
    <t>Calle Mayor, 67;;34001;Palencia;Castilla LeÃ³n</t>
  </si>
  <si>
    <t>ES0103</t>
  </si>
  <si>
    <t>Calle ColÃ³n, 34</t>
  </si>
  <si>
    <t>Calle ColÃ³n, 34;;46004;Valencia;Comunidad Valenciana</t>
  </si>
  <si>
    <t>ES0105</t>
  </si>
  <si>
    <t>C.C. Albacenter</t>
  </si>
  <si>
    <t>Albacete</t>
  </si>
  <si>
    <t>Calle Alcalde Conangla</t>
  </si>
  <si>
    <t>Castilla La Mancha</t>
  </si>
  <si>
    <t>C.C. Albacenter;Calle Alcalde Conangla;02006;Albacete;Castilla La Mancha</t>
  </si>
  <si>
    <t>ES0106</t>
  </si>
  <si>
    <t>C.C. AÃ±aza</t>
  </si>
  <si>
    <t>C.C. Santa Cruz de Tenerife</t>
  </si>
  <si>
    <t>Autopista del Sur km 5,9 Urbaniz. AÃ±aza</t>
  </si>
  <si>
    <t>C.C. Santa Cruz de Tenerife;Autopista del Sur km 5,9 Urbaniz. AÃ±aza;38109;Santa Cruz de Tenerife;Canarias</t>
  </si>
  <si>
    <t>ES0110</t>
  </si>
  <si>
    <t>C.C. La Gavia</t>
  </si>
  <si>
    <t>Alto del Retiro no. 33</t>
  </si>
  <si>
    <t>Alto del Retiro no. 33;;28051;Madrid;Comunidad de Madrid</t>
  </si>
  <si>
    <t>ES0112</t>
  </si>
  <si>
    <t>Calle Carlos VÃ¡zquez, 3</t>
  </si>
  <si>
    <t>Ciudad Real</t>
  </si>
  <si>
    <t>Calle Carlos VÃ¡zquez, 3;;13001;Ciudad Real;Castilla La Mancha</t>
  </si>
  <si>
    <t>ES0113</t>
  </si>
  <si>
    <t>C.C. Rio Shopping</t>
  </si>
  <si>
    <t>Valladolid</t>
  </si>
  <si>
    <t>C/ Me falta un tornillo, 3</t>
  </si>
  <si>
    <t>C.C. Rio Shopping;C/ Me falta un tornillo, 3;47195;Arroyo Encomienda (Valladolid);Castilla LeÃ³n</t>
  </si>
  <si>
    <t>ES0115</t>
  </si>
  <si>
    <t>C.C. El Mirador de JinÃ¡mar</t>
  </si>
  <si>
    <t>L. Palmas de Gran Canaria</t>
  </si>
  <si>
    <t>Avenida Santa Rita de Casia, s/n</t>
  </si>
  <si>
    <t>C.C. El Mirador de JinÃ¡mar;Avenida Santa Rita de Casia, s/n;35220;JinÃ¡mar (Gran Canaria);Canarias</t>
  </si>
  <si>
    <t>ES0116</t>
  </si>
  <si>
    <t>C.C. Las Arenas</t>
  </si>
  <si>
    <t>Carretera del RincÃ³n S/N</t>
  </si>
  <si>
    <t>C.C. Las Arenas;Carretera del RincÃ³n S/N;35018;Las Palmas de Gran Canaria;Canarias</t>
  </si>
  <si>
    <t>ES0120</t>
  </si>
  <si>
    <t>Avenida Diagonal, 579</t>
  </si>
  <si>
    <t>Avenida Diagonal, 579;;08014;Barcelona;CataluÃ±a</t>
  </si>
  <si>
    <t>ES0121</t>
  </si>
  <si>
    <t>C.C. El Faro</t>
  </si>
  <si>
    <t>Badajoz</t>
  </si>
  <si>
    <t>Avenida de Elvas S/N</t>
  </si>
  <si>
    <t>Extremadura</t>
  </si>
  <si>
    <t>C.C. El Faro;Avenida de Elvas S/N;06003;Badajoz;Extremadura</t>
  </si>
  <si>
    <t>ES0124</t>
  </si>
  <si>
    <t>C.C. Arena Multiespacio</t>
  </si>
  <si>
    <t>Calle Santa Genoveva Torres, 21</t>
  </si>
  <si>
    <t>Calle Santa Genoveva Torres, 21;;46019;Valencia;Comunidad Valenciana</t>
  </si>
  <si>
    <t>ES0126</t>
  </si>
  <si>
    <t>C.C. Garbera</t>
  </si>
  <si>
    <t>San SebastiÃ¡n</t>
  </si>
  <si>
    <t>TravesÃ­a de Garbera, 1</t>
  </si>
  <si>
    <t>C.C. Garbera;TravesÃ­a de Garbera, 1;20017;Donostia;PaÃ­s Vasco</t>
  </si>
  <si>
    <t>ES0128</t>
  </si>
  <si>
    <t>C.C. Puerto Venecia</t>
  </si>
  <si>
    <t>Avenida de Puerto Venecia</t>
  </si>
  <si>
    <t>Avenida de Puerto Venecia;;50007;Zaragoza;AragÃ³n</t>
  </si>
  <si>
    <t>ES0130</t>
  </si>
  <si>
    <t>C.C. Ribera del XÃºquer</t>
  </si>
  <si>
    <t>Carcaixent</t>
  </si>
  <si>
    <t>Avda. del Boticario BodÃ­ s/n</t>
  </si>
  <si>
    <t>Avda. del Boticario BodÃ­ s/n;;46740;Carcaixent (Valencia);Comunidad Valenciana</t>
  </si>
  <si>
    <t>ES0132</t>
  </si>
  <si>
    <t>C.C. La Vital</t>
  </si>
  <si>
    <t>Gandia</t>
  </si>
  <si>
    <t>Poligono Rafalcaid s/n</t>
  </si>
  <si>
    <t>Poligono Rafalcaid s/n;;46700;GandÃ­a (Valencia);Comunidad Valenciana</t>
  </si>
  <si>
    <t>ES0133</t>
  </si>
  <si>
    <t>Calle Benito Corbal, 15</t>
  </si>
  <si>
    <t>Pontevedra</t>
  </si>
  <si>
    <t>Calle Benito Corbal, 15;;36001;Pontevedra;Galicia</t>
  </si>
  <si>
    <t>ES0136</t>
  </si>
  <si>
    <t>C.C. Los Alfares</t>
  </si>
  <si>
    <t>Talavera de la Reina</t>
  </si>
  <si>
    <t>Carretera Nacional, 5</t>
  </si>
  <si>
    <t>Carretera Nacional, 5;;45600;Talavera Reina (Toledo);Castilla La Mancha</t>
  </si>
  <si>
    <t>ES0137</t>
  </si>
  <si>
    <t>Calle VelÃ¡zquez, 36</t>
  </si>
  <si>
    <t>Calle VelÃ¡zquez, 36;;28006;Madrid;Comunidad de Madrid</t>
  </si>
  <si>
    <t>ES0138</t>
  </si>
  <si>
    <t>C.C. El Saler</t>
  </si>
  <si>
    <t>Autopista El Saler, no.16</t>
  </si>
  <si>
    <t>Autopista El Saler, no.16;;46013;Valencia;Comunidad Valenciana</t>
  </si>
  <si>
    <t>ES0139</t>
  </si>
  <si>
    <t>C.C. Gran Plaza 2</t>
  </si>
  <si>
    <t>Majadahonda (Madrid)</t>
  </si>
  <si>
    <t>Calle QuÃ­micos, 2</t>
  </si>
  <si>
    <t>Calle QuÃ­micos, 2;;28222;Majadahonda;Comunidad de Madrid</t>
  </si>
  <si>
    <t>ES0143</t>
  </si>
  <si>
    <t>C.C. Plaza Ã‰boli</t>
  </si>
  <si>
    <t>12:00-21:00</t>
  </si>
  <si>
    <t>Avda. Pablo Picasso esq. camino de San AntÃ³n</t>
  </si>
  <si>
    <t>Avda. Pablo Picasso esq. camino de San AntÃ³n;;28320;Pinto;Comunidad de Madrid</t>
  </si>
  <si>
    <t>ES0145</t>
  </si>
  <si>
    <t>C.C. Vallsur</t>
  </si>
  <si>
    <t>Paseo de Zorrilla s/n</t>
  </si>
  <si>
    <t>C.C. Vallsur;Paseo de Zorrilla s/n;47008;Valladolid;Castilla LeÃ³n</t>
  </si>
  <si>
    <t>ES0146</t>
  </si>
  <si>
    <t>C.C. As Cancelas</t>
  </si>
  <si>
    <t>Santiago de Compostela</t>
  </si>
  <si>
    <t>Avenida do CamiÃ±o FrancÃ©s, 3</t>
  </si>
  <si>
    <t>C.C. As Cancelas;Avenida do CamiÃ±o FrancÃ©s, 3;15703;Santiago de Compostela (A CoruÃ±a);Galicia</t>
  </si>
  <si>
    <t>ES0149</t>
  </si>
  <si>
    <t>C.C. Parque Miramar</t>
  </si>
  <si>
    <t>Fuengirola</t>
  </si>
  <si>
    <t>Avenida de la EncarnaciÃ³n s/n</t>
  </si>
  <si>
    <t>Avenida de la EncarnaciÃ³n s/n;;29640;Fuengirola (MÃ¡laga);AndalucÃ­a</t>
  </si>
  <si>
    <t>ES0150</t>
  </si>
  <si>
    <t>C.C. Puerta de Europa</t>
  </si>
  <si>
    <t>Algeciras</t>
  </si>
  <si>
    <t>AutovÃ­a 7, Salida 106</t>
  </si>
  <si>
    <t>AutovÃ­a 7, Salida 106;;11203;Algeciras (CÃ¡diz);AndalucÃ­a</t>
  </si>
  <si>
    <t>ES0151</t>
  </si>
  <si>
    <t>C.C. Zielo</t>
  </si>
  <si>
    <t>12:00-20:30</t>
  </si>
  <si>
    <t>Av. Europa 26 B</t>
  </si>
  <si>
    <t>Av. Europa 26 B;;28224;Pozuelo de AlarcÃ³n;Comunidad de Madrid</t>
  </si>
  <si>
    <t>ES0152</t>
  </si>
  <si>
    <t>C.C. Los Alcores</t>
  </si>
  <si>
    <t>AlcalÃ¡ de Guadaira</t>
  </si>
  <si>
    <t>Autovia A-92 km 8.8</t>
  </si>
  <si>
    <t>Autovia A-92 km 8.8;;41500;AlcalÃ¡ Guadaira (Sevilla);AndalucÃ­a</t>
  </si>
  <si>
    <t>ES0153</t>
  </si>
  <si>
    <t>C.C. Ã€nec Blau</t>
  </si>
  <si>
    <t>Castelldefels</t>
  </si>
  <si>
    <t>Avenida Canal Olimpic 24</t>
  </si>
  <si>
    <t>Avenida Canal Olimpic 24;;08860;Castelldefels (Barcelona);CataluÃ±a</t>
  </si>
  <si>
    <t>ES0154</t>
  </si>
  <si>
    <t>C.C. Portal de la Marina</t>
  </si>
  <si>
    <t>Ondara</t>
  </si>
  <si>
    <t>Avda Costa Blanca, nÂº1</t>
  </si>
  <si>
    <t>Avda Costa Blanca, nÂº1;;03760;Ondara (Alicante);Comunidad Valenciana</t>
  </si>
  <si>
    <t>ES0155</t>
  </si>
  <si>
    <t>C.C. Zenia Boulevard</t>
  </si>
  <si>
    <t>Orihuela Costa (Alicante)</t>
  </si>
  <si>
    <t>C/ Jade, 2</t>
  </si>
  <si>
    <t>C/ Jade, 2;;03189;Orihuela (Alicante);Comunidad Valenciana</t>
  </si>
  <si>
    <t>ES0156</t>
  </si>
  <si>
    <t>C.C. Holea</t>
  </si>
  <si>
    <t>Huelva</t>
  </si>
  <si>
    <t>Ronda Exterior Zona Sur s/n</t>
  </si>
  <si>
    <t>Ronda Exterior Zona Sur s/n;;21007;Huelva;AndalucÃ­a</t>
  </si>
  <si>
    <t>ES0158</t>
  </si>
  <si>
    <t>C.C. Moraleja Green</t>
  </si>
  <si>
    <t>Avenida Europa, 13-15</t>
  </si>
  <si>
    <t>Avenida Europa, 13-15;;28108;Alcobendas;Comunidad de Madrid</t>
  </si>
  <si>
    <t>ES0159</t>
  </si>
  <si>
    <t>C.C. Centro Oeste</t>
  </si>
  <si>
    <t>Avda. Moreras 2</t>
  </si>
  <si>
    <t>Avda. Moreras 2;;28220;Majadahonda;Comunidad de Madrid</t>
  </si>
  <si>
    <t>ES0160</t>
  </si>
  <si>
    <t>C.C. Castellana 200</t>
  </si>
  <si>
    <t>Paseo de la Castellana 200</t>
  </si>
  <si>
    <t>Paseo de la Castellana 200;;28036;Madrid;Comunidad de Madrid</t>
  </si>
  <si>
    <t>ES0161</t>
  </si>
  <si>
    <t>C.C. Camaretas</t>
  </si>
  <si>
    <t>Soria</t>
  </si>
  <si>
    <t>Urb. Camaretas, C/ Alegria s/n</t>
  </si>
  <si>
    <t>C.C. Camaretas;Urb. Camaretas, C/ Alegria s/n;42190;Golmayo (Soria);Castilla LeÃ³n</t>
  </si>
  <si>
    <t>ES0162</t>
  </si>
  <si>
    <t>C.C. La Loma</t>
  </si>
  <si>
    <t>Jaen</t>
  </si>
  <si>
    <t>Carretera BailÃ©n-Motril KM 37</t>
  </si>
  <si>
    <t>Carretera BailÃ©n-Motril KM 37;;23009;JaÃ©n;AndalucÃ­a</t>
  </si>
  <si>
    <t>ES0163</t>
  </si>
  <si>
    <t>C.C. Loranca</t>
  </si>
  <si>
    <t>Fuenlabrada</t>
  </si>
  <si>
    <t>Avda Pablo Iglesias, 17</t>
  </si>
  <si>
    <t>Avda Pablo Iglesias, 17;;28942;Fuenlabrada;Comunidad de Madrid</t>
  </si>
  <si>
    <t>ES0165</t>
  </si>
  <si>
    <t>C.C. Marina BanÃºs</t>
  </si>
  <si>
    <t>C/ RamÃ³n Areces</t>
  </si>
  <si>
    <t>C/ RamÃ³n Areces;;29600;Marbella (MÃ¡laga);AndalucÃ­a</t>
  </si>
  <si>
    <t>ES0166</t>
  </si>
  <si>
    <t>C.C. Tres Aguas</t>
  </si>
  <si>
    <t>AlcorcÃ³n (Madrid)</t>
  </si>
  <si>
    <t>Avda. de AmÃ©rica 7-9</t>
  </si>
  <si>
    <t>Avda. de AmÃ©rica 7-9;Avda. de AmÃ©rica 7-9;28922;AlcorcÃ³n;Comunidad de Madrid</t>
  </si>
  <si>
    <t>ES0167</t>
  </si>
  <si>
    <t>C.C. Gran VÃ­a</t>
  </si>
  <si>
    <t>C/ JosÃ© GarcÃ­a SellÃ©s, 2</t>
  </si>
  <si>
    <t>C/ JosÃ© GarcÃ­a SellÃ©s, 2;;03015;Alicante;Comunidad Valenciana</t>
  </si>
  <si>
    <t>ES0168</t>
  </si>
  <si>
    <t>C.C. Porto Pi</t>
  </si>
  <si>
    <t>Avenida Gabriel Roca, 54</t>
  </si>
  <si>
    <t>C.C. Porto Pi;Avenida Gabriel Roca, 54;07015;Palma de Mallorca;Baleares</t>
  </si>
  <si>
    <t>ES0169</t>
  </si>
  <si>
    <t>C.C. Thader</t>
  </si>
  <si>
    <t>Avda. Don Juan de BorbÃ³n</t>
  </si>
  <si>
    <t>Avda. Don Juan de BorbÃ³n;;30110;Churra;Murcia</t>
  </si>
  <si>
    <t>ES0174</t>
  </si>
  <si>
    <t>C.C. El Ingenio</t>
  </si>
  <si>
    <t>VÃ©lez-MÃ¡laga</t>
  </si>
  <si>
    <t>Avenida Juan Carlos I s/n</t>
  </si>
  <si>
    <t>Avenida Juan Carlos I s/n;;29740;VÃ©lez-MÃ¡laga;AndalucÃ­a</t>
  </si>
  <si>
    <t>ES0175</t>
  </si>
  <si>
    <t>C.C. El Mirador de Cuenca</t>
  </si>
  <si>
    <t>Cuenca</t>
  </si>
  <si>
    <t>Avenida Mediterraneo s/n</t>
  </si>
  <si>
    <t>Avenida Mediterraneo s/n;Avenida Mediterraneo s/n;16004;Cuenca;Castilla La Mancha</t>
  </si>
  <si>
    <t>ES0176</t>
  </si>
  <si>
    <t>C.C. Magic Badalona</t>
  </si>
  <si>
    <t>Calle Concordia 1</t>
  </si>
  <si>
    <t>Calle Concordia 1;;08917;Badalona (Barcelona);CataluÃ±a</t>
  </si>
  <si>
    <t>ES0177</t>
  </si>
  <si>
    <t>C.C. Valle Real</t>
  </si>
  <si>
    <t>Santander</t>
  </si>
  <si>
    <t>Calle Alday s/n</t>
  </si>
  <si>
    <t>Cantabria</t>
  </si>
  <si>
    <t>C.C. Valle Real;Calle Alday s/n;39600;Camargo;Cantabria</t>
  </si>
  <si>
    <t>ES0179</t>
  </si>
  <si>
    <t>C.C. Zubiarte</t>
  </si>
  <si>
    <t>C/ Lehendakari Leizaola 2,</t>
  </si>
  <si>
    <t>C.C. Zubiarte;C/ Lehendakari Leizaola 2,;48011;Bilbao;PaÃ­s Vasco</t>
  </si>
  <si>
    <t>ES0184</t>
  </si>
  <si>
    <t>C.C. MatarÃ³ Parc</t>
  </si>
  <si>
    <t>MatarÃ³</t>
  </si>
  <si>
    <t>Calle de Estrarburgo, 5</t>
  </si>
  <si>
    <t>Calle de Estrarburgo, 5;;08304;MatarÃ³ (Barcelona);CataluÃ±a</t>
  </si>
  <si>
    <t>ES0190</t>
  </si>
  <si>
    <t>CC Ruta de la Plata</t>
  </si>
  <si>
    <t>CÃ¡ceres</t>
  </si>
  <si>
    <t>C/ Londres, 1</t>
  </si>
  <si>
    <t>CC Ruta de la Plata;C/ Londres, 1;10005;CÃ¡ceres;Extremadura</t>
  </si>
  <si>
    <t>ES0191</t>
  </si>
  <si>
    <t>ES0193</t>
  </si>
  <si>
    <t>C.C NerviÃ³n Plaza</t>
  </si>
  <si>
    <t>Calle Luis de Morales, 3</t>
  </si>
  <si>
    <t>Calle Luis de Morales, 3;;41005;Sevilla;AndalucÃ­a</t>
  </si>
  <si>
    <t>ES0194</t>
  </si>
  <si>
    <t>C.C. Deiland</t>
  </si>
  <si>
    <t>Lanzarote</t>
  </si>
  <si>
    <t>Calle Chimidas, 20</t>
  </si>
  <si>
    <t>C.C. Deiland;Calle Chimidas, 20;35509;Playa Honda, Lanzarote;Canarias</t>
  </si>
  <si>
    <t>ES0196</t>
  </si>
  <si>
    <t>Parque Santiago 6</t>
  </si>
  <si>
    <t>Adeje (Tenerife)</t>
  </si>
  <si>
    <t>Avda. Chayofita, s/n</t>
  </si>
  <si>
    <t>Parque Santiago 6;Avda. Chayofita, s/n;38670;Los Cristianos (Tenerife);Canarias</t>
  </si>
  <si>
    <t>ES0197</t>
  </si>
  <si>
    <t>C.C. Siam Mall</t>
  </si>
  <si>
    <t>Autopista TF1, salida 28</t>
  </si>
  <si>
    <t>C.C. Siam Mall;Autopista TF1, salida 28;38670;Adeje (Tenerife);Canarias</t>
  </si>
  <si>
    <t>ES0198</t>
  </si>
  <si>
    <t>C.C L'Epicentre</t>
  </si>
  <si>
    <t>Sagunto (Valencia)</t>
  </si>
  <si>
    <t>Avda Fausto Caruana</t>
  </si>
  <si>
    <t>Avda Fausto Caruana;;46500;Sagunto (Valencia);Comunidad Valenciana</t>
  </si>
  <si>
    <t>ES0199</t>
  </si>
  <si>
    <t>C.C. Meridiano</t>
  </si>
  <si>
    <t>Avda. Manuel Hermoso Rojas, 16,</t>
  </si>
  <si>
    <t>Avda. Manuel Hermoso Rojas, 16,;;38005;Santa Cruz de Tenerife;Canarias</t>
  </si>
  <si>
    <t>ES0200</t>
  </si>
  <si>
    <t>Passeig de GrÃ cia 11</t>
  </si>
  <si>
    <t>Passeig de GrÃ cia 11;;08007;Barcelona;CataluÃ±a</t>
  </si>
  <si>
    <t>ES0201</t>
  </si>
  <si>
    <t>C.C Fan Mallorca Shopping</t>
  </si>
  <si>
    <t>ardenal Rossell s/n, Locales L1.21 y L0.21</t>
  </si>
  <si>
    <t>ardenal Rossell s/n, Locales L1.21 y L0.21;;07007;Palma de Mallorca;Baleares</t>
  </si>
  <si>
    <t>ES0202</t>
  </si>
  <si>
    <t>C.C. La Fira</t>
  </si>
  <si>
    <t>Reus (Tarragona)</t>
  </si>
  <si>
    <t>Avinguda Sant Jordi, 6</t>
  </si>
  <si>
    <t>Avinguda Sant Jordi, 6;;43201;Reus;CataluÃ±a</t>
  </si>
  <si>
    <t>ES0203</t>
  </si>
  <si>
    <t>C.C. La Sierra</t>
  </si>
  <si>
    <t>CÃ³rdoba</t>
  </si>
  <si>
    <t>Calle Poeta Emilio Prados s/n</t>
  </si>
  <si>
    <t>Calle Poeta Emilio Prados s/n;;14011;CÃ³rdoba;AndalucÃ­a</t>
  </si>
  <si>
    <t>ES0205</t>
  </si>
  <si>
    <t>C.C. GlÃ²ries</t>
  </si>
  <si>
    <t>Avenida Diagonal 208</t>
  </si>
  <si>
    <t>Avenida Diagonal 208;;08018;Barcelona;CataluÃ±a</t>
  </si>
  <si>
    <t>ES0206</t>
  </si>
  <si>
    <t>C.C. Torre Sevilla</t>
  </si>
  <si>
    <t>Calle Gonzalo Jimenez Quesada 2</t>
  </si>
  <si>
    <t>Calle Gonzalo Jimenez Quesada 2;;41092;Sevilla;AndalucÃ­a</t>
  </si>
  <si>
    <t>ES0207</t>
  </si>
  <si>
    <t>C.C. Parque Melilla</t>
  </si>
  <si>
    <t>Melilla</t>
  </si>
  <si>
    <t>Paseo de las Rosas 19A</t>
  </si>
  <si>
    <t>Paseo de las Rosas 19A;;52002;Melilla;Melilla</t>
  </si>
  <si>
    <t>ES0212</t>
  </si>
  <si>
    <t>C.C. Plaza RÃ­o 2</t>
  </si>
  <si>
    <t>Av. Del Manzanares, 210</t>
  </si>
  <si>
    <t>Av. Del Manzanares, 210;Av. Del Manzanares, 210;28026;Madrid;Comunidad de Madrid</t>
  </si>
  <si>
    <t>ES0213</t>
  </si>
  <si>
    <t>C.C. Ferial Plaza</t>
  </si>
  <si>
    <t>Guadalajara</t>
  </si>
  <si>
    <t>Calle Eduardo Guitian Revuelta s/n</t>
  </si>
  <si>
    <t>Calle Eduardo Guitian Revuelta s/n;;19002;Guadalajara;Castilla La Mancha</t>
  </si>
  <si>
    <t>ES0217</t>
  </si>
  <si>
    <t>calle ventas, 80- Irun</t>
  </si>
  <si>
    <t>IrÃºn</t>
  </si>
  <si>
    <t>calle ventas, 80- Irun;;20305;IrÃºn;PaÃ­s Vasco</t>
  </si>
  <si>
    <t>ES0219</t>
  </si>
  <si>
    <t>PolÃ­gono de la Gandara s/n</t>
  </si>
  <si>
    <t>El ferrol (La CoruÃ±a)</t>
  </si>
  <si>
    <t>PolÃ­gono de la Gandara s/n;;15570;Ferrol (CoruÃ±a);Galicia</t>
  </si>
  <si>
    <t>ES0222</t>
  </si>
  <si>
    <t>C.C. Ociopia</t>
  </si>
  <si>
    <t>Orihuela</t>
  </si>
  <si>
    <t>Av. Alcalde Vicente Escudero, 2</t>
  </si>
  <si>
    <t>Av. Alcalde Vicente Escudero, 2;;03300;Orihuela;Comunidad Valenciana</t>
  </si>
  <si>
    <t>ES0223</t>
  </si>
  <si>
    <t>Xativa</t>
  </si>
  <si>
    <t>Ctra. Llosa de Ranes s/n</t>
  </si>
  <si>
    <t>Ctra. Llosa de Ranes s/n;;46800;XÃ tiva;Comunidad Valenciana</t>
  </si>
  <si>
    <t>ES0225</t>
  </si>
  <si>
    <t>Parque Comercial Copo</t>
  </si>
  <si>
    <t>El Ejido</t>
  </si>
  <si>
    <t>Carretera de Almerimar s/n</t>
  </si>
  <si>
    <t>Carretera de Almerimar s/n;;04700;El Ejido;AndalucÃ­a</t>
  </si>
  <si>
    <t>ES0227</t>
  </si>
  <si>
    <t>C.C. TorrecÃ¡rdenas</t>
  </si>
  <si>
    <t>Calle MÃ©dico Francisco PÃ©rez Company, 44</t>
  </si>
  <si>
    <t>Calle MÃ©dico Francisco PÃ©rez Company, 44;;04009;AlmerÃ­a;AndalucÃ­a</t>
  </si>
  <si>
    <t>ES0231</t>
  </si>
  <si>
    <t>C.C. Alisios</t>
  </si>
  <si>
    <t>Carretera Nueva de San Lorenzo, 15</t>
  </si>
  <si>
    <t>Carretera Nueva de San Lorenzo, 15;;35018;Tamaraceite;Canarias</t>
  </si>
  <si>
    <t>ES0233</t>
  </si>
  <si>
    <t>plaza santo domingo de guzmÃ¡n 1</t>
  </si>
  <si>
    <t>BURGOS</t>
  </si>
  <si>
    <t>plaza santo domingo de guzmÃ¡n 1;;09004;Burgos;Castilla LeÃ³n</t>
  </si>
  <si>
    <t>ES0240</t>
  </si>
  <si>
    <t>CC Finestrelles</t>
  </si>
  <si>
    <t>ESPLUGUES DE LLOBREGAT</t>
  </si>
  <si>
    <t>Carrer de LaureÃ  MirÃ³, 20</t>
  </si>
  <si>
    <t>Carrer de LaureÃ  MirÃ³, 20;;08950;Esplugues de Llobregat;CataluÃ±a</t>
  </si>
  <si>
    <t>ES0245</t>
  </si>
  <si>
    <t>C.C. Parque Corredor</t>
  </si>
  <si>
    <t>TorrejÃ³n de Ardoz(Mad)</t>
  </si>
  <si>
    <t>carretera ajalvir; s/n</t>
  </si>
  <si>
    <t>carretera ajalvir; s/n;;28850;TorrejÃ³n de Ardoz;Madrid</t>
  </si>
  <si>
    <t>ES0247</t>
  </si>
  <si>
    <t>C.C. Lagoh</t>
  </si>
  <si>
    <t>Av. Palmas Altas, 1</t>
  </si>
  <si>
    <t>Av. Palmas Altas, 1;;41012;Sevilla;AndalucÃ­a</t>
  </si>
  <si>
    <t>ES0251</t>
  </si>
  <si>
    <t>C.C. Alzamora</t>
  </si>
  <si>
    <t>Carrer els Alzamora, 44</t>
  </si>
  <si>
    <t>Carrer els Alzamora, 44;;03802;Comunidad Valenciana</t>
  </si>
  <si>
    <t>ES0277</t>
  </si>
  <si>
    <t>C.C. Larios</t>
  </si>
  <si>
    <t>Av. de la Aurora, 25</t>
  </si>
  <si>
    <t>Av. de la Aurora, 25;;29002;MÃ¡laga;AndalucÃ­a</t>
  </si>
  <si>
    <t>ES0278</t>
  </si>
  <si>
    <t>C.C. Vialia Vigo</t>
  </si>
  <si>
    <t>Plaza EstaciÃ³n, 1</t>
  </si>
  <si>
    <t>Plaza EstaciÃ³n, 1;;36201;Vigo;Galicia</t>
  </si>
  <si>
    <t>FI0002</t>
  </si>
  <si>
    <t>Kauppakeskus Itis</t>
  </si>
  <si>
    <t>Helsinki</t>
  </si>
  <si>
    <t>Finland</t>
  </si>
  <si>
    <t>FI</t>
  </si>
  <si>
    <t>Turunlinnantie 4</t>
  </si>
  <si>
    <t>Turunlinnantie 4;;00930;Helsinki</t>
  </si>
  <si>
    <t>FI0003</t>
  </si>
  <si>
    <t>Rewell</t>
  </si>
  <si>
    <t>Vaasa</t>
  </si>
  <si>
    <t>12:00-16:00</t>
  </si>
  <si>
    <t>Vaasanpuistikko 9-11</t>
  </si>
  <si>
    <t>Vaasanpuistikko 9-11;;65100;Vaasa</t>
  </si>
  <si>
    <t>FI0005</t>
  </si>
  <si>
    <t>Trio-Forum</t>
  </si>
  <si>
    <t>Lahti</t>
  </si>
  <si>
    <t>Aleksanterinkatu 22</t>
  </si>
  <si>
    <t>Aleksanterinkatu 22;;15140;Lahti</t>
  </si>
  <si>
    <t>FI0010</t>
  </si>
  <si>
    <t>Mannerheimintie 20</t>
  </si>
  <si>
    <t>Mannerheimintie 20;;00100;Helsinki</t>
  </si>
  <si>
    <t>FI0011</t>
  </si>
  <si>
    <t>H-Talo</t>
  </si>
  <si>
    <t>Kuopio</t>
  </si>
  <si>
    <t>Haapaniemenkatu 20</t>
  </si>
  <si>
    <t>Haapaniemenkatu 20;;70110;Kuopio</t>
  </si>
  <si>
    <t>FI0012</t>
  </si>
  <si>
    <t>Kauppakeskus Jumbo</t>
  </si>
  <si>
    <t>Vantaa</t>
  </si>
  <si>
    <t>Vantaanportinkatu 3</t>
  </si>
  <si>
    <t>Vantaanportinkatu 3;;01510;Vantaa</t>
  </si>
  <si>
    <t>FI0017</t>
  </si>
  <si>
    <t>Kauppakeskus Mylly</t>
  </si>
  <si>
    <t>Raisio</t>
  </si>
  <si>
    <t>Myllynkatu 1</t>
  </si>
  <si>
    <t>Myllynkatu 1;;21280;Raisio</t>
  </si>
  <si>
    <t>FI0022</t>
  </si>
  <si>
    <t>Kauppakeskus Hansa</t>
  </si>
  <si>
    <t>Turku</t>
  </si>
  <si>
    <t>Yliopistonkatu 20</t>
  </si>
  <si>
    <t>Yliopistonkatu 20;;20100;Turku</t>
  </si>
  <si>
    <t>FI0023</t>
  </si>
  <si>
    <t>Kauppakeskus Sello</t>
  </si>
  <si>
    <t>Espoo</t>
  </si>
  <si>
    <t>LeppÃ¤vaarankatu 3-9</t>
  </si>
  <si>
    <t>LeppÃ¤vaarankatu 3-9;;02600;Espoo</t>
  </si>
  <si>
    <t>FI0025</t>
  </si>
  <si>
    <t>Kirkkokatu 27</t>
  </si>
  <si>
    <t>Oulu</t>
  </si>
  <si>
    <t>Kirkkokatu 27;;90100;Oulu</t>
  </si>
  <si>
    <t>FI0027</t>
  </si>
  <si>
    <t>Kauppakeskus Pasaati</t>
  </si>
  <si>
    <t>Kotka</t>
  </si>
  <si>
    <t>Ruotsinsalmenkatu 12</t>
  </si>
  <si>
    <t>Ruotsinsalmenkatu 12;;48100;Kotka</t>
  </si>
  <si>
    <t>FI0030</t>
  </si>
  <si>
    <t>Kauppakeskus Iso Myy</t>
  </si>
  <si>
    <t>Joensuu</t>
  </si>
  <si>
    <t>Kauppakatu 24</t>
  </si>
  <si>
    <t>Kauppakatu 24;;80100;Joensuu</t>
  </si>
  <si>
    <t>FI0032</t>
  </si>
  <si>
    <t>Salo Plaza</t>
  </si>
  <si>
    <t>Salo</t>
  </si>
  <si>
    <t>Vilhonkatu 8</t>
  </si>
  <si>
    <t>Vilhonkatu 8;;24100;Salo</t>
  </si>
  <si>
    <t>FI0033</t>
  </si>
  <si>
    <t>Kauppakeskus Chydenia</t>
  </si>
  <si>
    <t>Kokkola</t>
  </si>
  <si>
    <t>Tehtaankatu 3-5</t>
  </si>
  <si>
    <t>Tehtaankatu 3-5;;67100;Kokkola</t>
  </si>
  <si>
    <t>FI0034</t>
  </si>
  <si>
    <t>Ideapark LempÃ¤Ã¤lÃ¤</t>
  </si>
  <si>
    <t>LempÃ¤Ã¤lÃ¤</t>
  </si>
  <si>
    <t>Ideaparkinkatu 4</t>
  </si>
  <si>
    <t>Ideaparkinkatu 4;;37570;LempÃ¤Ã¤lÃ¤</t>
  </si>
  <si>
    <t>FI0035</t>
  </si>
  <si>
    <t>Kauppakeskus Rajalla</t>
  </si>
  <si>
    <t>Tornio</t>
  </si>
  <si>
    <t>LÃ¤nsiranta 10</t>
  </si>
  <si>
    <t>LÃ¤nsiranta 10;;95400;Tornio</t>
  </si>
  <si>
    <t>FI0036</t>
  </si>
  <si>
    <t>Kauppakatu 18</t>
  </si>
  <si>
    <t>Kajaani</t>
  </si>
  <si>
    <t>Kauppakatu 18;;87100;Kajaani</t>
  </si>
  <si>
    <t>FI0037</t>
  </si>
  <si>
    <t>Kauppakeskus Galleria</t>
  </si>
  <si>
    <t>Lappeenranta</t>
  </si>
  <si>
    <t>Kauppakatu 40</t>
  </si>
  <si>
    <t>Kauppakatu 40;;53100;Lappeenranta</t>
  </si>
  <si>
    <t>FI0039</t>
  </si>
  <si>
    <t>Kauppakeskus Willa</t>
  </si>
  <si>
    <t>HyvinkÃ¤Ã¤</t>
  </si>
  <si>
    <t>Torikatu 7</t>
  </si>
  <si>
    <t>Torikatu 7;;05800;HyvinkÃ¤Ã¤</t>
  </si>
  <si>
    <t>FI0050</t>
  </si>
  <si>
    <t>Kauppakeskus Skanssi</t>
  </si>
  <si>
    <t>Skanssinkatu 10</t>
  </si>
  <si>
    <t>Skanssinkatu 10;;20730;Turku</t>
  </si>
  <si>
    <t>FI0053</t>
  </si>
  <si>
    <t>Kauppakeskus Zeppelin</t>
  </si>
  <si>
    <t>Kempele</t>
  </si>
  <si>
    <t>Zeppeliinintie 1</t>
  </si>
  <si>
    <t>Zeppeliinintie 1;;90450;Kempele</t>
  </si>
  <si>
    <t>FI0055</t>
  </si>
  <si>
    <t>Kauppakeskus Karisma</t>
  </si>
  <si>
    <t>Kauppiaankatu 2</t>
  </si>
  <si>
    <t>Kauppiaankatu 2;;15160;Lahti</t>
  </si>
  <si>
    <t>FI0057</t>
  </si>
  <si>
    <t>Kauppakeskus Revontuli</t>
  </si>
  <si>
    <t>Rovaniemi</t>
  </si>
  <si>
    <t>Koskikatu 27</t>
  </si>
  <si>
    <t>Koskikatu 27;;96100;Rovaniemi</t>
  </si>
  <si>
    <t>FI0058</t>
  </si>
  <si>
    <t>Kauppakeskus Veturi</t>
  </si>
  <si>
    <t>Kouvola</t>
  </si>
  <si>
    <t>Tervasharjunkatu 1</t>
  </si>
  <si>
    <t>Tervasharjunkatu 1;;45720;Kouvola</t>
  </si>
  <si>
    <t>FI0071</t>
  </si>
  <si>
    <t>Kauppakeskus Stella</t>
  </si>
  <si>
    <t>Mikkeli</t>
  </si>
  <si>
    <t>Maaherrankatu 13</t>
  </si>
  <si>
    <t>Maaherrankatu 13;;50100;Mikkeli</t>
  </si>
  <si>
    <t>FI0072</t>
  </si>
  <si>
    <t>Taidetehdas</t>
  </si>
  <si>
    <t>Porvoo</t>
  </si>
  <si>
    <t>Taidetehtaankatu 4</t>
  </si>
  <si>
    <t>Taidetehtaankatu 4;;06100;Porvoo</t>
  </si>
  <si>
    <t>FI0073</t>
  </si>
  <si>
    <t>Kauppakeskus Matkus</t>
  </si>
  <si>
    <t>Matkuksentie 60</t>
  </si>
  <si>
    <t>Matkuksentie 60;;70800;Kuopio</t>
  </si>
  <si>
    <t>FI0074</t>
  </si>
  <si>
    <t>Kauppakeskus Myyrmanni</t>
  </si>
  <si>
    <t>Iskoskuja 3</t>
  </si>
  <si>
    <t>Iskoskuja 3;;01600;Vantaa</t>
  </si>
  <si>
    <t>FI0075</t>
  </si>
  <si>
    <t>GW-Galleria</t>
  </si>
  <si>
    <t>Kivihaantie 14</t>
  </si>
  <si>
    <t>Kivihaantie 14;;65300;Vaasa</t>
  </si>
  <si>
    <t>FI0077</t>
  </si>
  <si>
    <t>Maxinge Center</t>
  </si>
  <si>
    <t>Maarianhamina</t>
  </si>
  <si>
    <t>SparvÃ¤gen 1</t>
  </si>
  <si>
    <t>SparvÃ¤gen 1;;22150;Jomala Ã…land</t>
  </si>
  <si>
    <t>FI0101</t>
  </si>
  <si>
    <t>Torikeskus</t>
  </si>
  <si>
    <t>SeinÃ¤joki</t>
  </si>
  <si>
    <t>Kauppatori 1</t>
  </si>
  <si>
    <t>Kauppatori 1;;60100;SeinÃ¤joki</t>
  </si>
  <si>
    <t>FI0102</t>
  </si>
  <si>
    <t>Kauppakeskus Like</t>
  </si>
  <si>
    <t>Tampere</t>
  </si>
  <si>
    <t>Antti Possin kuja 1</t>
  </si>
  <si>
    <t>Antti Possin kuja 1;;33400;Tampere</t>
  </si>
  <si>
    <t>FI0103</t>
  </si>
  <si>
    <t>Kauppakeskus Goodman</t>
  </si>
  <si>
    <t>HÃ¤meenlinna</t>
  </si>
  <si>
    <t>Kaivokatu 7</t>
  </si>
  <si>
    <t>Kaivokatu 7;;13100;HÃ¤meenlinna</t>
  </si>
  <si>
    <t>FI0105</t>
  </si>
  <si>
    <t>Kauppakeskus Puuvilla</t>
  </si>
  <si>
    <t>Pori</t>
  </si>
  <si>
    <t>Siltapuistokatu 14</t>
  </si>
  <si>
    <t>Siltapuistokatu 14;;28100;Pori</t>
  </si>
  <si>
    <t>FI0106</t>
  </si>
  <si>
    <t>Kauppakeskus SeppÃ¤</t>
  </si>
  <si>
    <t>JyvÃ¤skylÃ¤</t>
  </si>
  <si>
    <t>Ahjokatu 5</t>
  </si>
  <si>
    <t>Ahjokatu 5;;40320;JyvÃ¤skylÃ¤</t>
  </si>
  <si>
    <t>FI0108</t>
  </si>
  <si>
    <t>Kauppakeskus Entresse</t>
  </si>
  <si>
    <t>Siltakatu 11</t>
  </si>
  <si>
    <t>Siltakatu 11;;02770;Espoo</t>
  </si>
  <si>
    <t>FI0111</t>
  </si>
  <si>
    <t>Jakob Center</t>
  </si>
  <si>
    <t>Pietarsaari</t>
  </si>
  <si>
    <t>Kanalesplanaden 18</t>
  </si>
  <si>
    <t>Kanalesplanaden 18;;68600;Pietarsaari</t>
  </si>
  <si>
    <t>FI0112</t>
  </si>
  <si>
    <t>Ideapark Oulu</t>
  </si>
  <si>
    <t>Ritaharjuntie 49</t>
  </si>
  <si>
    <t>Ritaharjuntie 49;;90540;Oulu</t>
  </si>
  <si>
    <t>FI0116</t>
  </si>
  <si>
    <t>Kauppakatu 37</t>
  </si>
  <si>
    <t>Kauppakatu 37;;40100;JyvÃ¤skylÃ¤</t>
  </si>
  <si>
    <t>FI0117</t>
  </si>
  <si>
    <t>Kauppakeskus Ratina</t>
  </si>
  <si>
    <t>Vuolteenkatu 1</t>
  </si>
  <si>
    <t>Vuolteenkatu 1;;33100;Tampere</t>
  </si>
  <si>
    <t>FI0118</t>
  </si>
  <si>
    <t>Kauppakeskus Iso-Omena</t>
  </si>
  <si>
    <t>Piispansilta 11</t>
  </si>
  <si>
    <t>Piispansilta 11;;02300;Espoo</t>
  </si>
  <si>
    <t>FI0121</t>
  </si>
  <si>
    <t>Kauppakeskus Tripla</t>
  </si>
  <si>
    <t>Ratapihantie 6</t>
  </si>
  <si>
    <t>Ratapihantie 6;;00520;Helsinki</t>
  </si>
  <si>
    <t>FI0122</t>
  </si>
  <si>
    <t>Ideapark SeinÃ¤joki</t>
  </si>
  <si>
    <t>Pelttarinkatu 4</t>
  </si>
  <si>
    <t>Pelttarinkatu 4;;60320;SeinÃ¤joki</t>
  </si>
  <si>
    <t>FI0125</t>
  </si>
  <si>
    <t>Kauppakeskus Redi</t>
  </si>
  <si>
    <t>Hermannin Rantatie 5</t>
  </si>
  <si>
    <t>Hermannin Rantatie 5;;00580;Helsinki</t>
  </si>
  <si>
    <t>FI0126</t>
  </si>
  <si>
    <t>Kauppakeskus Ainoa</t>
  </si>
  <si>
    <t>Tapionaukio 4</t>
  </si>
  <si>
    <t>Tapionaukio 4;;02100;Espoo</t>
  </si>
  <si>
    <t>FI0129</t>
  </si>
  <si>
    <t>Kauppakeskus Lohi</t>
  </si>
  <si>
    <t>Lohja</t>
  </si>
  <si>
    <t>Suurlohjankatu 9-13</t>
  </si>
  <si>
    <t>Suurlohjankatu 9-13;;08100;Lohja</t>
  </si>
  <si>
    <t>FR0003</t>
  </si>
  <si>
    <t>C.Cial Westfield les 4 Temps</t>
  </si>
  <si>
    <t>La DÃ©fense</t>
  </si>
  <si>
    <t>France</t>
  </si>
  <si>
    <t>FR</t>
  </si>
  <si>
    <t>15, Parvis de la DÃ©fense</t>
  </si>
  <si>
    <t>15, Parvis de la DÃ©fense;;92092;Puteaux Cedex</t>
  </si>
  <si>
    <t>FR0004</t>
  </si>
  <si>
    <t>H&amp;M Lyon Cordeliers</t>
  </si>
  <si>
    <t>Lyon</t>
  </si>
  <si>
    <t>31, rue de la RÃ©publique</t>
  </si>
  <si>
    <t>31, rue de la RÃ©publique;;69002;Lyon</t>
  </si>
  <si>
    <t>FR0006</t>
  </si>
  <si>
    <t>C.Cial Westfield Euralille</t>
  </si>
  <si>
    <t>Lille</t>
  </si>
  <si>
    <t>100, Avenue Willy Brandt ProlongÃ©e</t>
  </si>
  <si>
    <t>BP 85</t>
  </si>
  <si>
    <t>100, Avenue Willy Brandt ProlongÃ©e;BP 85;59777;Lille</t>
  </si>
  <si>
    <t>FR0008</t>
  </si>
  <si>
    <t>C.Cial Espace Saint Quentin</t>
  </si>
  <si>
    <t>St Quentin en Yvelines</t>
  </si>
  <si>
    <t>5 Place Colbert</t>
  </si>
  <si>
    <t>5 Place Colbert;;78885;St Quentin Yveli</t>
  </si>
  <si>
    <t>FR0009</t>
  </si>
  <si>
    <t>C.Cial Les 3 Fontaines</t>
  </si>
  <si>
    <t>Cergy</t>
  </si>
  <si>
    <t>Rue de la Croix des Maheux</t>
  </si>
  <si>
    <t>Rue de la Croix des Maheux;;95000;Cergy</t>
  </si>
  <si>
    <t>FR0010</t>
  </si>
  <si>
    <t>C.Cial Belle Epine</t>
  </si>
  <si>
    <t>Thiais</t>
  </si>
  <si>
    <t>Avenue du Luxembourg</t>
  </si>
  <si>
    <t>Avenue du Luxembourg;;94531;Thiais</t>
  </si>
  <si>
    <t>FR0011</t>
  </si>
  <si>
    <t>C.Cial Westfield Forum des Halles</t>
  </si>
  <si>
    <t>Paris</t>
  </si>
  <si>
    <t>Porte Lescot, Niveaux -1 -2 -3</t>
  </si>
  <si>
    <t>Porte Lescot, Niveaux -1 -2 -3;;75001;Paris</t>
  </si>
  <si>
    <t>FR0012</t>
  </si>
  <si>
    <t>C.Cial O'Parinor</t>
  </si>
  <si>
    <t>Aulnay sous bois</t>
  </si>
  <si>
    <t>ZI Haut de Galy</t>
  </si>
  <si>
    <t>ZI Haut de Galy;;93600;Aulnay Sous Bois</t>
  </si>
  <si>
    <t>FR0013</t>
  </si>
  <si>
    <t>C.Cial CitÃ© Europe</t>
  </si>
  <si>
    <t>Coquelles</t>
  </si>
  <si>
    <t>1001, Boulevard de Kent</t>
  </si>
  <si>
    <t>1001, Boulevard de Kent;;62231;Coquelles</t>
  </si>
  <si>
    <t>FR0016</t>
  </si>
  <si>
    <t>C.Cial Val dÂ´Europe</t>
  </si>
  <si>
    <t>Marne la VallÃ©e</t>
  </si>
  <si>
    <t>14, cours du Danube</t>
  </si>
  <si>
    <t>14, cours du Danube;;77700;Marne-la-VallÃ©e</t>
  </si>
  <si>
    <t>FR0017</t>
  </si>
  <si>
    <t>Centre Saint Sever</t>
  </si>
  <si>
    <t>Rouen</t>
  </si>
  <si>
    <t>Avenue de Bretagne</t>
  </si>
  <si>
    <t>Avenue de Bretagne;;76100;Rouen</t>
  </si>
  <si>
    <t>FR0020</t>
  </si>
  <si>
    <t>C.Cial Centre Marine</t>
  </si>
  <si>
    <t>Dunkerque</t>
  </si>
  <si>
    <t>24, rue des fusilliers Marins</t>
  </si>
  <si>
    <t>24, rue des fusilliers Marins;;59140;Dunkerque</t>
  </si>
  <si>
    <t>FR0022</t>
  </si>
  <si>
    <t>C.Cial MÃ©riadek</t>
  </si>
  <si>
    <t>Bordeaux</t>
  </si>
  <si>
    <t>57, rue du chateau d'eau</t>
  </si>
  <si>
    <t>57, rue du chateau d'eau;;33000;Bordeaux</t>
  </si>
  <si>
    <t>FR0023</t>
  </si>
  <si>
    <t>C.Cial Courier</t>
  </si>
  <si>
    <t>Annecy</t>
  </si>
  <si>
    <t>65, rue Carnot</t>
  </si>
  <si>
    <t>65, rue Carnot;;74000;Annecy</t>
  </si>
  <si>
    <t>FR0025</t>
  </si>
  <si>
    <t>CC Evry 2</t>
  </si>
  <si>
    <t>Evry</t>
  </si>
  <si>
    <t>2, boulevard de l'Europe</t>
  </si>
  <si>
    <t>2, boulevard de l'Europe;;91000;Evry</t>
  </si>
  <si>
    <t>FR0026</t>
  </si>
  <si>
    <t>C.Cial Place d'Arc</t>
  </si>
  <si>
    <t>OrlÃ©ans</t>
  </si>
  <si>
    <t>2, rue Nicolas Copernic</t>
  </si>
  <si>
    <t>2, rue Nicolas Copernic;;45100;OrlÃ©ans</t>
  </si>
  <si>
    <t>FR0028</t>
  </si>
  <si>
    <t>C.Cial Avant Cap</t>
  </si>
  <si>
    <t>Marseille</t>
  </si>
  <si>
    <t>Plan de Campagne CD6</t>
  </si>
  <si>
    <t>Plan de Campagne CD6;;13480;Cabries</t>
  </si>
  <si>
    <t>FR0030</t>
  </si>
  <si>
    <t>C.Cial Issy 3 Moulins</t>
  </si>
  <si>
    <t>Issy Les Moulineaux</t>
  </si>
  <si>
    <t>3, allÃ©e Saint Lucie</t>
  </si>
  <si>
    <t>3, allÃ©e Saint Lucie;;92130;Issy Les Moulineaux</t>
  </si>
  <si>
    <t>FR0031</t>
  </si>
  <si>
    <t>H&amp;M Nancy Rue Saint Jean</t>
  </si>
  <si>
    <t>Nancy</t>
  </si>
  <si>
    <t>45, rue Saint Jean</t>
  </si>
  <si>
    <t>45, rue Saint Jean;;54000;Nancy</t>
  </si>
  <si>
    <t>FR0032</t>
  </si>
  <si>
    <t>H&amp;M Dijon Rue de la LibertÃ©</t>
  </si>
  <si>
    <t>Dijon</t>
  </si>
  <si>
    <t>51, rue de la LibertÃ©</t>
  </si>
  <si>
    <t>51, rue de la LibertÃ©;;21000;Dijon</t>
  </si>
  <si>
    <t>FR0033</t>
  </si>
  <si>
    <t>H&amp;M Avignon RÃ©publique</t>
  </si>
  <si>
    <t>Avignon</t>
  </si>
  <si>
    <t>22, rue de la RÃ©publique</t>
  </si>
  <si>
    <t>22, rue de la RÃ©publique;;84000;Avignon</t>
  </si>
  <si>
    <t>FR0035</t>
  </si>
  <si>
    <t>C.Cial Marseille Grand Littoral</t>
  </si>
  <si>
    <t>11, avenue Saint Antoine</t>
  </si>
  <si>
    <t>11, avenue Saint Antoine;;13015;Marseille</t>
  </si>
  <si>
    <t>FR0036</t>
  </si>
  <si>
    <t>CC Saint Etienne Centre Deux</t>
  </si>
  <si>
    <t>St Etienne</t>
  </si>
  <si>
    <t>1-7 Rue des Docteurs Charcot</t>
  </si>
  <si>
    <t>1-7 Rue des Docteurs Charcot;;42100;Saint Etienne</t>
  </si>
  <si>
    <t>FR0037</t>
  </si>
  <si>
    <t>C.Cial Grand Place</t>
  </si>
  <si>
    <t>Grenoble</t>
  </si>
  <si>
    <t>55, Grand'Place</t>
  </si>
  <si>
    <t>55, Grand'Place;;38100;Grenoble</t>
  </si>
  <si>
    <t>FR0038</t>
  </si>
  <si>
    <t>H&amp;M Bordeaux Ste Catherine</t>
  </si>
  <si>
    <t>50-60 rue Sainte Catherine</t>
  </si>
  <si>
    <t>50-60 rue Sainte Catherine;;33000;Bordeaux</t>
  </si>
  <si>
    <t>FR0039</t>
  </si>
  <si>
    <t>C.Cial Espace Jean JaurÃ¨s</t>
  </si>
  <si>
    <t>Brest</t>
  </si>
  <si>
    <t>65, rue Jean JaurÃ¨s</t>
  </si>
  <si>
    <t>65, rue Jean JaurÃ¨s;;29200;Brest</t>
  </si>
  <si>
    <t>FR0040</t>
  </si>
  <si>
    <t>C.Cial Espace Grand Rue</t>
  </si>
  <si>
    <t>Roubaix</t>
  </si>
  <si>
    <t>21 bis, Grande Rue</t>
  </si>
  <si>
    <t>21 bis, Grande Rue;;59100;Roubaix</t>
  </si>
  <si>
    <t>FR0041</t>
  </si>
  <si>
    <t>C.Cial Atlantis</t>
  </si>
  <si>
    <t>Nantes</t>
  </si>
  <si>
    <t>Boulevard Savador Allende</t>
  </si>
  <si>
    <t>Boulevard Savador Allende;;44800;Saint Herblain</t>
  </si>
  <si>
    <t>FR0043</t>
  </si>
  <si>
    <t>C.Cial La Part Dieu</t>
  </si>
  <si>
    <t>17, Rue du Docteur Bouchut</t>
  </si>
  <si>
    <t>17, Rue du Docteur Bouchut;;69003;Lyon</t>
  </si>
  <si>
    <t>FR0045</t>
  </si>
  <si>
    <t>H&amp;M Nantes Budapest</t>
  </si>
  <si>
    <t>1, rue de Budapest</t>
  </si>
  <si>
    <t>1, rue de Budapest;;44000;Nantes</t>
  </si>
  <si>
    <t>FR0047</t>
  </si>
  <si>
    <t>H&amp;M Reims Rue de Vesle</t>
  </si>
  <si>
    <t>Reims</t>
  </si>
  <si>
    <t>55-63, rue de Vesle</t>
  </si>
  <si>
    <t>55-63, rue de Vesle;;51000;Reims</t>
  </si>
  <si>
    <t>FR0048</t>
  </si>
  <si>
    <t>C.Cial Westfield Rosny 2</t>
  </si>
  <si>
    <t>Rosny</t>
  </si>
  <si>
    <t>avenue du GÃ©nÃ©ral de Gaulle</t>
  </si>
  <si>
    <t>avenue du GÃ©nÃ©ral de Gaulle;;93117;Rosny Bois</t>
  </si>
  <si>
    <t>FR0049</t>
  </si>
  <si>
    <t>C.Cial Westfield VÃ©lizy 2</t>
  </si>
  <si>
    <t>VÃ©lizy Villacoublay</t>
  </si>
  <si>
    <t>2, avenue de l'Europe</t>
  </si>
  <si>
    <t>2, avenue de l'Europe;;78140;VÃ©lizy</t>
  </si>
  <si>
    <t>FR0050</t>
  </si>
  <si>
    <t>C.Cial Westfield CarrÃ© SÃ©nart</t>
  </si>
  <si>
    <t>Lieusaint</t>
  </si>
  <si>
    <t>3, AllÃ©e du PrÃ©ambule</t>
  </si>
  <si>
    <t>3, AllÃ©e du PrÃ©ambule;;77240;Lieusaint</t>
  </si>
  <si>
    <t>FR0053</t>
  </si>
  <si>
    <t>C.Cial Val Thoiry</t>
  </si>
  <si>
    <t>Val Thoiry</t>
  </si>
  <si>
    <t>1410, rue de la Gare</t>
  </si>
  <si>
    <t>1410, rue de la Gare;;01710;Val Thoiry</t>
  </si>
  <si>
    <t>FR0056</t>
  </si>
  <si>
    <t>C.Cial La Galerie - Cap CostiÃ¨res</t>
  </si>
  <si>
    <t>NÃ®mes</t>
  </si>
  <si>
    <t>400, avenue du Docteur Claude Baillet</t>
  </si>
  <si>
    <t>400, avenue du Docteur Claude Baillet;;30918;NÃ®mes</t>
  </si>
  <si>
    <t>FR0057</t>
  </si>
  <si>
    <t>H&amp;M Bourges rue Moyenne</t>
  </si>
  <si>
    <t>Bourges</t>
  </si>
  <si>
    <t>6-8, rue Moyenne</t>
  </si>
  <si>
    <t>6-8, rue Moyenne;;18000;Bourges</t>
  </si>
  <si>
    <t>FR0059</t>
  </si>
  <si>
    <t>C.Cial Avignon Cap Sud</t>
  </si>
  <si>
    <t>162, avenue Pierre Semard</t>
  </si>
  <si>
    <t>162, avenue Pierre Semard;;84000;Avignon</t>
  </si>
  <si>
    <t>FR0061</t>
  </si>
  <si>
    <t>H&amp;M Thionville</t>
  </si>
  <si>
    <t>Thionville</t>
  </si>
  <si>
    <t>10-12, Place du MarchÃ©</t>
  </si>
  <si>
    <t>10-12, Place du MarchÃ©;;57100;Thionville</t>
  </si>
  <si>
    <t>FR0062</t>
  </si>
  <si>
    <t>C.Cial Fleur d'Eau</t>
  </si>
  <si>
    <t>Angers</t>
  </si>
  <si>
    <t>2, place Mondain Chanlouineau</t>
  </si>
  <si>
    <t>2, place Mondain Chanlouineau;;49100;Angers</t>
  </si>
  <si>
    <t>FR0064</t>
  </si>
  <si>
    <t>H&amp;M rue des Minimes</t>
  </si>
  <si>
    <t>Le Mans</t>
  </si>
  <si>
    <t>6, rue des Minimes</t>
  </si>
  <si>
    <t>6, rue des Minimes;;72000;Le Mans</t>
  </si>
  <si>
    <t>FR0065</t>
  </si>
  <si>
    <t>C.Cial La Vache Noire</t>
  </si>
  <si>
    <t>Arcueil</t>
  </si>
  <si>
    <t>Place de la Vache Noire, RN20</t>
  </si>
  <si>
    <t>Place de la Vache Noire, RN20;;94110;Arcueil</t>
  </si>
  <si>
    <t>FR0067</t>
  </si>
  <si>
    <t>C.Cial Blagnac</t>
  </si>
  <si>
    <t>Toulouse</t>
  </si>
  <si>
    <t>2, AllÃ©e Emile Zola</t>
  </si>
  <si>
    <t>2, AllÃ©e Emile Zola;;31700;Blagnac</t>
  </si>
  <si>
    <t>FR0070</t>
  </si>
  <si>
    <t>C.Cial L'Heure Tranquille</t>
  </si>
  <si>
    <t>Tours</t>
  </si>
  <si>
    <t>59, avenue Marcel MÃ©rieux</t>
  </si>
  <si>
    <t>59, avenue Marcel MÃ©rieux;;37200;Tours</t>
  </si>
  <si>
    <t>FR0071</t>
  </si>
  <si>
    <t>C.Cial La Visitation</t>
  </si>
  <si>
    <t>Rennes</t>
  </si>
  <si>
    <t>CC La Visitation</t>
  </si>
  <si>
    <t>11 rue de la visitation</t>
  </si>
  <si>
    <t>CC La Visitation;11 rue de la visitation;35000;Rennes</t>
  </si>
  <si>
    <t>FR0072</t>
  </si>
  <si>
    <t>C.Cial Mistral 7</t>
  </si>
  <si>
    <t>1741, route de Marseille</t>
  </si>
  <si>
    <t>1741, route de Marseille;;84140;Montfavet</t>
  </si>
  <si>
    <t>FR0075</t>
  </si>
  <si>
    <t>Centre Place d'Armes</t>
  </si>
  <si>
    <t>Valenciennes</t>
  </si>
  <si>
    <t>12 rue de la Halle</t>
  </si>
  <si>
    <t>12 rue de la Halle;;59300;Valenciennes</t>
  </si>
  <si>
    <t>FR0081</t>
  </si>
  <si>
    <t>Les AllÃ©es ProvenÃ§ales</t>
  </si>
  <si>
    <t>Aix en Provence</t>
  </si>
  <si>
    <t>Avenue Giuseppe Verdi</t>
  </si>
  <si>
    <t>Avenue Giuseppe Verdi;;13100;aix en provence</t>
  </si>
  <si>
    <t>FR0083</t>
  </si>
  <si>
    <t>C.Cial Le Centre V2</t>
  </si>
  <si>
    <t>Villeneuve d'Ascq</t>
  </si>
  <si>
    <t>Boulevard de Valmy</t>
  </si>
  <si>
    <t>Boulevard de Valmy;;59650;Villeneuve-d'Ascq</t>
  </si>
  <si>
    <t>FR0084</t>
  </si>
  <si>
    <t>C.Cial Lomme</t>
  </si>
  <si>
    <t>130, rue de Grand But</t>
  </si>
  <si>
    <t>130, rue de Grand But;;59160;Lomme</t>
  </si>
  <si>
    <t>FR0090</t>
  </si>
  <si>
    <t>C.Cial Espace Nayel</t>
  </si>
  <si>
    <t>Lorient</t>
  </si>
  <si>
    <t>11, rue Auguste Nayel</t>
  </si>
  <si>
    <t>11, rue Auguste Nayel;;56100;Lorient</t>
  </si>
  <si>
    <t>FR0096</t>
  </si>
  <si>
    <t>C.Cial Aushopping Noyelles</t>
  </si>
  <si>
    <t>Noyelles Godault</t>
  </si>
  <si>
    <t>Route Nationale 43</t>
  </si>
  <si>
    <t>Route Nationale 43;;62950;Noyelles Godault</t>
  </si>
  <si>
    <t>FR0097</t>
  </si>
  <si>
    <t>Galerie Beaulieu</t>
  </si>
  <si>
    <t>Poitiers</t>
  </si>
  <si>
    <t>2, avenue de Lafayette</t>
  </si>
  <si>
    <t>2, avenue de Lafayette;;86000;Poitiers</t>
  </si>
  <si>
    <t>FR0098</t>
  </si>
  <si>
    <t>C.Cial LabÃ¨ge 2</t>
  </si>
  <si>
    <t>700 La PyrÃ©nÃ©enne</t>
  </si>
  <si>
    <t>700 La PyrÃ©nÃ©enne;;31670;LabÃ¨ge</t>
  </si>
  <si>
    <t>FR0100</t>
  </si>
  <si>
    <t>H&amp;M Champs ElysÃ©es</t>
  </si>
  <si>
    <t>88, avenue des Champs ElysÃ©es</t>
  </si>
  <si>
    <t>88, avenue des Champs ElysÃ©es;;75008;Paris</t>
  </si>
  <si>
    <t>FR0101</t>
  </si>
  <si>
    <t>C.Cial Westfield Eurallile</t>
  </si>
  <si>
    <t>100, avenue Willy Brandt ProlongÃ©e BP85</t>
  </si>
  <si>
    <t>100, avenue Willy Brandt ProlongÃ©e BP85;;59777;Lille</t>
  </si>
  <si>
    <t>FR0103</t>
  </si>
  <si>
    <t>C.Cial Champs de Mars</t>
  </si>
  <si>
    <t>AngoulÃªme</t>
  </si>
  <si>
    <t>4 Place du Champ de Mars</t>
  </si>
  <si>
    <t>4 Place du Champ de Mars;;16000;AngoulÃªme</t>
  </si>
  <si>
    <t>FR0105</t>
  </si>
  <si>
    <t>C.Cial Rivetoile</t>
  </si>
  <si>
    <t>Strasbourg</t>
  </si>
  <si>
    <t>3, Place Dauphine</t>
  </si>
  <si>
    <t>3, Place Dauphine;;67100;Strasbourg</t>
  </si>
  <si>
    <t>FR0106</t>
  </si>
  <si>
    <t>C.Cial Saint Martial Limoges</t>
  </si>
  <si>
    <t>Limoges</t>
  </si>
  <si>
    <t>39 bis, avenue Garibaldi</t>
  </si>
  <si>
    <t>39 bis, avenue Garibaldi;;87000;Limoges</t>
  </si>
  <si>
    <t>FR0107</t>
  </si>
  <si>
    <t>H&amp;M ChambÃ©ry, Les Halles</t>
  </si>
  <si>
    <t>ChambÃ©ry</t>
  </si>
  <si>
    <t>3, place de GenÃ¨ve</t>
  </si>
  <si>
    <t>3, place de GenÃ¨ve;;73000;ChambÃ©ry</t>
  </si>
  <si>
    <t>FR0111</t>
  </si>
  <si>
    <t>C.Cial Beaulieu</t>
  </si>
  <si>
    <t>Boulevard GÃ©nÃ©ral de Gaulle</t>
  </si>
  <si>
    <t>Boulevard GÃ©nÃ©ral de Gaulle;;44200;Nantes</t>
  </si>
  <si>
    <t>FR0113</t>
  </si>
  <si>
    <t>C.Cial MÃ©rignac Soleil</t>
  </si>
  <si>
    <t>52, avenue de la somme</t>
  </si>
  <si>
    <t>52, avenue de la somme;;33700;MÃ©rignac</t>
  </si>
  <si>
    <t>FR0114</t>
  </si>
  <si>
    <t>H&amp;M Tours Centre Ville</t>
  </si>
  <si>
    <t>1, rue de Bordeaux</t>
  </si>
  <si>
    <t>1, rue de Bordeaux;;37000;Tours</t>
  </si>
  <si>
    <t>FR0115</t>
  </si>
  <si>
    <t>C.Cial Arcades</t>
  </si>
  <si>
    <t>Noisy-le-Grand</t>
  </si>
  <si>
    <t>234, Boulevard du Mont d'Est</t>
  </si>
  <si>
    <t>234, Boulevard du Mont d'Est;;93193;Noisy le Grand</t>
  </si>
  <si>
    <t>FR0116</t>
  </si>
  <si>
    <t>C.Cial Cap 3000</t>
  </si>
  <si>
    <t>St Laurent du Var</t>
  </si>
  <si>
    <t>Avenue EugÃ¨ne DonadeÃ¯</t>
  </si>
  <si>
    <t>Avenue EugÃ¨ne DonadeÃ¯;;06700;Saint Laurent du Var</t>
  </si>
  <si>
    <t>FR0122</t>
  </si>
  <si>
    <t>C.Cial BAB 2</t>
  </si>
  <si>
    <t>Anglet</t>
  </si>
  <si>
    <t>Avenue Jean LÃ©on Laporte</t>
  </si>
  <si>
    <t>Avenue Jean LÃ©on Laporte;;64600;Anglet</t>
  </si>
  <si>
    <t>FR0123</t>
  </si>
  <si>
    <t>C.Cial Les Docks Vauban</t>
  </si>
  <si>
    <t>Le Havre</t>
  </si>
  <si>
    <t>70, quai Frissard</t>
  </si>
  <si>
    <t>70, quai Frissard;;76600;Le Havre</t>
  </si>
  <si>
    <t>FR0126</t>
  </si>
  <si>
    <t>C.Cial OdyssÃ©um</t>
  </si>
  <si>
    <t>Montpellier</t>
  </si>
  <si>
    <t>2, Place de Lisbonne</t>
  </si>
  <si>
    <t>2, Place de Lisbonne;;34000;Montpellier</t>
  </si>
  <si>
    <t>FR0127</t>
  </si>
  <si>
    <t>Galerie Nacarat</t>
  </si>
  <si>
    <t>Clermont Ferrand</t>
  </si>
  <si>
    <t>Boulevard St Jean</t>
  </si>
  <si>
    <t>Boulevard St Jean;;63100;Clermont Ferrand</t>
  </si>
  <si>
    <t>FR0128</t>
  </si>
  <si>
    <t>C.Cial Shopping EtrembiÃ¨res</t>
  </si>
  <si>
    <t>EtrembiÃ¨res</t>
  </si>
  <si>
    <t>21, rue de l'industrie</t>
  </si>
  <si>
    <t>21, rue de l'industrie;;74100;EtrembiÃ¨res</t>
  </si>
  <si>
    <t>FR0129</t>
  </si>
  <si>
    <t>C.Cial Les Terrasses du Port</t>
  </si>
  <si>
    <t>9, Quai du Lazaret</t>
  </si>
  <si>
    <t>9, Quai du Lazaret;;13002;Marseille</t>
  </si>
  <si>
    <t>FR0131</t>
  </si>
  <si>
    <t>C.Cial Grand Var</t>
  </si>
  <si>
    <t>La Valette du Var</t>
  </si>
  <si>
    <t>Avenue de l'UniversitÃ©, ZAC de Valgora</t>
  </si>
  <si>
    <t>Avenue de l'UniversitÃ©, ZAC de Valgora;;83160;La Valette du Var</t>
  </si>
  <si>
    <t>FR0134</t>
  </si>
  <si>
    <t>C.Cial Les Champs</t>
  </si>
  <si>
    <t>St Brieuc</t>
  </si>
  <si>
    <t>1, rue Sainte Barbe</t>
  </si>
  <si>
    <t>1, rue Sainte Barbe;;22000;Saint Brieuc</t>
  </si>
  <si>
    <t>FR0135</t>
  </si>
  <si>
    <t>H&amp;M Amiens Troix Cailloux</t>
  </si>
  <si>
    <t>Amiens</t>
  </si>
  <si>
    <t>18, rue des Trois Cailloux</t>
  </si>
  <si>
    <t>18, rue des Trois Cailloux;;80000;Amiens</t>
  </si>
  <si>
    <t>FR0136</t>
  </si>
  <si>
    <t>C.Cial Roques</t>
  </si>
  <si>
    <t>3, AllÃ©e de Fraixinet</t>
  </si>
  <si>
    <t>3, AllÃ©e de Fraixinet;;31120;Roques sur Garonne</t>
  </si>
  <si>
    <t>FR0138</t>
  </si>
  <si>
    <t>La Galerie Chateaufarine</t>
  </si>
  <si>
    <t>BesanÃ§on</t>
  </si>
  <si>
    <t>Route de Dole</t>
  </si>
  <si>
    <t>Route de Dole;;25057;BesanÃ§on</t>
  </si>
  <si>
    <t>FR0139</t>
  </si>
  <si>
    <t>C.Cial Ruban bleu</t>
  </si>
  <si>
    <t>St Nazaire</t>
  </si>
  <si>
    <t>6, rue FranÃ§ois Marceau</t>
  </si>
  <si>
    <t>6, rue FranÃ§ois Marceau;;44600;St Nazaire</t>
  </si>
  <si>
    <t>FR0140</t>
  </si>
  <si>
    <t>C.Cial Docks 76</t>
  </si>
  <si>
    <t>1, Boulevard Ferdinand de Lesseps</t>
  </si>
  <si>
    <t>1, Boulevard Ferdinand de Lesseps;;76000;Rouen</t>
  </si>
  <si>
    <t>FR0143</t>
  </si>
  <si>
    <t>C.Cial OkabÃ©</t>
  </si>
  <si>
    <t>Kremlin BicÃªtre</t>
  </si>
  <si>
    <t>55-77, avenue de Fontainebleau</t>
  </si>
  <si>
    <t>55-77, avenue de Fontainebleau;;94270;Le Kremlin Bicetre</t>
  </si>
  <si>
    <t>FR0145</t>
  </si>
  <si>
    <t>C.Cial CarrÃ© de Soie</t>
  </si>
  <si>
    <t>Vaulx en Velin</t>
  </si>
  <si>
    <t>2, rue Jacquard</t>
  </si>
  <si>
    <t>2, rue Jacquard;;69120;Vaulx-en-Velin</t>
  </si>
  <si>
    <t>FR0146</t>
  </si>
  <si>
    <t>C.Cial Victor Hugo</t>
  </si>
  <si>
    <t>Valence</t>
  </si>
  <si>
    <t>17, avenue Victor Hugo</t>
  </si>
  <si>
    <t>17, avenue Victor Hugo;;26000;Valence</t>
  </si>
  <si>
    <t>FR0147</t>
  </si>
  <si>
    <t>H&amp;M Paris Lafayette</t>
  </si>
  <si>
    <t>1-3, rue Lafayette</t>
  </si>
  <si>
    <t>1-3, rue Lafayette;;75009;Paris</t>
  </si>
  <si>
    <t>FR0148</t>
  </si>
  <si>
    <t>La Galerie GÃ©ant Niort</t>
  </si>
  <si>
    <t>Niort</t>
  </si>
  <si>
    <t>Route de Paris</t>
  </si>
  <si>
    <t>Route de Paris;;79180;Chauray</t>
  </si>
  <si>
    <t>FR0149</t>
  </si>
  <si>
    <t>C.Cial Les Arcades RougÃ©</t>
  </si>
  <si>
    <t>Cholet</t>
  </si>
  <si>
    <t>30, rue Bretonnaise</t>
  </si>
  <si>
    <t>30, rue Bretonnaise;;49300;Cholet</t>
  </si>
  <si>
    <t>FR0150</t>
  </si>
  <si>
    <t>C.Cial Les FlÃ¢neries</t>
  </si>
  <si>
    <t>La Roche-sur-Yon</t>
  </si>
  <si>
    <t>Route de Nantes</t>
  </si>
  <si>
    <t>Route de Nantes;;85000;La Roche sur Yon</t>
  </si>
  <si>
    <t>FR0151</t>
  </si>
  <si>
    <t>C.Cial Gramont</t>
  </si>
  <si>
    <t>2, chemin de Gabardie</t>
  </si>
  <si>
    <t>2, chemin de Gabardie;;31200;Toulouse</t>
  </si>
  <si>
    <t>FR0152</t>
  </si>
  <si>
    <t>C.Cial Aushopping</t>
  </si>
  <si>
    <t>1, Zac du Moulin aux Moines</t>
  </si>
  <si>
    <t>1, Zac du Moulin aux Moines;;72650;La Chapelle St Aubin</t>
  </si>
  <si>
    <t>FR0153</t>
  </si>
  <si>
    <t>C.Cial La Caserne de Bonne</t>
  </si>
  <si>
    <t>48, Boulevard Gambetta</t>
  </si>
  <si>
    <t>48, Boulevard Gambetta;;38000;Grenoble</t>
  </si>
  <si>
    <t>FR0158</t>
  </si>
  <si>
    <t>C.Cila Cap Emeraude</t>
  </si>
  <si>
    <t>Bourg en Bresse</t>
  </si>
  <si>
    <t>1380, Boulevard des CrÃªtes du Revermont</t>
  </si>
  <si>
    <t>1380, Boulevard des CrÃªtes du Revermont;;01000;Bourg en Bresse</t>
  </si>
  <si>
    <t>FR0159</t>
  </si>
  <si>
    <t>C.Cial Aushopping Les Trois RiviÃ¨res</t>
  </si>
  <si>
    <t>Montauban</t>
  </si>
  <si>
    <t>785 avenue Jean Moulin</t>
  </si>
  <si>
    <t>785 avenue Jean Moulin;;82017;Montauban</t>
  </si>
  <si>
    <t>FR0162</t>
  </si>
  <si>
    <t>C.Cial Espace Colbert</t>
  </si>
  <si>
    <t>Nevers</t>
  </si>
  <si>
    <t>1, rue Charles Roy</t>
  </si>
  <si>
    <t>1, rue Charles Roy;;58000;Nevers</t>
  </si>
  <si>
    <t>FR0164</t>
  </si>
  <si>
    <t>H&amp;M Libourne Centre Ville</t>
  </si>
  <si>
    <t>Libourne</t>
  </si>
  <si>
    <t>82, rue Gambetta</t>
  </si>
  <si>
    <t>82, rue Gambetta;;33502;Libourne</t>
  </si>
  <si>
    <t>FR0165</t>
  </si>
  <si>
    <t>C.Cial La galerie Le Phare de l'Europe</t>
  </si>
  <si>
    <t>29, Rue de Gouesnou</t>
  </si>
  <si>
    <t>29, Rue de Gouesnou;;29200;Brest</t>
  </si>
  <si>
    <t>FR0169</t>
  </si>
  <si>
    <t>C.Cial Pince Vent</t>
  </si>
  <si>
    <t>Ormesson</t>
  </si>
  <si>
    <t>33, Avenue Champlain</t>
  </si>
  <si>
    <t>33, Avenue Champlain;;94430;Chennevieres</t>
  </si>
  <si>
    <t>FR0170</t>
  </si>
  <si>
    <t>C.Cial La Valentine</t>
  </si>
  <si>
    <t>Route de la SabliÃ¨re</t>
  </si>
  <si>
    <t>Route de la SabliÃ¨re;;13011;Marseille</t>
  </si>
  <si>
    <t>FR0171</t>
  </si>
  <si>
    <t>C.Cial My Place</t>
  </si>
  <si>
    <t>Sarcelles</t>
  </si>
  <si>
    <t>200, Avenue de la Division Leclerc</t>
  </si>
  <si>
    <t>200, Avenue de la Division Leclerc;;95200;Sarcelles</t>
  </si>
  <si>
    <t>FR0172</t>
  </si>
  <si>
    <t>La Galerie Fontaine des Clairions</t>
  </si>
  <si>
    <t>Auxerrre</t>
  </si>
  <si>
    <t>Avenue Haussmann</t>
  </si>
  <si>
    <t>Avenue Haussmann;;89000;Auxerre</t>
  </si>
  <si>
    <t>FR0173</t>
  </si>
  <si>
    <t>CC Les Eleis</t>
  </si>
  <si>
    <t>Cherbourg</t>
  </si>
  <si>
    <t>Quai de l'entrepÃ´t</t>
  </si>
  <si>
    <t>Quai de l'entrepÃ´t;;50100;Cherbourg</t>
  </si>
  <si>
    <t>FR0174</t>
  </si>
  <si>
    <t>C.Cial Carrefour Chambourcy</t>
  </si>
  <si>
    <t>Chambourcy</t>
  </si>
  <si>
    <t>RN 13</t>
  </si>
  <si>
    <t>RN 13;;78240;Chambourcy</t>
  </si>
  <si>
    <t>FR0175</t>
  </si>
  <si>
    <t>C.Cial la galerie Espace Anjou</t>
  </si>
  <si>
    <t>75, avenue Montaigne</t>
  </si>
  <si>
    <t>75, avenue Montaigne;;49000;Angers</t>
  </si>
  <si>
    <t>FR0178</t>
  </si>
  <si>
    <t>C.Cial Aushopping Portes d'Espagne</t>
  </si>
  <si>
    <t>Perpignan</t>
  </si>
  <si>
    <t>Avenue d'Espagne</t>
  </si>
  <si>
    <t>Avenue d'Espagne;;66000;Perpignan</t>
  </si>
  <si>
    <t>FR0179</t>
  </si>
  <si>
    <t>C.Cial Qwartz</t>
  </si>
  <si>
    <t>Villeneuve-la-Garenne</t>
  </si>
  <si>
    <t>4, boulevard Gallieni</t>
  </si>
  <si>
    <t>4, boulevard Gallieni;;92390;Villeneuve-la-Garenne</t>
  </si>
  <si>
    <t>FR0180</t>
  </si>
  <si>
    <t>C.Cial Saumur Le Centre</t>
  </si>
  <si>
    <t>Saumur</t>
  </si>
  <si>
    <t>51, bd Marechal de Lattre de Tassigny</t>
  </si>
  <si>
    <t>51, bd Marechal de Lattre de Tassigny;;49412;Saumur</t>
  </si>
  <si>
    <t>FR0181</t>
  </si>
  <si>
    <t>C.Cial Mondeville 2</t>
  </si>
  <si>
    <t>Caen</t>
  </si>
  <si>
    <t>ZA de l'Etoile</t>
  </si>
  <si>
    <t>ZA de l'Etoile;;14120;Mondeville cedex</t>
  </si>
  <si>
    <t>FR0184</t>
  </si>
  <si>
    <t>C.Cial Galerie de l'Hotel de Ville</t>
  </si>
  <si>
    <t>Chalons en Champagne</t>
  </si>
  <si>
    <t>Rue de la Marne</t>
  </si>
  <si>
    <t>Rue de la Marne;;51000;Chalons en Champagne</t>
  </si>
  <si>
    <t>FR0185</t>
  </si>
  <si>
    <t>H&amp;H Moulins Place d'Allier</t>
  </si>
  <si>
    <t>Moulins-sur-Allier</t>
  </si>
  <si>
    <t>17 place d'Allier</t>
  </si>
  <si>
    <t>17 place d'Allier;;03000;Moulins sur Allier</t>
  </si>
  <si>
    <t>FR0186</t>
  </si>
  <si>
    <t>H&amp;M Rouen CathÃ©drale</t>
  </si>
  <si>
    <t>2, Rue des Carmes</t>
  </si>
  <si>
    <t>2, Rue des Carmes;;76000;Rouen</t>
  </si>
  <si>
    <t>FR0188</t>
  </si>
  <si>
    <t>C.Cial In' Chablais Parc</t>
  </si>
  <si>
    <t>Annemasse</t>
  </si>
  <si>
    <t>13, rue du Chablais</t>
  </si>
  <si>
    <t>13, rue du Chablais;;74100</t>
  </si>
  <si>
    <t>FR0189</t>
  </si>
  <si>
    <t>C.Cial La Galerie GÃ©ant Narbonne</t>
  </si>
  <si>
    <t>Narbonne</t>
  </si>
  <si>
    <t>11, route de perpignan</t>
  </si>
  <si>
    <t>11, route de perpignan;;11100;Narbonne</t>
  </si>
  <si>
    <t>FR0190</t>
  </si>
  <si>
    <t>Galerie OcÃ©ane</t>
  </si>
  <si>
    <t>10, rond point de la Corbinerie</t>
  </si>
  <si>
    <t>10, rond point de la Corbinerie;;44400;RezÃ©</t>
  </si>
  <si>
    <t>FR0192</t>
  </si>
  <si>
    <t>C.Cial Grand Moun</t>
  </si>
  <si>
    <t>Mont de Marsan</t>
  </si>
  <si>
    <t>200, boulevard Oscar Niemeyer</t>
  </si>
  <si>
    <t>200, boulevard Oscar Niemeyer;;40280;Saint Pierre du Mont</t>
  </si>
  <si>
    <t>FR0193</t>
  </si>
  <si>
    <t>C.Cial Les Passages de Brive</t>
  </si>
  <si>
    <t>Brive la Gaillarde</t>
  </si>
  <si>
    <t>37/39, boulevard du gÃ©nÃ©ral Koenig</t>
  </si>
  <si>
    <t>37/39, boulevard du gÃ©nÃ©ral Koenig;;19100;Brive la Gaillarde</t>
  </si>
  <si>
    <t>FR0195</t>
  </si>
  <si>
    <t>H&amp;M St Quentin Hotel de Ville</t>
  </si>
  <si>
    <t>Saint Quentin (Aisne)</t>
  </si>
  <si>
    <t>8, place de l'HÃ´tel de Ville</t>
  </si>
  <si>
    <t>8, place de l'HÃ´tel de Ville;;02100;Saint Quentin</t>
  </si>
  <si>
    <t>FR0197</t>
  </si>
  <si>
    <t>H&amp;M Poitiers GÃ©nÃ©ral Leclerc</t>
  </si>
  <si>
    <t>12-14, Place du GÃ©nÃ©ral Leclerc</t>
  </si>
  <si>
    <t>12-14, Place du GÃ©nÃ©ral Leclerc;;86000;POITIERS</t>
  </si>
  <si>
    <t>FR0198</t>
  </si>
  <si>
    <t>C.Cial Aushopping Grand Epagny</t>
  </si>
  <si>
    <t>ZI Grand Epagny Rue de la Mandallaz</t>
  </si>
  <si>
    <t>ZI Grand Epagny Rue de la Mandallaz;;74330;Epagny</t>
  </si>
  <si>
    <t>FR0199</t>
  </si>
  <si>
    <t>C.Cial Carrefour l'Escapade</t>
  </si>
  <si>
    <t>Troyes</t>
  </si>
  <si>
    <t>4, Boulevard de l'Ouest</t>
  </si>
  <si>
    <t>4, Boulevard de l'Ouest;;10600;La Chapelle Saint Luc</t>
  </si>
  <si>
    <t>FR0200</t>
  </si>
  <si>
    <t>C.Cial So Ouest</t>
  </si>
  <si>
    <t>Levallois-Perret</t>
  </si>
  <si>
    <t>31, rue d'Alsace</t>
  </si>
  <si>
    <t>31, rue d'Alsace;;92300;Levallois</t>
  </si>
  <si>
    <t>FR0201</t>
  </si>
  <si>
    <t>C.Cial Les Sentiers de Claye-Souilly</t>
  </si>
  <si>
    <t>Claye Souilly</t>
  </si>
  <si>
    <t>09:00-20:30</t>
  </si>
  <si>
    <t>Route Nationale 3</t>
  </si>
  <si>
    <t>Route Nationale 3;;77410;Claye-Souilly</t>
  </si>
  <si>
    <t>FR0202</t>
  </si>
  <si>
    <t>C.Cial St GrÃ©goire Le Centre</t>
  </si>
  <si>
    <t>ZI Nord, rue de l'Ã©tang</t>
  </si>
  <si>
    <t>ZI Nord, rue de l'Ã©tang;;35700;Rennes Saint GrÃ©goire</t>
  </si>
  <si>
    <t>FR0203</t>
  </si>
  <si>
    <t>C.Cial Modo</t>
  </si>
  <si>
    <t>Moisselles</t>
  </si>
  <si>
    <t>1, route nationale</t>
  </si>
  <si>
    <t>1, route nationale;;95570;Moisselles</t>
  </si>
  <si>
    <t>FR0204</t>
  </si>
  <si>
    <t>H&amp;M Strasbourg Homme de Fer</t>
  </si>
  <si>
    <t>3, rue du Noyer</t>
  </si>
  <si>
    <t>3, rue du Noyer;;67000;Strasbourg</t>
  </si>
  <si>
    <t>FR0205</t>
  </si>
  <si>
    <t>H&amp;M Evreux Centre Ville</t>
  </si>
  <si>
    <t>Evreux</t>
  </si>
  <si>
    <t>35, rue du Docteur Oursel</t>
  </si>
  <si>
    <t>35, rue du Docteur Oursel;;27000;Evreux</t>
  </si>
  <si>
    <t>FR0206</t>
  </si>
  <si>
    <t>C.Cial Aushopping Bretigny sur Orge</t>
  </si>
  <si>
    <t>BrÃ©tigny sur orge</t>
  </si>
  <si>
    <t>Avenue de la Maison neuve</t>
  </si>
  <si>
    <t>Avenue de la Maison neuve;;91220;BrÃ©tigny sur orge</t>
  </si>
  <si>
    <t>FR0207</t>
  </si>
  <si>
    <t>C.Cial Jaude</t>
  </si>
  <si>
    <t>18, rue d'Allagnat</t>
  </si>
  <si>
    <t>18, rue d'Allagnat;;63000;Clermont Ferrand</t>
  </si>
  <si>
    <t>FR0208</t>
  </si>
  <si>
    <t>C.Cial Paris Beaugrenelle</t>
  </si>
  <si>
    <t>12, rue de Linois</t>
  </si>
  <si>
    <t>12, rue de Linois;;75015;Paris</t>
  </si>
  <si>
    <t>FR0209</t>
  </si>
  <si>
    <t>C.Cial Rives d'Arcins</t>
  </si>
  <si>
    <t>BÃ¨gles</t>
  </si>
  <si>
    <t>Rocade sortie 20</t>
  </si>
  <si>
    <t>Rocade sortie 20;;33130;BÃ¨gles</t>
  </si>
  <si>
    <t>FR0210</t>
  </si>
  <si>
    <t>C.Cial Les Rives de l'Orne</t>
  </si>
  <si>
    <t>Quai Amiral Hamelin</t>
  </si>
  <si>
    <t>Quai Amiral Hamelin;;14000;Caen</t>
  </si>
  <si>
    <t>FR0211</t>
  </si>
  <si>
    <t>C.Cial Beauvais Jeu de Paume</t>
  </si>
  <si>
    <t>Beauvais</t>
  </si>
  <si>
    <t>4, Boulevard Saint AndrÃ©</t>
  </si>
  <si>
    <t>4, Boulevard Saint AndrÃ©;;60000;Beauvais</t>
  </si>
  <si>
    <t>FR0212</t>
  </si>
  <si>
    <t>H&amp;M Mulhouse Rue du sauvage</t>
  </si>
  <si>
    <t>Mulhouse</t>
  </si>
  <si>
    <t>39, rue du sauvage</t>
  </si>
  <si>
    <t>39, rue du sauvage;;68100;Mulhouse</t>
  </si>
  <si>
    <t>FR0213</t>
  </si>
  <si>
    <t>C.Cial Millau La Capelle</t>
  </si>
  <si>
    <t>Millau</t>
  </si>
  <si>
    <t>Place de la Capelle</t>
  </si>
  <si>
    <t>Place de la Capelle;;12100;Millau</t>
  </si>
  <si>
    <t>FR0214</t>
  </si>
  <si>
    <t>C.Cial Aeroville</t>
  </si>
  <si>
    <t>Roissy en France</t>
  </si>
  <si>
    <t>30, rue des buissons</t>
  </si>
  <si>
    <t>30, rue des buissons;;95700;Roissy en france</t>
  </si>
  <si>
    <t>FR0215</t>
  </si>
  <si>
    <t>C.Cial St Max Avenue</t>
  </si>
  <si>
    <t>Creil</t>
  </si>
  <si>
    <t>201, rue des girondins</t>
  </si>
  <si>
    <t>201, rue des girondins;;60740;St Maximin</t>
  </si>
  <si>
    <t>FR0216</t>
  </si>
  <si>
    <t>C.Cial Leclerc La Teste</t>
  </si>
  <si>
    <t>Arcachon</t>
  </si>
  <si>
    <t>1060, avenue de l'Europe</t>
  </si>
  <si>
    <t>1060, avenue de l'Europe;;33260;LaTeste de Buch</t>
  </si>
  <si>
    <t>FR0217</t>
  </si>
  <si>
    <t>Galerie St MÃ©dard</t>
  </si>
  <si>
    <t>34, Avenue Descartes</t>
  </si>
  <si>
    <t>34, Avenue Descartes;;33160;Saint MÃ©dard en Jalles</t>
  </si>
  <si>
    <t>FR0218</t>
  </si>
  <si>
    <t>C.Cial Tempo le Centre</t>
  </si>
  <si>
    <t>Pau</t>
  </si>
  <si>
    <t>42, avenue Louis Sallenave</t>
  </si>
  <si>
    <t>42, avenue Louis Sallenave;;64000;Pau</t>
  </si>
  <si>
    <t>FR0219</t>
  </si>
  <si>
    <t>C.Cial Aushoping PÃ´le Europe</t>
  </si>
  <si>
    <t>Mont St Martin</t>
  </si>
  <si>
    <t>1, boulevard de l'Europe</t>
  </si>
  <si>
    <t>1, boulevard de l'Europe;;54350;Mont-Saint-Martin</t>
  </si>
  <si>
    <t>FR0220</t>
  </si>
  <si>
    <t>C.Cial Aushopping Saisons de Meaux</t>
  </si>
  <si>
    <t>MEAUX</t>
  </si>
  <si>
    <t>3, Avenue Roland Moreno</t>
  </si>
  <si>
    <t>3, Avenue Roland Moreno;;77124;Chauconin Neufmontiers</t>
  </si>
  <si>
    <t>FR0221</t>
  </si>
  <si>
    <t>C.Cial Shop'in Mundo</t>
  </si>
  <si>
    <t>RN 63</t>
  </si>
  <si>
    <t>RN 63;;67450;Mundolsheim</t>
  </si>
  <si>
    <t>FR0224</t>
  </si>
  <si>
    <t>H&amp;M CompiÃ¨gne SolfÃ©rino</t>
  </si>
  <si>
    <t>CompiÃ¨gne</t>
  </si>
  <si>
    <t>31-33, rue SolfÃ©rino</t>
  </si>
  <si>
    <t>31-33, rue SolfÃ©rino;;60200;CompiÃ¨gne</t>
  </si>
  <si>
    <t>FR0225</t>
  </si>
  <si>
    <t>H&amp;M Lens Bd Basly</t>
  </si>
  <si>
    <t>Lens</t>
  </si>
  <si>
    <t>15, Boulevard Basly</t>
  </si>
  <si>
    <t>15, Boulevard Basly;;62300;Lens</t>
  </si>
  <si>
    <t>FR0226</t>
  </si>
  <si>
    <t>C.Cial Carrefour l'Isle d'Abeau</t>
  </si>
  <si>
    <t>L'Isle d'Abeau</t>
  </si>
  <si>
    <t>25, rue des Sayes</t>
  </si>
  <si>
    <t>25, rue des Sayes;;38080;L'Isle-d'Abeau</t>
  </si>
  <si>
    <t>FR0227</t>
  </si>
  <si>
    <t>H&amp;M Paris Tolbiac</t>
  </si>
  <si>
    <t>115, avenue de France</t>
  </si>
  <si>
    <t>115, avenue de France;;75013;Paris</t>
  </si>
  <si>
    <t>FR0230</t>
  </si>
  <si>
    <t>H&amp;M La Rochelle Merciers</t>
  </si>
  <si>
    <t>La Rochelle</t>
  </si>
  <si>
    <t>40, rue des Merciers</t>
  </si>
  <si>
    <t>40, rue des Merciers;;17000;La Rochelle</t>
  </si>
  <si>
    <t>FR0233</t>
  </si>
  <si>
    <t>H&amp;M rue du MÃ©nÃ©</t>
  </si>
  <si>
    <t>Vannes</t>
  </si>
  <si>
    <t>19, rue du MÃ©nÃ©</t>
  </si>
  <si>
    <t>19, rue du MÃ©nÃ©;;56000;Vannes</t>
  </si>
  <si>
    <t>FR0234</t>
  </si>
  <si>
    <t>H&amp;M Jean MÃ©decin</t>
  </si>
  <si>
    <t>Nice</t>
  </si>
  <si>
    <t>15, avenue Jean MÃ©decin</t>
  </si>
  <si>
    <t>15, avenue Jean MÃ©decin;;06000;Nice</t>
  </si>
  <si>
    <t>FR0235</t>
  </si>
  <si>
    <t>H&amp;M Chateauroux</t>
  </si>
  <si>
    <t>ChÃ¢teauroux</t>
  </si>
  <si>
    <t>19-21, Rue Victor Hugo</t>
  </si>
  <si>
    <t>19-21, Rue Victor Hugo;;36000;ChÃ¢teauroux</t>
  </si>
  <si>
    <t>FR0236</t>
  </si>
  <si>
    <t>C.Cial Epicentre Chartres Barjouville</t>
  </si>
  <si>
    <t>Chartres</t>
  </si>
  <si>
    <t>1, Rue des Orvilles</t>
  </si>
  <si>
    <t>1, Rue des Orvilles;;28630;Barjouville</t>
  </si>
  <si>
    <t>FR0237</t>
  </si>
  <si>
    <t>C.Cial Checy Belles Rives</t>
  </si>
  <si>
    <t>ZAC de la GuignardiÃ¨re</t>
  </si>
  <si>
    <t>ZAC de la GuignardiÃ¨re;;45430;ChÃ©cy</t>
  </si>
  <si>
    <t>FR0238</t>
  </si>
  <si>
    <t>H&amp;M Victor Hugo</t>
  </si>
  <si>
    <t>42-44, rue Victor Hugo</t>
  </si>
  <si>
    <t>42-44, rue Victor Hugo;;79000;Niort</t>
  </si>
  <si>
    <t>FR0239</t>
  </si>
  <si>
    <t>C.Cial Polygone Riviera</t>
  </si>
  <si>
    <t>Cagnes sur Mer</t>
  </si>
  <si>
    <t>119, avenue des Alpes</t>
  </si>
  <si>
    <t>119, avenue des Alpes;;06800;Cagnes sur Mer</t>
  </si>
  <si>
    <t>FR0240</t>
  </si>
  <si>
    <t>C.Cial Les Passages Pasteur</t>
  </si>
  <si>
    <t>6 bis, rue Pasteur</t>
  </si>
  <si>
    <t>6 bis, rue Pasteur;;25000;BesanÃ§on</t>
  </si>
  <si>
    <t>FR0241</t>
  </si>
  <si>
    <t>C.Cial Grand Mail</t>
  </si>
  <si>
    <t>Dax</t>
  </si>
  <si>
    <t>1141, boulevard Saint-Vincent-de-Paul</t>
  </si>
  <si>
    <t>1141, boulevard Saint-Vincent-de-Paul;;40990;St-Paul-LÃ¨s-Dax</t>
  </si>
  <si>
    <t>FR0242</t>
  </si>
  <si>
    <t>H&amp;M Marseille St FerrÃ©ol</t>
  </si>
  <si>
    <t>75, rue St FerrÃ©ol</t>
  </si>
  <si>
    <t>75, rue St FerrÃ©ol;;13001;Marseille</t>
  </si>
  <si>
    <t>FR0245</t>
  </si>
  <si>
    <t>C.Cial Lillenium</t>
  </si>
  <si>
    <t>Centre commercial Lillenium</t>
  </si>
  <si>
    <t>Rue du Faubourg des Postes</t>
  </si>
  <si>
    <t>Centre commercial Lillenium;Rue du Faubourg des Postes;59000;Lille</t>
  </si>
  <si>
    <t>FR0246</t>
  </si>
  <si>
    <t>C.Cial Waves Actisud</t>
  </si>
  <si>
    <t>Metz</t>
  </si>
  <si>
    <t>1, chemin de la Pie GriÃ¨che</t>
  </si>
  <si>
    <t>1, chemin de la Pie GriÃ¨che;;57160;Moulins les Metz</t>
  </si>
  <si>
    <t>FR0248</t>
  </si>
  <si>
    <t>C.Cial La galerie GÃ©ant Mandelieu</t>
  </si>
  <si>
    <t>Cannes</t>
  </si>
  <si>
    <t>21, Avenue de Frejus</t>
  </si>
  <si>
    <t>21, Avenue de Frejus;;06210;Mandelieu La Napoule</t>
  </si>
  <si>
    <t>FR0249</t>
  </si>
  <si>
    <t>C.Cial La galerie GÃ©ant Lanester</t>
  </si>
  <si>
    <t>78, Avenue ambroise Croizat</t>
  </si>
  <si>
    <t>78, Avenue ambroise Croizat;;56600;Lanester</t>
  </si>
  <si>
    <t>FR0250</t>
  </si>
  <si>
    <t>C.Cial La Galerie GÃ©ant</t>
  </si>
  <si>
    <t>10, rue des Grandes Chaumes</t>
  </si>
  <si>
    <t>10, rue des Grandes Chaumes;;16430;Champniers</t>
  </si>
  <si>
    <t>FR0251</t>
  </si>
  <si>
    <t>C.Cial La galerie GÃ©ant Morlaix</t>
  </si>
  <si>
    <t>Morlaix</t>
  </si>
  <si>
    <t>Boulevard Saint Martin</t>
  </si>
  <si>
    <t>Boulevard Saint Martin;;29600;Saint Martin des Champs</t>
  </si>
  <si>
    <t>FR0252</t>
  </si>
  <si>
    <t>Centre commercial CrÃ©teil Soleil</t>
  </si>
  <si>
    <t>CrÃ©teil</t>
  </si>
  <si>
    <t>Avenue de la France libre</t>
  </si>
  <si>
    <t>Avenue de la France libre;;94012;CrÃ©teil</t>
  </si>
  <si>
    <t>FR0253</t>
  </si>
  <si>
    <t>C.Cial Jas de Bouffan</t>
  </si>
  <si>
    <t>210, avenue de bredasque</t>
  </si>
  <si>
    <t>210, avenue de bredasque;;13090;Aix en Provence</t>
  </si>
  <si>
    <t>FR0254</t>
  </si>
  <si>
    <t>La galerie Espaces Fenouillet</t>
  </si>
  <si>
    <t>19, rue des Usines</t>
  </si>
  <si>
    <t>19, rue des Usines;;31150;Fenouillet</t>
  </si>
  <si>
    <t>FR0256</t>
  </si>
  <si>
    <t>C.Cial Grand QuÃ©tignny</t>
  </si>
  <si>
    <t>Avenue de Bourgogne</t>
  </si>
  <si>
    <t>Avenue de Bourgogne;;21800;QuÃ©tigny</t>
  </si>
  <si>
    <t>FR0257</t>
  </si>
  <si>
    <t>C.Cial Carrefour Lescar</t>
  </si>
  <si>
    <t>8, rue Jean JaurÃ¨s</t>
  </si>
  <si>
    <t>8, rue Jean JaurÃ¨s;;64230;Lescar</t>
  </si>
  <si>
    <t>FR0258</t>
  </si>
  <si>
    <t>H&amp;M Carrefour Pont Rouge</t>
  </si>
  <si>
    <t>Carcassonne</t>
  </si>
  <si>
    <t>ZI du Pont rouge, rue Magellan</t>
  </si>
  <si>
    <t>ZI du Pont rouge, rue Magellan;;11000;Carcassonne</t>
  </si>
  <si>
    <t>FR0259</t>
  </si>
  <si>
    <t>C.Cial Aushopping Villebon 2</t>
  </si>
  <si>
    <t>Villebon sur Yvette</t>
  </si>
  <si>
    <t>Chemin de Briis</t>
  </si>
  <si>
    <t>Chemin de Briis;;91140;Villebon sur Yvette</t>
  </si>
  <si>
    <t>FR0260</t>
  </si>
  <si>
    <t>C.Cial St Jacques</t>
  </si>
  <si>
    <t>11 bis, place du Forum</t>
  </si>
  <si>
    <t>11 bis, place du Forum;;57000;Metz</t>
  </si>
  <si>
    <t>FR0261</t>
  </si>
  <si>
    <t>C.Cial B'est</t>
  </si>
  <si>
    <t>FAREBERSVILLER</t>
  </si>
  <si>
    <t>61, avenue Saint Jean</t>
  </si>
  <si>
    <t>61, avenue Saint Jean;;57000;Farebersviller</t>
  </si>
  <si>
    <t>FR0262</t>
  </si>
  <si>
    <t>C.Cial Ametzondo</t>
  </si>
  <si>
    <t>Bayonne</t>
  </si>
  <si>
    <t>2-4 Avenue de Portou</t>
  </si>
  <si>
    <t>2-4 Avenue de Portou;;64990;Saint-Pierre-d'Irube</t>
  </si>
  <si>
    <t>FR0263</t>
  </si>
  <si>
    <t>C.Cial Grand A</t>
  </si>
  <si>
    <t>18, Pole Jules Verne</t>
  </si>
  <si>
    <t>18, Pole Jules Verne;;80440;Glisy</t>
  </si>
  <si>
    <t>FR0264</t>
  </si>
  <si>
    <t>H&amp;M Charleville MÃ©ziÃ¨res</t>
  </si>
  <si>
    <t>Charleville MÃ©ziÃ¨res</t>
  </si>
  <si>
    <t>18-20, rue Pierre Beregovoy</t>
  </si>
  <si>
    <t>18-20, rue Pierre Beregovoy;;08000;Charleville MÃ©ziÃ¨res</t>
  </si>
  <si>
    <t>FR0266</t>
  </si>
  <si>
    <t>C.Cial Atrium</t>
  </si>
  <si>
    <t>Ajaccio</t>
  </si>
  <si>
    <t>Les Hameaux de Pernicaggio</t>
  </si>
  <si>
    <t>Les Hameaux de Pernicaggio;;20167;Sarrola - Carcopino</t>
  </si>
  <si>
    <t>FR0267</t>
  </si>
  <si>
    <t>C.Cial La Feuilleraie</t>
  </si>
  <si>
    <t>Perigueux</t>
  </si>
  <si>
    <t>239, avenue de l'Automobile</t>
  </si>
  <si>
    <t>239, avenue de l'Automobile;;24750;Trelissac</t>
  </si>
  <si>
    <t>FR0269</t>
  </si>
  <si>
    <t>H&amp;M Agen Carno</t>
  </si>
  <si>
    <t>Agen</t>
  </si>
  <si>
    <t>86 Boulevard du PrÃ©sident Carnot</t>
  </si>
  <si>
    <t>86 Boulevard du PrÃ©sident Carnot;;47000;Agen</t>
  </si>
  <si>
    <t>FR0272</t>
  </si>
  <si>
    <t>C.Cial Carrefour Nice LingostiÃ¨re</t>
  </si>
  <si>
    <t>202, route de Digne</t>
  </si>
  <si>
    <t>202, route de Digne;;06200;Nice</t>
  </si>
  <si>
    <t>FR0273</t>
  </si>
  <si>
    <t>C.Cial Carrefour Les Bouchardes</t>
  </si>
  <si>
    <t>Macon</t>
  </si>
  <si>
    <t>6 D 906</t>
  </si>
  <si>
    <t>6 D 906;;71680;CrÃªches sur saone</t>
  </si>
  <si>
    <t>FR0274</t>
  </si>
  <si>
    <t>C.Cial Carrefour Athis Mons</t>
  </si>
  <si>
    <t>Athis Mons</t>
  </si>
  <si>
    <t>180, Avenue Francois Mitterand</t>
  </si>
  <si>
    <t>180, Avenue Francois Mitterand;;91200;Athis Mons</t>
  </si>
  <si>
    <t>FR0276</t>
  </si>
  <si>
    <t>La Galerie GÃ©ant Quimper</t>
  </si>
  <si>
    <t>Quimper</t>
  </si>
  <si>
    <t>163, route de Benodet</t>
  </si>
  <si>
    <t>163, route de Benodet;;29000;Quimper</t>
  </si>
  <si>
    <t>FR0277</t>
  </si>
  <si>
    <t>C.Cial Shop'in Houssen</t>
  </si>
  <si>
    <t>Colmar</t>
  </si>
  <si>
    <t>Rue de Lattre</t>
  </si>
  <si>
    <t>Rue de Lattre;;68125;Houssen</t>
  </si>
  <si>
    <t>FR0278</t>
  </si>
  <si>
    <t>C.Cial Aushopping Saint Jean</t>
  </si>
  <si>
    <t>Avenue Pierre Mendes France</t>
  </si>
  <si>
    <t>Avenue Pierre Mendes France;;45140;Saint Jean de la Ruelle</t>
  </si>
  <si>
    <t>FR0284</t>
  </si>
  <si>
    <t>C.Cial Carrefour Rennes Cesson</t>
  </si>
  <si>
    <t>ZAC d'activitÃ© la RigourdiÃ¨re</t>
  </si>
  <si>
    <t>ZAC d'activitÃ© la RigourdiÃ¨re;;35510;Cesson-SÃ©vignÃ©</t>
  </si>
  <si>
    <t>FR0290</t>
  </si>
  <si>
    <t>C.Cial Ma Petite Madelaine</t>
  </si>
  <si>
    <t>213-215, Avenue du Grand S</t>
  </si>
  <si>
    <t>213-215, Avenue du Grand S;;37170;Chambray les Tours</t>
  </si>
  <si>
    <t>FR0293</t>
  </si>
  <si>
    <t>C.Cial Shopping Promenade</t>
  </si>
  <si>
    <t>Arles</t>
  </si>
  <si>
    <t>AllÃ©e Colonel Arnaud Beltrame</t>
  </si>
  <si>
    <t>AllÃ©e Colonel Arnaud Beltrame;;13200;Arles</t>
  </si>
  <si>
    <t>FR0294</t>
  </si>
  <si>
    <t>CC Mon Grand Plaisir</t>
  </si>
  <si>
    <t>Plaisir</t>
  </si>
  <si>
    <t>1170 Avenue de Saint-Germain</t>
  </si>
  <si>
    <t>1170 Avenue de Saint-Germain;;78370</t>
  </si>
  <si>
    <t>FR0299</t>
  </si>
  <si>
    <t>C.Cial Steel</t>
  </si>
  <si>
    <t>2, rue Ferrer</t>
  </si>
  <si>
    <t>2, rue Ferrer;;42000;Saint-Etienne</t>
  </si>
  <si>
    <t>FR0525</t>
  </si>
  <si>
    <t>H&amp;M Home Paris Capucines</t>
  </si>
  <si>
    <t>14 Boulevard des Capucines</t>
  </si>
  <si>
    <t>14 Boulevard des Capucines;;75009;Paris</t>
  </si>
  <si>
    <t>GB0306</t>
  </si>
  <si>
    <t>H&amp;M Edinburgh Kinnaird Park</t>
  </si>
  <si>
    <t>Edinburgh</t>
  </si>
  <si>
    <t>UK</t>
  </si>
  <si>
    <t>GB</t>
  </si>
  <si>
    <t>Unit 27A</t>
  </si>
  <si>
    <t>New Craighall Road</t>
  </si>
  <si>
    <t>Unit 27A;New Craighall Road;EH15 3RD;Edinburgh</t>
  </si>
  <si>
    <t>GB0307</t>
  </si>
  <si>
    <t>H&amp;M Kids Brighton Churchill Square</t>
  </si>
  <si>
    <t>Brighton</t>
  </si>
  <si>
    <t>Unit 79 Churchill Square Shopping centre</t>
  </si>
  <si>
    <t>Unit 79 Churchill Square Shopping centre;;BN2 2TF;Brighton, East Sussex</t>
  </si>
  <si>
    <t>GB0308</t>
  </si>
  <si>
    <t>H&amp;M Brighton Churchill Square</t>
  </si>
  <si>
    <t>Unit 11-13 Churchill Square Shopping Centre</t>
  </si>
  <si>
    <t>Unit 11-13 Churchill Square Shopping Centre;;BN1 2TA;Brighton, East Sussex</t>
  </si>
  <si>
    <t>GB0312</t>
  </si>
  <si>
    <t>H&amp;M Oxford Circus</t>
  </si>
  <si>
    <t>261-271 Regent Street</t>
  </si>
  <si>
    <t>261-271 Regent Street;;W1B 2ES;London</t>
  </si>
  <si>
    <t>GB0314</t>
  </si>
  <si>
    <t>H&amp;M Portsmouth</t>
  </si>
  <si>
    <t>Portsmouth</t>
  </si>
  <si>
    <t>10:30-16:30</t>
  </si>
  <si>
    <t>137-143 Commercial Road</t>
  </si>
  <si>
    <t>137-143 Commercial Road;;PO1 1DD;Portsmouth, Harts</t>
  </si>
  <si>
    <t>GB0315</t>
  </si>
  <si>
    <t>H&amp;M Merry Hill Centre</t>
  </si>
  <si>
    <t>West Midlands</t>
  </si>
  <si>
    <t>Merry Hill Centre</t>
  </si>
  <si>
    <t>Brierley Hill</t>
  </si>
  <si>
    <t>Merry Hill Centre;Brierley Hill;DY5 1SJ;West Midlands</t>
  </si>
  <si>
    <t>GB0316</t>
  </si>
  <si>
    <t>H&amp;M Northampton</t>
  </si>
  <si>
    <t>Northampton</t>
  </si>
  <si>
    <t>64-72 Abington Street</t>
  </si>
  <si>
    <t>The Ridings</t>
  </si>
  <si>
    <t>64-72 Abington Street;The Ridings;NN1 2AP;Northampton</t>
  </si>
  <si>
    <t>GB0318</t>
  </si>
  <si>
    <t>H&amp;M Nottingham</t>
  </si>
  <si>
    <t>Nottingham</t>
  </si>
  <si>
    <t>11-17 Lister Gate</t>
  </si>
  <si>
    <t>11-17 Lister Gate;;NG1 7DE;Nottingham</t>
  </si>
  <si>
    <t>GB0319</t>
  </si>
  <si>
    <t>H&amp;M Basingstoke</t>
  </si>
  <si>
    <t>Basingstoke</t>
  </si>
  <si>
    <t>Unit 1 Festival Place Shopping Cent</t>
  </si>
  <si>
    <t>Unit 1 Festival Place Shopping Cent;;RG21 7BE;Basingstoke</t>
  </si>
  <si>
    <t>GB0323</t>
  </si>
  <si>
    <t>H&amp;M Romford</t>
  </si>
  <si>
    <t>Romford</t>
  </si>
  <si>
    <t>Liberty Shopping Centre</t>
  </si>
  <si>
    <t>East Mall</t>
  </si>
  <si>
    <t>Liberty Shopping Centre;East Mall;RM1 3RL;Romford, Essex</t>
  </si>
  <si>
    <t>GB0324</t>
  </si>
  <si>
    <t>H&amp;M Norwich Chantry Place</t>
  </si>
  <si>
    <t>Norwich</t>
  </si>
  <si>
    <t>10:00-16:30</t>
  </si>
  <si>
    <t>Unit 111-112, Merchant Hall</t>
  </si>
  <si>
    <t>The Cresent, Chantry Place</t>
  </si>
  <si>
    <t>Unit 111-112, Merchant Hall;The Cresent, Chantry Place;NR2 1ST;Norwich, Norfork</t>
  </si>
  <si>
    <t>GB0325</t>
  </si>
  <si>
    <t>H&amp;M Kids Harrow</t>
  </si>
  <si>
    <t>Harrow</t>
  </si>
  <si>
    <t>Unit 1-2 &amp; 4-5 St Georges Centre</t>
  </si>
  <si>
    <t>Unit 1-2 &amp; 4-5 St Georges Centre;;HA1 1HS;Harrow</t>
  </si>
  <si>
    <t>GB0331</t>
  </si>
  <si>
    <t>H&amp;M Leeds Trinity</t>
  </si>
  <si>
    <t>Leeds</t>
  </si>
  <si>
    <t>Unit P, The Leeds Shopping Plaza</t>
  </si>
  <si>
    <t>Albion Street</t>
  </si>
  <si>
    <t>Unit P, The Leeds Shopping Plaza;Albion Street;LS1 5ER;Leeds</t>
  </si>
  <si>
    <t>GB0332</t>
  </si>
  <si>
    <t>H&amp;M Bristol Cribbs</t>
  </si>
  <si>
    <t>Bristol</t>
  </si>
  <si>
    <t>Unit LR 22-23 Regional Shopping Centre</t>
  </si>
  <si>
    <t>Cribbs Causeway</t>
  </si>
  <si>
    <t>Unit LR 22-23 Regional Shopping Centre;Cribbs Causeway;BS34 5DG;Bristol</t>
  </si>
  <si>
    <t>GB0333</t>
  </si>
  <si>
    <t>H&amp;M Mancester Trafford</t>
  </si>
  <si>
    <t>Manchester</t>
  </si>
  <si>
    <t>00:00-00:00</t>
  </si>
  <si>
    <t>Units 16-17</t>
  </si>
  <si>
    <t>20 Peel Avenue Trafford Centre</t>
  </si>
  <si>
    <t>Units 16-17;20 Peel Avenue Trafford Centre;M17 8AA;Manchester</t>
  </si>
  <si>
    <t>GB0338</t>
  </si>
  <si>
    <t>H&amp;M Reading</t>
  </si>
  <si>
    <t>Reading</t>
  </si>
  <si>
    <t>Unit 22, Holybrook Walk</t>
  </si>
  <si>
    <t>The Oracle</t>
  </si>
  <si>
    <t>Unit 22, Holybrook Walk;The Oracle;RG1 2AS;Reading, Berk</t>
  </si>
  <si>
    <t>GB0340</t>
  </si>
  <si>
    <t>H&amp;M Southampton</t>
  </si>
  <si>
    <t>Southampton</t>
  </si>
  <si>
    <t>MSUOI West Quay Shopping Centre</t>
  </si>
  <si>
    <t>Lower Quay</t>
  </si>
  <si>
    <t>MSUOI West Quay Shopping Centre;Lower Quay;SO15 1QD;Southampton</t>
  </si>
  <si>
    <t>GB0341</t>
  </si>
  <si>
    <t>H&amp;M Peterborough Serpentine Green</t>
  </si>
  <si>
    <t>Unit 11, Serpentine Green</t>
  </si>
  <si>
    <t>Hampton, Hargate</t>
  </si>
  <si>
    <t>Unit 11, Serpentine Green;Hampton, Hargate;PE7 8BE;Peterborough</t>
  </si>
  <si>
    <t>GB0342</t>
  </si>
  <si>
    <t>H&amp;M Wimbledon Old Town Hall</t>
  </si>
  <si>
    <t>Wimbledon Old Town Hall Upper Level</t>
  </si>
  <si>
    <t>Centre Court Shopping Centre</t>
  </si>
  <si>
    <t>Wimbledon Old Town Hall Upper Level;Centre Court Shopping Centre;SW19 8YA;Wimbledon</t>
  </si>
  <si>
    <t>GB0346</t>
  </si>
  <si>
    <t>H&amp;M Milton Keynes Intu</t>
  </si>
  <si>
    <t>Milton Keynes</t>
  </si>
  <si>
    <t>LSU7 Unit 44, Midsummer Place</t>
  </si>
  <si>
    <t>LSU7 Unit 44, Midsummer Place;Milton Keynes;MK9 3GA;Buckinghamshire</t>
  </si>
  <si>
    <t>GB0348</t>
  </si>
  <si>
    <t>H&amp;M Birmingham Bullring</t>
  </si>
  <si>
    <t>Birmingham</t>
  </si>
  <si>
    <t>MSU12 Upper Mall West</t>
  </si>
  <si>
    <t>Bullring Shopping Centre</t>
  </si>
  <si>
    <t>MSU12 Upper Mall West;Bullring Shopping Centre;B5 4BG;Birmingham</t>
  </si>
  <si>
    <t>GB0350</t>
  </si>
  <si>
    <t>H&amp;M Dundee Overgate</t>
  </si>
  <si>
    <t>Dundee</t>
  </si>
  <si>
    <t>Unit 2 Overgate Centre</t>
  </si>
  <si>
    <t>Unit 2 Overgate Centre;;DD1 1UF;Dundee</t>
  </si>
  <si>
    <t>GB0351</t>
  </si>
  <si>
    <t>H&amp;M Oxford Street East</t>
  </si>
  <si>
    <t>174-176 Oxford Street East</t>
  </si>
  <si>
    <t>174-176 Oxford Street East;;W1D 1NX;London</t>
  </si>
  <si>
    <t>GB0353</t>
  </si>
  <si>
    <t>H&amp;M Sheffield Meadowhall</t>
  </si>
  <si>
    <t>Sheffield</t>
  </si>
  <si>
    <t>4 The Gallery</t>
  </si>
  <si>
    <t>Meadowhall Centre</t>
  </si>
  <si>
    <t>4 The Gallery;Meadowhall Centre;S9 1EP;Sheffield</t>
  </si>
  <si>
    <t>GB0354</t>
  </si>
  <si>
    <t>H&amp;M Exeter</t>
  </si>
  <si>
    <t>Exeter</t>
  </si>
  <si>
    <t>16-20 High Street</t>
  </si>
  <si>
    <t>16-20 High Street;;EX4 3LF;Exeter, Devon</t>
  </si>
  <si>
    <t>GB0355</t>
  </si>
  <si>
    <t>H&amp;M Uxbridge</t>
  </si>
  <si>
    <t>Uxbridge</t>
  </si>
  <si>
    <t>113-115 Intu Uxbridge Shopping Centre</t>
  </si>
  <si>
    <t>113-115 Intu Uxbridge Shopping Centre;;UB8 1GA;Uxbridge</t>
  </si>
  <si>
    <t>GB0356</t>
  </si>
  <si>
    <t>H&amp;M Solihull Touchwood</t>
  </si>
  <si>
    <t>Solihull</t>
  </si>
  <si>
    <t>Unit SU14</t>
  </si>
  <si>
    <t>Touchwood Shopping Centre</t>
  </si>
  <si>
    <t>Unit SU14;Touchwood Shopping Centre;B91 3GZ;Solihull</t>
  </si>
  <si>
    <t>GB0357</t>
  </si>
  <si>
    <t>H&amp;M Coventry</t>
  </si>
  <si>
    <t>Coventry</t>
  </si>
  <si>
    <t>LRUA Unit 87-91</t>
  </si>
  <si>
    <t>Lower Precinct</t>
  </si>
  <si>
    <t>LRUA Unit 87-91;Lower Precinct;CV1 1DS;Coventry</t>
  </si>
  <si>
    <t>GB0359</t>
  </si>
  <si>
    <t>H&amp;M Sunderland</t>
  </si>
  <si>
    <t>Sunderland</t>
  </si>
  <si>
    <t>Units 16 A &amp; B The Bridges Shopping Centre</t>
  </si>
  <si>
    <t>Units 16 A &amp; B The Bridges Shopping Centre;;SR1 3LB;Sunderland</t>
  </si>
  <si>
    <t>GB0360</t>
  </si>
  <si>
    <t>H&amp;M Preston</t>
  </si>
  <si>
    <t>Preston</t>
  </si>
  <si>
    <t>Unit 104-108, Friargate Walk</t>
  </si>
  <si>
    <t>The Mall St George's</t>
  </si>
  <si>
    <t>Unit 104-108, Friargate Walk;The Mall St George's;PR1 2NQ;Preston</t>
  </si>
  <si>
    <t>GB0363</t>
  </si>
  <si>
    <t>H&amp;M Chelmsford</t>
  </si>
  <si>
    <t>Chelmsford</t>
  </si>
  <si>
    <t>73/75 New London Road</t>
  </si>
  <si>
    <t>73/75 New London Road;;CM1 1EJ;Chelmsford, Essex</t>
  </si>
  <si>
    <t>GB0365</t>
  </si>
  <si>
    <t>H&amp;M Kensington</t>
  </si>
  <si>
    <t>103-111 Kensington High Street</t>
  </si>
  <si>
    <t>103-111 Kensington High Street;;W8 5SA;London</t>
  </si>
  <si>
    <t>GB0366</t>
  </si>
  <si>
    <t>H&amp;M Inverness</t>
  </si>
  <si>
    <t>Inverness</t>
  </si>
  <si>
    <t>Unit D</t>
  </si>
  <si>
    <t>Eastgate Shopping Centre</t>
  </si>
  <si>
    <t>Unit D;Eastgate Shopping Centre;IV2 3PP;Inverness</t>
  </si>
  <si>
    <t>GB0368</t>
  </si>
  <si>
    <t>H&amp;M Manchester Market Street</t>
  </si>
  <si>
    <t>68-70 Market Street</t>
  </si>
  <si>
    <t>68-70 Market Street;;M1 1PN;Manchester</t>
  </si>
  <si>
    <t>GB0603</t>
  </si>
  <si>
    <t>H&amp;M Gloucester</t>
  </si>
  <si>
    <t>Gloucester</t>
  </si>
  <si>
    <t>28 Eastgate Street</t>
  </si>
  <si>
    <t>28 Eastgate Street;;GL1 1PA;Gloucester</t>
  </si>
  <si>
    <t>GB0604</t>
  </si>
  <si>
    <t>H&amp;M Maidstone</t>
  </si>
  <si>
    <t>Maidstone</t>
  </si>
  <si>
    <t>22 Fremlin Walk</t>
  </si>
  <si>
    <t>22 Fremlin Walk;Maidstone;ME14 1QP;Kent</t>
  </si>
  <si>
    <t>GB0606</t>
  </si>
  <si>
    <t>H&amp;M Wood Green</t>
  </si>
  <si>
    <t>88-96 High Road</t>
  </si>
  <si>
    <t>Shopping City</t>
  </si>
  <si>
    <t>88-96 High Road;Shopping City;N22 6HE;Wood Green, London</t>
  </si>
  <si>
    <t>GB0609</t>
  </si>
  <si>
    <t>H&amp;M Redditch</t>
  </si>
  <si>
    <t>Redditch</t>
  </si>
  <si>
    <t>20-22 Walford Walk</t>
  </si>
  <si>
    <t>Kingfisher Centre</t>
  </si>
  <si>
    <t>20-22 Walford Walk;Kingfisher Centre;B97 4HJ;Redditch</t>
  </si>
  <si>
    <t>GB0611</t>
  </si>
  <si>
    <t>H&amp;M York Spurriergate</t>
  </si>
  <si>
    <t>York</t>
  </si>
  <si>
    <t>3 Spurriergate</t>
  </si>
  <si>
    <t>3 Spurriergate;;YO1 9NJ;York</t>
  </si>
  <si>
    <t>GB0612</t>
  </si>
  <si>
    <t>H&amp;M Doncaster</t>
  </si>
  <si>
    <t>Doncaster</t>
  </si>
  <si>
    <t>Unit 25, French Gate Centre</t>
  </si>
  <si>
    <t>St Sepulchure Gate</t>
  </si>
  <si>
    <t>Unit 25, French Gate Centre;St Sepulchure Gate;DN1 1LF;Doncaster</t>
  </si>
  <si>
    <t>GB0613</t>
  </si>
  <si>
    <t>H&amp;M Worcester</t>
  </si>
  <si>
    <t>Worcester</t>
  </si>
  <si>
    <t>Cathederal Plaza</t>
  </si>
  <si>
    <t>Lynchgate Centre</t>
  </si>
  <si>
    <t>Cathederal Plaza;Lynchgate Centre;WR1 2QE;Worcester</t>
  </si>
  <si>
    <t>GB0614</t>
  </si>
  <si>
    <t>H&amp;M Bournemouth Castlepoint</t>
  </si>
  <si>
    <t>Bournemouth</t>
  </si>
  <si>
    <t>Castlepoint Shopping Centre</t>
  </si>
  <si>
    <t>West Mall, Castle Lane West</t>
  </si>
  <si>
    <t>Castlepoint Shopping Centre;West Mall, Castle Lane West;BH8 9UW;Bournemouth, Dorset</t>
  </si>
  <si>
    <t>GB0615</t>
  </si>
  <si>
    <t>H&amp;M Manchester Arndale</t>
  </si>
  <si>
    <t>11:30-17:30</t>
  </si>
  <si>
    <t>90 Halle Mall</t>
  </si>
  <si>
    <t>Arndale Centre</t>
  </si>
  <si>
    <t>90 Halle Mall;Arndale Centre;M4 2HU;Manchester</t>
  </si>
  <si>
    <t>GB0621</t>
  </si>
  <si>
    <t>H&amp;M Wandsworth Southside</t>
  </si>
  <si>
    <t>Southside Shopping Centre</t>
  </si>
  <si>
    <t>Unit 35-36</t>
  </si>
  <si>
    <t>Southside Shopping Centre;Unit 35-36;SW18 4TF;London</t>
  </si>
  <si>
    <t>GB0623</t>
  </si>
  <si>
    <t>H&amp;M Newcastle Metrocentre</t>
  </si>
  <si>
    <t>Newcastle upon Tyne</t>
  </si>
  <si>
    <t>14-26 Redpath Way</t>
  </si>
  <si>
    <t>Redmall Metro Centre</t>
  </si>
  <si>
    <t>14-26 Redpath Way;Redmall Metro Centre;NE11 9HX;Gateshead, Tyne And Wear</t>
  </si>
  <si>
    <t>GB0625</t>
  </si>
  <si>
    <t>H&amp;M Canterbury</t>
  </si>
  <si>
    <t>Canterbury</t>
  </si>
  <si>
    <t>Unit 5-7</t>
  </si>
  <si>
    <t>White Friars Steet</t>
  </si>
  <si>
    <t>Unit 5-7;White Friars Steet;CT1 2TA;Canterbury, Kent</t>
  </si>
  <si>
    <t>GB0628</t>
  </si>
  <si>
    <t>H&amp;M Edinburgh Princes Street</t>
  </si>
  <si>
    <t>41-43 Princes Street</t>
  </si>
  <si>
    <t>41-43 Princes Street;;EH2 2BY;Edinburgh</t>
  </si>
  <si>
    <t>GB0629</t>
  </si>
  <si>
    <t>H&amp;M St Albans</t>
  </si>
  <si>
    <t>St Albans</t>
  </si>
  <si>
    <t>The Maltings Shopping Centre</t>
  </si>
  <si>
    <t>Unit 18</t>
  </si>
  <si>
    <t>The Maltings Shopping Centre;Unit 18;AL1 3HL;St. Albans, Herts</t>
  </si>
  <si>
    <t>GB0631</t>
  </si>
  <si>
    <t>H&amp;M Croydon Centrale</t>
  </si>
  <si>
    <t>Croydon</t>
  </si>
  <si>
    <t>LSU 7-8, Tamworth Road</t>
  </si>
  <si>
    <t>Croydon Centrale Shopping Centre</t>
  </si>
  <si>
    <t>LSU 7-8, Tamworth Road;Croydon Centrale Shopping Centre;CR0 1TY;Croydon</t>
  </si>
  <si>
    <t>GB0633</t>
  </si>
  <si>
    <t>H&amp;M Aberdeen</t>
  </si>
  <si>
    <t>Aberdeen</t>
  </si>
  <si>
    <t>Unit LSU4, 20 Ground Level Mall</t>
  </si>
  <si>
    <t>Union Square, Guild Street</t>
  </si>
  <si>
    <t>Unit LSU4, 20 Ground Level Mall;Union Square, Guild Street;AB11 5PN;Aberdeen</t>
  </si>
  <si>
    <t>GB0635</t>
  </si>
  <si>
    <t>H&amp;M Windsor</t>
  </si>
  <si>
    <t>18/19 King Edward Court, (Unit D)</t>
  </si>
  <si>
    <t>18/19 King Edward Court, (Unit D);;SL4 1TF;Berkshire</t>
  </si>
  <si>
    <t>GB0636</t>
  </si>
  <si>
    <t>H&amp;M Wigan</t>
  </si>
  <si>
    <t>Wigan</t>
  </si>
  <si>
    <t>17  Grand Arcade</t>
  </si>
  <si>
    <t>17  Grand Arcade;;WN1 1BH;Wigan, Lancashire</t>
  </si>
  <si>
    <t>GB0637</t>
  </si>
  <si>
    <t>H&amp;M Craigavon</t>
  </si>
  <si>
    <t>Craigavon</t>
  </si>
  <si>
    <t>13:00-18:00</t>
  </si>
  <si>
    <t>Rushmere Shopping Centre</t>
  </si>
  <si>
    <t>Units M&amp;O, Central Way, Craigavon</t>
  </si>
  <si>
    <t>Rushmere Shopping Centre;Units M&amp;O, Central Way, Craigavon;BT64 1AA;Co. Armagh, N. Ireland</t>
  </si>
  <si>
    <t>GB0638</t>
  </si>
  <si>
    <t>H&amp;M Sheffield Fargate</t>
  </si>
  <si>
    <t>49-63 Fargate Unit 3</t>
  </si>
  <si>
    <t>49-63 Fargate Unit 3;Sheffield;S1 2HD;South Yorkshire</t>
  </si>
  <si>
    <t>GB0639</t>
  </si>
  <si>
    <t>H&amp;M Hemel Hempstead</t>
  </si>
  <si>
    <t>Hemel Hempstead</t>
  </si>
  <si>
    <t>Unit C5, Riverside,</t>
  </si>
  <si>
    <t>Unit C5, Riverside,;Hemel Hempstead;HP1 1BT;Hertsfordshire</t>
  </si>
  <si>
    <t>GB0642</t>
  </si>
  <si>
    <t>H&amp;M Brent Cross</t>
  </si>
  <si>
    <t>Brent Cross Shopping Centre</t>
  </si>
  <si>
    <t>Unit Z1</t>
  </si>
  <si>
    <t>Brent Cross Shopping Centre;Unit Z1;NW4 3FD;London</t>
  </si>
  <si>
    <t>GB0644</t>
  </si>
  <si>
    <t>H&amp;M Cambridge City</t>
  </si>
  <si>
    <t>Cambridge</t>
  </si>
  <si>
    <t>Unit 2, Bradwells Court</t>
  </si>
  <si>
    <t>68 St Andrews Street</t>
  </si>
  <si>
    <t>Unit 2, Bradwells Court;68 St Andrews Street;CB2 3BZ;Cambridge</t>
  </si>
  <si>
    <t>GB0645</t>
  </si>
  <si>
    <t>H&amp;M Belfast</t>
  </si>
  <si>
    <t>Belfast</t>
  </si>
  <si>
    <t>171 Victoria Square</t>
  </si>
  <si>
    <t>171 Victoria Square;;BT1 4QG;Belfast</t>
  </si>
  <si>
    <t>GB0647</t>
  </si>
  <si>
    <t>H&amp;M Plymouth</t>
  </si>
  <si>
    <t>Plymouth</t>
  </si>
  <si>
    <t>Drake Circus Shopping Centre</t>
  </si>
  <si>
    <t>1 Charles Street</t>
  </si>
  <si>
    <t>Drake Circus Shopping Centre;1 Charles Street;PL1 1EA;Plymouth, Devon</t>
  </si>
  <si>
    <t>GB0648</t>
  </si>
  <si>
    <t>H&amp;M Isle Of Wight</t>
  </si>
  <si>
    <t>Newport Isle of Wight</t>
  </si>
  <si>
    <t>MSU2</t>
  </si>
  <si>
    <t>South street</t>
  </si>
  <si>
    <t>MSU2;South street;PO30 1JY;Newport, Isle Of Wight</t>
  </si>
  <si>
    <t>GB0649</t>
  </si>
  <si>
    <t>H&amp;M Warrington</t>
  </si>
  <si>
    <t>Warrington</t>
  </si>
  <si>
    <t>57 The Mall Golden Square</t>
  </si>
  <si>
    <t>57 The Mall Golden Square;;WA1 1QP;Warrington, Cheshire</t>
  </si>
  <si>
    <t>GB0650</t>
  </si>
  <si>
    <t>H&amp;M Hull</t>
  </si>
  <si>
    <t>Hull</t>
  </si>
  <si>
    <t>St Stevens Centre, Unit 4</t>
  </si>
  <si>
    <t>St Stevens Centre, Unit 4;;HU2 8LN;Hull</t>
  </si>
  <si>
    <t>GB0652</t>
  </si>
  <si>
    <t>H&amp;M Bristol Cabot Circus</t>
  </si>
  <si>
    <t>Brigstowe Street</t>
  </si>
  <si>
    <t>Cabot Circus</t>
  </si>
  <si>
    <t>Brigstowe Street;Cabot Circus;BS1 3BH;Bristol</t>
  </si>
  <si>
    <t>GB0654</t>
  </si>
  <si>
    <t>H&amp;M Ballymena</t>
  </si>
  <si>
    <t>Ballymena</t>
  </si>
  <si>
    <t>Fairhill Shopping Centre</t>
  </si>
  <si>
    <t>Units 1-5 Thomas street, Ballymena</t>
  </si>
  <si>
    <t>Fairhill Shopping Centre;Units 1-5 Thomas street, Ballymena;BT43 6UF;Co. Antrim, N. Ireland</t>
  </si>
  <si>
    <t>GB0655</t>
  </si>
  <si>
    <t>H&amp;M Bromley</t>
  </si>
  <si>
    <t>Bromley</t>
  </si>
  <si>
    <t>Unit 3 &amp; 4, The Glades Shopping Centre</t>
  </si>
  <si>
    <t>Unit 3 &amp; 4, The Glades Shopping Centre;High Street;BR1 1DN;Bromley, Kent</t>
  </si>
  <si>
    <t>GB0656</t>
  </si>
  <si>
    <t>H&amp;M Bury St Edmunds</t>
  </si>
  <si>
    <t>Bury St Edmunds</t>
  </si>
  <si>
    <t>32 Gosnold Street</t>
  </si>
  <si>
    <t>The Arc</t>
  </si>
  <si>
    <t>32 Gosnold Street;The Arc;IP33 3AA;Bury St Edmunds, Suffolk</t>
  </si>
  <si>
    <t>GB0658</t>
  </si>
  <si>
    <t>H&amp;M Derby</t>
  </si>
  <si>
    <t>Derby</t>
  </si>
  <si>
    <t>Eagle Centre, SU07 &amp; 306</t>
  </si>
  <si>
    <t>Intu Shopping Centre</t>
  </si>
  <si>
    <t>Eagle Centre, SU07 &amp; 306;Intu Shopping Centre;DE1 2PQ;Derby</t>
  </si>
  <si>
    <t>GB0659</t>
  </si>
  <si>
    <t>H&amp;M Kids Derby</t>
  </si>
  <si>
    <t>Unit S U 1 70</t>
  </si>
  <si>
    <t>Intu Shopping centre</t>
  </si>
  <si>
    <t>Unit S U 1 70;Intu Shopping centre;DE1 2PQ;Derby</t>
  </si>
  <si>
    <t>GB0660</t>
  </si>
  <si>
    <t>H&amp;M Regent Street</t>
  </si>
  <si>
    <t>234 Regent Street</t>
  </si>
  <si>
    <t>234 Regent Street;;W1B 3BR;London</t>
  </si>
  <si>
    <t>GB0661</t>
  </si>
  <si>
    <t>H&amp;M White City</t>
  </si>
  <si>
    <t>Unit 2082, Westfield Shepherds Bush</t>
  </si>
  <si>
    <t>Ariel Way, Shepherds Bush</t>
  </si>
  <si>
    <t>Unit 2082, Westfield Shepherds Bush;Ariel Way, Shepherds Bush;W12 7GF;London</t>
  </si>
  <si>
    <t>GB0664</t>
  </si>
  <si>
    <t>H&amp;M Bolton</t>
  </si>
  <si>
    <t>Bolton</t>
  </si>
  <si>
    <t>Bolton Market Hall</t>
  </si>
  <si>
    <t>Market Place</t>
  </si>
  <si>
    <t>Bolton Market Hall;Market Place;BL1 2AR;Bolton</t>
  </si>
  <si>
    <t>GB0665</t>
  </si>
  <si>
    <t>H&amp;M Chichester</t>
  </si>
  <si>
    <t>Chichester</t>
  </si>
  <si>
    <t>47 East Street</t>
  </si>
  <si>
    <t>47 East Street;;PO19 1HX;Chichester, West Sussex</t>
  </si>
  <si>
    <t>GB0667</t>
  </si>
  <si>
    <t>H&amp;M Glasgow Silverburn</t>
  </si>
  <si>
    <t>Glasgow</t>
  </si>
  <si>
    <t>Unit B11, Silverburn Shopping Centre</t>
  </si>
  <si>
    <t>Barrhead Road</t>
  </si>
  <si>
    <t>Unit B11, Silverburn Shopping Centre;Barrhead Road;GS3 6QR;Glasgow</t>
  </si>
  <si>
    <t>GB0670</t>
  </si>
  <si>
    <t>H&amp;M Ipswich</t>
  </si>
  <si>
    <t>Ipswich</t>
  </si>
  <si>
    <t>21-23 Tavern Street</t>
  </si>
  <si>
    <t>21-23 Tavern Street;;IP1 3AD;Ipswich, Suffolk</t>
  </si>
  <si>
    <t>GB0671</t>
  </si>
  <si>
    <t>H&amp;M Oldham</t>
  </si>
  <si>
    <t>Oldham</t>
  </si>
  <si>
    <t>The Spindles Town Square Shopping Centre, Oldham</t>
  </si>
  <si>
    <t>The Spindles Town Square Shopping Centre, Oldham;Market Place;OL1 1HD;Oldham</t>
  </si>
  <si>
    <t>GB0672</t>
  </si>
  <si>
    <t>H&amp;M Ashford</t>
  </si>
  <si>
    <t>Ashford</t>
  </si>
  <si>
    <t>Unit 109</t>
  </si>
  <si>
    <t>County Square</t>
  </si>
  <si>
    <t>Unit 109;County Square;TN23 1AE;Ashford, Kent</t>
  </si>
  <si>
    <t>GB0676</t>
  </si>
  <si>
    <t>H&amp;M Enfield</t>
  </si>
  <si>
    <t>Enfield</t>
  </si>
  <si>
    <t>18-20 Hatton Walk</t>
  </si>
  <si>
    <t>18-20 Hatton Walk;;EN2 6BP;Enfield</t>
  </si>
  <si>
    <t>GB0677</t>
  </si>
  <si>
    <t>H&amp;M Leicester Highcross</t>
  </si>
  <si>
    <t>Leicester</t>
  </si>
  <si>
    <t>Unit MSU9 Lower Mall</t>
  </si>
  <si>
    <t>Highcross</t>
  </si>
  <si>
    <t>Unit MSU9 Lower Mall;Highcross;LE1 4FT;Leicester</t>
  </si>
  <si>
    <t>GB0678</t>
  </si>
  <si>
    <t>H&amp;M High Wycombe</t>
  </si>
  <si>
    <t>High Wycombe</t>
  </si>
  <si>
    <t>Unit 30 &amp; 31, 15-17 Newlands, Eden Shopping Centre</t>
  </si>
  <si>
    <t>Unit 30 &amp; 31, 15-17 Newlands, Eden Shopping Centre;High Wycombe;HP11 2BZ;Buckinghamshire</t>
  </si>
  <si>
    <t>GB0680</t>
  </si>
  <si>
    <t>H&amp;M Belfast Royal Avenue</t>
  </si>
  <si>
    <t>Queens Building</t>
  </si>
  <si>
    <t>8-10 Royal Avenue</t>
  </si>
  <si>
    <t>Queens Building;8-10 Royal Avenue;BT1 1DA;Belfast</t>
  </si>
  <si>
    <t>GB0684</t>
  </si>
  <si>
    <t>H&amp;M Bath</t>
  </si>
  <si>
    <t>Bath</t>
  </si>
  <si>
    <t>16-18 Lawrence Street</t>
  </si>
  <si>
    <t>Southgate centre</t>
  </si>
  <si>
    <t>16-18 Lawrence Street;Southgate centre;BA1 1AN;Bath</t>
  </si>
  <si>
    <t>GB0685</t>
  </si>
  <si>
    <t>H&amp;M Wakefield</t>
  </si>
  <si>
    <t>Wakefield</t>
  </si>
  <si>
    <t>Unit MSU4</t>
  </si>
  <si>
    <t>Trinity Walk</t>
  </si>
  <si>
    <t>Unit MSU4;Trinity Walk;WF1 1QU;Wakefield</t>
  </si>
  <si>
    <t>GB0687</t>
  </si>
  <si>
    <t>44-48 Southgate Street</t>
  </si>
  <si>
    <t>44-48 Southgate Street;;BA1 1TG;Bath</t>
  </si>
  <si>
    <t>GB0690</t>
  </si>
  <si>
    <t>H&amp;M Altrincham</t>
  </si>
  <si>
    <t>Altrincham</t>
  </si>
  <si>
    <t>Stamford Quarter</t>
  </si>
  <si>
    <t>36-38 George Street</t>
  </si>
  <si>
    <t>Stamford Quarter;36-38 George Street;WA14 1RJ;Altrincham</t>
  </si>
  <si>
    <t>GB0691</t>
  </si>
  <si>
    <t>H&amp;M Leeds White Rose</t>
  </si>
  <si>
    <t>white rose shopping centre</t>
  </si>
  <si>
    <t>MSU10 Lower Level</t>
  </si>
  <si>
    <t>white rose shopping centre;MSU10 Lower Level;LS11 8LL;LEEDS</t>
  </si>
  <si>
    <t>GB0692</t>
  </si>
  <si>
    <t>H&amp;M Kids Enfield</t>
  </si>
  <si>
    <t>23-27 Palace Gardens Shopping Centre</t>
  </si>
  <si>
    <t>23-27 Palace Gardens Shopping Centre;;EN2 6SN;Enfield</t>
  </si>
  <si>
    <t>GB0693</t>
  </si>
  <si>
    <t>H&amp;M Brighton Western Road</t>
  </si>
  <si>
    <t>181-185 Western Road</t>
  </si>
  <si>
    <t>181-185 Western Road;;BN1 2EB;Brighton</t>
  </si>
  <si>
    <t>GB0694</t>
  </si>
  <si>
    <t>H&amp;M Leamington Spa</t>
  </si>
  <si>
    <t>Leamington Spa</t>
  </si>
  <si>
    <t>60-62 The Parade</t>
  </si>
  <si>
    <t>60-62 The Parade;Leamington Spa;CV32 4DB;Warwickshire</t>
  </si>
  <si>
    <t>GB0696</t>
  </si>
  <si>
    <t>H&amp;M Croydon Whitgift</t>
  </si>
  <si>
    <t>60-68 Northend</t>
  </si>
  <si>
    <t>Whitgift Centre</t>
  </si>
  <si>
    <t>60-68 Northend;Whitgift Centre;CR0 1UJ;Croydon, Surrey</t>
  </si>
  <si>
    <t>GB0698</t>
  </si>
  <si>
    <t>H&amp;M Cheltenham</t>
  </si>
  <si>
    <t>Cheltenham</t>
  </si>
  <si>
    <t>Regent Arcade</t>
  </si>
  <si>
    <t>Regent Arcade;;GL50 1JZ;Cheltenham</t>
  </si>
  <si>
    <t>GB0699</t>
  </si>
  <si>
    <t>H&amp;M Ealing</t>
  </si>
  <si>
    <t>Unit 20 Ealing Broadway Centre</t>
  </si>
  <si>
    <t>The Broadway</t>
  </si>
  <si>
    <t>Unit 20 Ealing Broadway Centre;The Broadway;W5 5JY;Ealing</t>
  </si>
  <si>
    <t>GB0701</t>
  </si>
  <si>
    <t>H&amp;M One New Change</t>
  </si>
  <si>
    <t>MSU3B One New Change</t>
  </si>
  <si>
    <t>St Paul's, London</t>
  </si>
  <si>
    <t>MSU3B One New Change;St Paul's, London;EC2V 6AH;London</t>
  </si>
  <si>
    <t>GB0704</t>
  </si>
  <si>
    <t>H&amp;M Glasgow St Enoch</t>
  </si>
  <si>
    <t>St Enoch Centre</t>
  </si>
  <si>
    <t>St Enoch Centre;;G1 4BW;Glasgow</t>
  </si>
  <si>
    <t>GB0707</t>
  </si>
  <si>
    <t>H&amp;M Swansea</t>
  </si>
  <si>
    <t>Swansea</t>
  </si>
  <si>
    <t>2-3 Oxford Street</t>
  </si>
  <si>
    <t>2-3 Oxford Street;;SA1 3AE;Swansea</t>
  </si>
  <si>
    <t>GB0708</t>
  </si>
  <si>
    <t>H&amp;M Bluewater</t>
  </si>
  <si>
    <t>Kent</t>
  </si>
  <si>
    <t>Unit 5 Upper Thames Walk</t>
  </si>
  <si>
    <t>Bluewater Shopping Centre, Greenhithe</t>
  </si>
  <si>
    <t>Unit 5 Upper Thames Walk;Bluewater Shopping Centre, Greenhithe;DA9 9SL;Kent</t>
  </si>
  <si>
    <t>GB0709</t>
  </si>
  <si>
    <t>H&amp;M Kids Kingston</t>
  </si>
  <si>
    <t>L12 &amp; 13 The Bentall Shopping Centre</t>
  </si>
  <si>
    <t>Wood Street</t>
  </si>
  <si>
    <t>L12 &amp; 13 The Bentall Shopping Centre;Wood Street;KT1 1TR;Kingston-Upon-Thames</t>
  </si>
  <si>
    <t>GB0710</t>
  </si>
  <si>
    <t>H&amp;M Camberley</t>
  </si>
  <si>
    <t>Camberley</t>
  </si>
  <si>
    <t>Unit A9</t>
  </si>
  <si>
    <t>The Atrium Park Street6</t>
  </si>
  <si>
    <t>Unit A9;The Atrium Park Street6;GU15 3PT;CAMBERLEY</t>
  </si>
  <si>
    <t>GB0712</t>
  </si>
  <si>
    <t>H&amp;M Shrewsbury</t>
  </si>
  <si>
    <t>Shrewsbury</t>
  </si>
  <si>
    <t>11 Castle Street</t>
  </si>
  <si>
    <t>Darwin Centre</t>
  </si>
  <si>
    <t>11 Castle Street;Darwin Centre;SY1 2BB;Shrewsbury</t>
  </si>
  <si>
    <t>GB0716</t>
  </si>
  <si>
    <t>H&amp;M Chesterfield</t>
  </si>
  <si>
    <t>Chesterfield</t>
  </si>
  <si>
    <t>18 Vicar Lane</t>
  </si>
  <si>
    <t>MSU2;18 Vicar Lane;S40 1PY;Chesterfield</t>
  </si>
  <si>
    <t>GB0717</t>
  </si>
  <si>
    <t>H&amp;M Worthing</t>
  </si>
  <si>
    <t>Worthing</t>
  </si>
  <si>
    <t>33-35 Montague Street</t>
  </si>
  <si>
    <t>33-35 Montague Street;;BN11 3BJ;Worthing</t>
  </si>
  <si>
    <t>GB0718</t>
  </si>
  <si>
    <t>H&amp;M Banbury</t>
  </si>
  <si>
    <t>Banbury</t>
  </si>
  <si>
    <t>51 Castle Quay</t>
  </si>
  <si>
    <t>51 Castle Quay;;OX16 5UP;Banbury</t>
  </si>
  <si>
    <t>GB0721</t>
  </si>
  <si>
    <t>H&amp;M Sutton Coldfield</t>
  </si>
  <si>
    <t>Sutton Coldfield</t>
  </si>
  <si>
    <t>Gracechurch Centre</t>
  </si>
  <si>
    <t>Gracechurch Centre;;B72 1PD</t>
  </si>
  <si>
    <t>GB0723</t>
  </si>
  <si>
    <t>H&amp;M Brixton</t>
  </si>
  <si>
    <t>457-461 Brixton Road</t>
  </si>
  <si>
    <t>457-461 Brixton Road;;SW9 8HH;Brixton, London</t>
  </si>
  <si>
    <t>GB0725</t>
  </si>
  <si>
    <t>H&amp;M Bexleyheath</t>
  </si>
  <si>
    <t>Bexleyheath</t>
  </si>
  <si>
    <t>The Mall</t>
  </si>
  <si>
    <t>99-105 Broadway</t>
  </si>
  <si>
    <t>The Mall;99-105 Broadway;DA6 7JN;bexleyheath, Kent</t>
  </si>
  <si>
    <t>GB0726</t>
  </si>
  <si>
    <t>H&amp;M Woking</t>
  </si>
  <si>
    <t>Woking</t>
  </si>
  <si>
    <t>The Peacocks</t>
  </si>
  <si>
    <t>The Peacocks;;GU21 6GF;Woking, Surrey</t>
  </si>
  <si>
    <t>GB0728</t>
  </si>
  <si>
    <t>H&amp;M Colchester</t>
  </si>
  <si>
    <t>Colchester</t>
  </si>
  <si>
    <t>9-11 Culver Square</t>
  </si>
  <si>
    <t>9-11 Culver Square;;CO1 1WF;Colchester, Essex</t>
  </si>
  <si>
    <t>GB0731</t>
  </si>
  <si>
    <t>H&amp;M Wimbledon Centre Court</t>
  </si>
  <si>
    <t>Unit LSU07 Centre Court Shopping Centre</t>
  </si>
  <si>
    <t>Queens Road</t>
  </si>
  <si>
    <t>Unit LSU07 Centre Court Shopping Centre;Queens Road;SW19 8YD;Wimbledon</t>
  </si>
  <si>
    <t>GB0732</t>
  </si>
  <si>
    <t>H&amp;M Bury</t>
  </si>
  <si>
    <t>Bury</t>
  </si>
  <si>
    <t>The Rock</t>
  </si>
  <si>
    <t>7 St John's Square, Unit F15</t>
  </si>
  <si>
    <t>The Rock;7 St John's Square, Unit F15;BL9 6AH;Bury</t>
  </si>
  <si>
    <t>GB0733</t>
  </si>
  <si>
    <t>H&amp;M Glasgow Braehead</t>
  </si>
  <si>
    <t>Unit 149</t>
  </si>
  <si>
    <t>braehead Shopping centre</t>
  </si>
  <si>
    <t>Unit 149;braehead Shopping centre;G51 4BS;GLASGOW</t>
  </si>
  <si>
    <t>GB0734</t>
  </si>
  <si>
    <t>H&amp;M Newbury</t>
  </si>
  <si>
    <t>Newbury</t>
  </si>
  <si>
    <t>58/59 ParkwayShopping centre</t>
  </si>
  <si>
    <t>58/59 ParkwayShopping centre;Newbury;RG14 1AY;NEWBURY</t>
  </si>
  <si>
    <t>GB0735</t>
  </si>
  <si>
    <t>H&amp;M Kids Wandsworth</t>
  </si>
  <si>
    <t>unit 71-72</t>
  </si>
  <si>
    <t>Southside Shopping centre</t>
  </si>
  <si>
    <t>unit 71-72;Southside Shopping centre;SW18 4TF;WANDSWORTH</t>
  </si>
  <si>
    <t>GB0738</t>
  </si>
  <si>
    <t>H&amp;M Corby</t>
  </si>
  <si>
    <t>Corby</t>
  </si>
  <si>
    <t>Willow Place</t>
  </si>
  <si>
    <t>Willow Place;;NN17 1BH;Corby, Northampshire</t>
  </si>
  <si>
    <t>GB0739</t>
  </si>
  <si>
    <t>H&amp;M Islington</t>
  </si>
  <si>
    <t>26 Parkfield street</t>
  </si>
  <si>
    <t>Islington</t>
  </si>
  <si>
    <t>26 Parkfield street;Islington;N1 0PS;London</t>
  </si>
  <si>
    <t>GB0741</t>
  </si>
  <si>
    <t>H&amp;M Harlow</t>
  </si>
  <si>
    <t>Harlow</t>
  </si>
  <si>
    <t>unit 14-15</t>
  </si>
  <si>
    <t>The Watergardens, Harlow</t>
  </si>
  <si>
    <t>unit 14-15;The Watergardens, Harlow;CM20 1HL;HARLOW</t>
  </si>
  <si>
    <t>GB0742</t>
  </si>
  <si>
    <t>H&amp;M Blackburn</t>
  </si>
  <si>
    <t>Blackburn</t>
  </si>
  <si>
    <t>unit 27/28 Lord square</t>
  </si>
  <si>
    <t>The Mall Blackburn, 25 Church St, Blackburn</t>
  </si>
  <si>
    <t>unit 27/28 Lord square;The Mall Blackburn, 25 Church St, Blackburn;BB1 5AF;BLACKBURN</t>
  </si>
  <si>
    <t>GB0743</t>
  </si>
  <si>
    <t>H&amp;M Stockton Upon Tees</t>
  </si>
  <si>
    <t>Stockton Upon Tees</t>
  </si>
  <si>
    <t>Unit 21A Teeside Retail Park</t>
  </si>
  <si>
    <t>Middlesbrough Rd</t>
  </si>
  <si>
    <t>Unit 21A Teeside Retail Park;Middlesbrough Rd;TS17 7BT;CLEVELAND</t>
  </si>
  <si>
    <t>GB0745</t>
  </si>
  <si>
    <t>H&amp;M Glasgow Fort</t>
  </si>
  <si>
    <t>Glasgow Fort</t>
  </si>
  <si>
    <t>380 Provan Walk</t>
  </si>
  <si>
    <t>Glasgow Fort;380 Provan Walk;G34 9DL;Glasgow</t>
  </si>
  <si>
    <t>GB0746</t>
  </si>
  <si>
    <t>H&amp;M St Andrews</t>
  </si>
  <si>
    <t>St Andrews</t>
  </si>
  <si>
    <t>137-141 Market St</t>
  </si>
  <si>
    <t>St Andrews, Fife</t>
  </si>
  <si>
    <t>137-141 Market St;St Andrews, Fife;KY16 9PF;SCOTLAND</t>
  </si>
  <si>
    <t>GB0750</t>
  </si>
  <si>
    <t>H&amp;M Staines</t>
  </si>
  <si>
    <t>Staines</t>
  </si>
  <si>
    <t>Elmsleigh Shopping Centre, 101-103 High St</t>
  </si>
  <si>
    <t>Staines, Middlesex</t>
  </si>
  <si>
    <t>Elmsleigh Shopping Centre, 101-103 High St;Staines, Middlesex;TW18 4PQ;STAINES</t>
  </si>
  <si>
    <t>GB0754</t>
  </si>
  <si>
    <t>H&amp;M Beckton</t>
  </si>
  <si>
    <t>Unit 7 Gallions Reach</t>
  </si>
  <si>
    <t>Beckton London</t>
  </si>
  <si>
    <t>Unit 7 Gallions Reach;Beckton London;E6 7ER</t>
  </si>
  <si>
    <t>GB0756</t>
  </si>
  <si>
    <t>H&amp;M Putney</t>
  </si>
  <si>
    <t>Unit 32-33, Exchange Shopping Centre</t>
  </si>
  <si>
    <t>Putney</t>
  </si>
  <si>
    <t>Unit 32-33, Exchange Shopping Centre;Putney;SW15 1TW;London</t>
  </si>
  <si>
    <t>GB0760</t>
  </si>
  <si>
    <t>H&amp;M Newry</t>
  </si>
  <si>
    <t>Newry</t>
  </si>
  <si>
    <t>unit 30-32 The Quays shopping Centre</t>
  </si>
  <si>
    <t>Down - Newry</t>
  </si>
  <si>
    <t>unit 30-32 The Quays shopping Centre;Down - Newry;BT35 8QF;Northern Ireland</t>
  </si>
  <si>
    <t>GB0761</t>
  </si>
  <si>
    <t>Fulham</t>
  </si>
  <si>
    <t>Fulham;;FUL</t>
  </si>
  <si>
    <t>GB0766</t>
  </si>
  <si>
    <t>H&amp;M Chester Cheshire Oaks</t>
  </si>
  <si>
    <t>Chester</t>
  </si>
  <si>
    <t>Unit RO3 Coliseum retail Park</t>
  </si>
  <si>
    <t>Ellesmere Port</t>
  </si>
  <si>
    <t>Unit RO3 Coliseum retail Park;Ellesmere Port;CH65 9HD;CHESTER</t>
  </si>
  <si>
    <t>GB0767</t>
  </si>
  <si>
    <t>H&amp;M Liverpool New Mersey</t>
  </si>
  <si>
    <t>Liverpool</t>
  </si>
  <si>
    <t>Speke road</t>
  </si>
  <si>
    <t>New Mersey Retail park</t>
  </si>
  <si>
    <t>Speke road;New Mersey Retail park;L24 8QB;Liverpool</t>
  </si>
  <si>
    <t>GB0768</t>
  </si>
  <si>
    <t>H&amp;M Cambridge Grafton</t>
  </si>
  <si>
    <t>46 Grafton Centre</t>
  </si>
  <si>
    <t>46 Grafton Centre;Cambridge;CB1 1PS</t>
  </si>
  <si>
    <t>GB0769</t>
  </si>
  <si>
    <t>Stevenage</t>
  </si>
  <si>
    <t>Stevenage;;STEVE</t>
  </si>
  <si>
    <t>GB0770</t>
  </si>
  <si>
    <t>H&amp;M Aylesbury</t>
  </si>
  <si>
    <t>Aylesbury</t>
  </si>
  <si>
    <t>Friars Square Shopping center.</t>
  </si>
  <si>
    <t>units 4/5</t>
  </si>
  <si>
    <t>Friars Square Shopping center.;units 4/5;HP20 2QF</t>
  </si>
  <si>
    <t>GB0772</t>
  </si>
  <si>
    <t>H&amp;M Fareham Whiteley Village</t>
  </si>
  <si>
    <t>Fareham</t>
  </si>
  <si>
    <t>Unit A5, Whiteley Shopping Centre</t>
  </si>
  <si>
    <t>Whiteley Way, Whiteley</t>
  </si>
  <si>
    <t>Unit A5, Whiteley Shopping Centre;Whiteley Way, Whiteley;PO15 7PD</t>
  </si>
  <si>
    <t>GB0774</t>
  </si>
  <si>
    <t>H&amp;M Richmond</t>
  </si>
  <si>
    <t>18-20 George Street</t>
  </si>
  <si>
    <t>Richmond;18-20 George Street;TW9 1HY;Richmond Upon Thames</t>
  </si>
  <si>
    <t>GB0777</t>
  </si>
  <si>
    <t>H&amp;M Milton Keynes Shopping Park</t>
  </si>
  <si>
    <t>Unit 2 MK1 Shopping Park</t>
  </si>
  <si>
    <t>Stadium Way Milton Keynes</t>
  </si>
  <si>
    <t>Unit 2 MK1 Shopping Park;Stadium Way Milton Keynes;MK1 1ST</t>
  </si>
  <si>
    <t>GB0780</t>
  </si>
  <si>
    <t>H&amp;M Kids Newcastle Metrocentre</t>
  </si>
  <si>
    <t>Metro Centre Gateshead</t>
  </si>
  <si>
    <t>unit 1.18 70 garden walk</t>
  </si>
  <si>
    <t>Metro Centre Gateshead;unit 1.18 70 garden walk;NE11 9XZ;GATESHEAD</t>
  </si>
  <si>
    <t>GB0783</t>
  </si>
  <si>
    <t>H&amp;M Londonderry</t>
  </si>
  <si>
    <t>Londonderry</t>
  </si>
  <si>
    <t>Foyleside Shopping centre</t>
  </si>
  <si>
    <t>Orchard Street</t>
  </si>
  <si>
    <t>Foyleside Shopping centre;Orchard Street;BT48 6XY;Londonderry</t>
  </si>
  <si>
    <t>GB0786</t>
  </si>
  <si>
    <t>H&amp;M Luton</t>
  </si>
  <si>
    <t>Luton</t>
  </si>
  <si>
    <t>119-129 The Mall</t>
  </si>
  <si>
    <t>119-129 The Mall;Luton;LU1 2TN;BEDFORDSHIRE</t>
  </si>
  <si>
    <t>GB0788</t>
  </si>
  <si>
    <t>H&amp;M Southend</t>
  </si>
  <si>
    <t>Southend</t>
  </si>
  <si>
    <t>29-35 High Street</t>
  </si>
  <si>
    <t>Southend on Sea</t>
  </si>
  <si>
    <t>29-35 High Street;Southend on Sea;SS1 1JD;ESSEX</t>
  </si>
  <si>
    <t>GB0790</t>
  </si>
  <si>
    <t>Preston;;PRES</t>
  </si>
  <si>
    <t>GB0792</t>
  </si>
  <si>
    <t>H&amp;M Norwich Riverside</t>
  </si>
  <si>
    <t>The Riverside Retail Park</t>
  </si>
  <si>
    <t>Albion Way</t>
  </si>
  <si>
    <t>The Riverside Retail Park;Albion Way;NR1 1WR;Norwich</t>
  </si>
  <si>
    <t>GB0794</t>
  </si>
  <si>
    <t>H&amp;M Salisbury</t>
  </si>
  <si>
    <t>Salisbury</t>
  </si>
  <si>
    <t>28-30 Old George Mall</t>
  </si>
  <si>
    <t>28-30 Old George Mall;;SP1 2AF;Salisbury</t>
  </si>
  <si>
    <t>GB0796</t>
  </si>
  <si>
    <t>H&amp;M Bromborough</t>
  </si>
  <si>
    <t>Bromborough</t>
  </si>
  <si>
    <t>The Croft Retail Park</t>
  </si>
  <si>
    <t>Welton Road, Bromborough</t>
  </si>
  <si>
    <t>The Croft Retail Park;Welton Road, Bromborough;CH62 3PN</t>
  </si>
  <si>
    <t>GB0797</t>
  </si>
  <si>
    <t>H&amp;M Hammersmith</t>
  </si>
  <si>
    <t>Kings Mall, Hammersmith</t>
  </si>
  <si>
    <t>King Street</t>
  </si>
  <si>
    <t>Kings Mall, Hammersmith;King Street;W6 9HW;London</t>
  </si>
  <si>
    <t>GB0800</t>
  </si>
  <si>
    <t>H&amp;M East Kilbride</t>
  </si>
  <si>
    <t>East Kilbride</t>
  </si>
  <si>
    <t>Unit 4 East Kilbride Shopping Centre</t>
  </si>
  <si>
    <t>East Kilbride Shopping Centre, unit 4</t>
  </si>
  <si>
    <t>Unit 4 East Kilbride Shopping Centre;East Kilbride Shopping Centre, unit 4;G74 1LL;Glasgow</t>
  </si>
  <si>
    <t>GB0803</t>
  </si>
  <si>
    <t>H&amp;M Belfast Forestside</t>
  </si>
  <si>
    <t>Units 9/10 Forestside Shopping Centre</t>
  </si>
  <si>
    <t>Upper Galwally, Belfast City</t>
  </si>
  <si>
    <t>Units 9/10 Forestside Shopping Centre;Upper Galwally, Belfast City;BT8 6FX</t>
  </si>
  <si>
    <t>GB0804</t>
  </si>
  <si>
    <t>H&amp;M Chester Broughton Park</t>
  </si>
  <si>
    <t>Unit 9B Broughton Shopping Park</t>
  </si>
  <si>
    <t>Unit 9B Broughton Shopping Park;Chester;CH4 0DP</t>
  </si>
  <si>
    <t>GB0805</t>
  </si>
  <si>
    <t>H&amp;M Tamworth</t>
  </si>
  <si>
    <t>Tamworth</t>
  </si>
  <si>
    <t>Ventura Retail Park</t>
  </si>
  <si>
    <t>Ventura Park Road</t>
  </si>
  <si>
    <t>Ventura Retail Park;Ventura Park Road;B78 3JD</t>
  </si>
  <si>
    <t>GB0807</t>
  </si>
  <si>
    <t>H&amp;M Hastings</t>
  </si>
  <si>
    <t>Hastings</t>
  </si>
  <si>
    <t>Priory Meadow, Town Centre</t>
  </si>
  <si>
    <t>Priory Meadow, Town Centre;Hastings;TN34 1PH;Hastings</t>
  </si>
  <si>
    <t>GB0810</t>
  </si>
  <si>
    <t>Unit 3 &amp; 46 MSU 2 &amp; SU The Exchange High Road</t>
  </si>
  <si>
    <t>Ilford</t>
  </si>
  <si>
    <t>Ilford Essex</t>
  </si>
  <si>
    <t>Unit 3 &amp; 46 MSU 2 &amp; SU The Exchange High Road;Ilford Essex;IG1 1RS</t>
  </si>
  <si>
    <t>GB0813</t>
  </si>
  <si>
    <t>St James Shopping Centre</t>
  </si>
  <si>
    <t>Unit 2.03, 3.03, 4.03</t>
  </si>
  <si>
    <t>St James Shopping Centre;Unit 2.03, 3.03, 4.03;EH1 3SS</t>
  </si>
  <si>
    <t>GB0816</t>
  </si>
  <si>
    <t>H&amp;M Newcastle Silverlink</t>
  </si>
  <si>
    <t>Units Fb Silverlink Retail Park</t>
  </si>
  <si>
    <t>North Sheilds Newcastle</t>
  </si>
  <si>
    <t>Units Fb Silverlink Retail Park;North Sheilds Newcastle;NE28 9ND;Newcastle upon Tyne</t>
  </si>
  <si>
    <t>GB0820</t>
  </si>
  <si>
    <t>H&amp;M Hartlepool</t>
  </si>
  <si>
    <t>Hartlepool</t>
  </si>
  <si>
    <t>Units 141/142/143 Middleton Grange</t>
  </si>
  <si>
    <t>Shopping Centre, Hartlepool</t>
  </si>
  <si>
    <t>Units 141/142/143 Middleton Grange;Shopping Centre, Hartlepool;TS24 7RD;Hartlepool</t>
  </si>
  <si>
    <t>GB0821</t>
  </si>
  <si>
    <t>H&amp;M St Helens</t>
  </si>
  <si>
    <t>St Helens</t>
  </si>
  <si>
    <t>Unit 5, Church Square Shopping Centre</t>
  </si>
  <si>
    <t>Unit 5, Church Square Shopping Centre;St Helens;WA10 1BN</t>
  </si>
  <si>
    <t>GB0822</t>
  </si>
  <si>
    <t>H&amp;M Beverley</t>
  </si>
  <si>
    <t>Beverley</t>
  </si>
  <si>
    <t>Unit 5, Flemingate Centre</t>
  </si>
  <si>
    <t>Beverley, East Riding of Yorkshire</t>
  </si>
  <si>
    <t>Unit 5, Flemingate Centre;Beverley, East Riding of Yorkshire;HU17 0NQ;Beverley</t>
  </si>
  <si>
    <t>GB0825</t>
  </si>
  <si>
    <t>H&amp;M Stevenage</t>
  </si>
  <si>
    <t>Westgate Centre,</t>
  </si>
  <si>
    <t>Hertfordshire</t>
  </si>
  <si>
    <t>Westgate Centre,;Hertfordshire;SG1 1QR</t>
  </si>
  <si>
    <t>GB0826</t>
  </si>
  <si>
    <t>H&amp;M Eastbourne</t>
  </si>
  <si>
    <t>Eastbourne</t>
  </si>
  <si>
    <t>Eastbourne Arndale Centre</t>
  </si>
  <si>
    <t>Town Centre Eastbourne</t>
  </si>
  <si>
    <t>Eastbourne Arndale Centre;Town Centre Eastbourne;BN21 3NW;Eastbourne</t>
  </si>
  <si>
    <t>GB0827</t>
  </si>
  <si>
    <t>H&amp;M Kings Lynn</t>
  </si>
  <si>
    <t>Kings Lynn</t>
  </si>
  <si>
    <t>2-4 Broad Street</t>
  </si>
  <si>
    <t>Kings Lynn Norfolk</t>
  </si>
  <si>
    <t>2-4 Broad Street;Kings Lynn Norfolk;PE30 1DP;Kings Lynn</t>
  </si>
  <si>
    <t>GB0829</t>
  </si>
  <si>
    <t>H&amp;M Horsham</t>
  </si>
  <si>
    <t>Horsham</t>
  </si>
  <si>
    <t>Units 31-34 &amp; Unit 31B</t>
  </si>
  <si>
    <t>Swan Walk Shopping Centre, Horsham, West</t>
  </si>
  <si>
    <t>Units 31-34 &amp; Unit 31B;Swan Walk Shopping Centre, Horsham, West;RH12 1HQ;Horsham</t>
  </si>
  <si>
    <t>GB0830</t>
  </si>
  <si>
    <t>H&amp;M Lincoln</t>
  </si>
  <si>
    <t>Lincoln</t>
  </si>
  <si>
    <t>Unit LRU 2</t>
  </si>
  <si>
    <t>Waterside Shopping Centre Lincoln</t>
  </si>
  <si>
    <t>Unit LRU 2;Waterside Shopping Centre Lincoln;LN2 1AP;Lincoln</t>
  </si>
  <si>
    <t>GB0832</t>
  </si>
  <si>
    <t>H&amp;M Bracknell</t>
  </si>
  <si>
    <t>Bracknell</t>
  </si>
  <si>
    <t>MSU5 Northern Retail Quarter</t>
  </si>
  <si>
    <t>MSU5 Northern Retail Quarter;Bracknell;RG12 1BD;Bracknell</t>
  </si>
  <si>
    <t>GB0833</t>
  </si>
  <si>
    <t>H&amp;M West Bromwich</t>
  </si>
  <si>
    <t>West Bromwich</t>
  </si>
  <si>
    <t>Unit 4-5 New Square</t>
  </si>
  <si>
    <t>Unit 4-5 New Square;West Bromwich;B70 7PP;Est Bromwich</t>
  </si>
  <si>
    <t>GB0836</t>
  </si>
  <si>
    <t>H&amp;M Hounslow</t>
  </si>
  <si>
    <t>Treaty Centre, Hounslow</t>
  </si>
  <si>
    <t>West London</t>
  </si>
  <si>
    <t>Treaty Centre, Hounslow;West London;TW3 1ES</t>
  </si>
  <si>
    <t>GB0837</t>
  </si>
  <si>
    <t>H&amp;M Kingston</t>
  </si>
  <si>
    <t>Units S2-S6 Kingston Bentall Centre</t>
  </si>
  <si>
    <t>Units S2-S6 Kingston Bentall Centre;Kingston;KT1 1TP</t>
  </si>
  <si>
    <t>GB0839</t>
  </si>
  <si>
    <t>H&amp;M Hereford</t>
  </si>
  <si>
    <t>Hereford</t>
  </si>
  <si>
    <t>Unit 2&amp;3 Old Livestock Market</t>
  </si>
  <si>
    <t>Unit 2&amp;3 Old Livestock Market;;HR4 9HT;Hereford</t>
  </si>
  <si>
    <t>GB0840</t>
  </si>
  <si>
    <t>H&amp;M Redhill</t>
  </si>
  <si>
    <t>Redhill</t>
  </si>
  <si>
    <t>18 The Belfry Shopping Centre</t>
  </si>
  <si>
    <t>18 The Belfry Shopping Centre;High Street;RH1 1SA;Redhill</t>
  </si>
  <si>
    <t>GB0841</t>
  </si>
  <si>
    <t>H&amp;M Yeovil</t>
  </si>
  <si>
    <t>Yeovil</t>
  </si>
  <si>
    <t>Unit 1 and 3, Quedam shopping Centre</t>
  </si>
  <si>
    <t>Vicarage Walk</t>
  </si>
  <si>
    <t>Unit 1 and 3, Quedam shopping Centre;Vicarage Walk;BA20 1EU;Yeovil</t>
  </si>
  <si>
    <t>GB0842</t>
  </si>
  <si>
    <t>H&amp;M Stoke on Trent</t>
  </si>
  <si>
    <t>Stoke on Trent</t>
  </si>
  <si>
    <t>212/213 The Potteries Shopping Centre</t>
  </si>
  <si>
    <t>Market Square</t>
  </si>
  <si>
    <t>212/213 The Potteries Shopping Centre;Market Square;ST1 1PS;Hanley, Staffordshire</t>
  </si>
  <si>
    <t>GB0843</t>
  </si>
  <si>
    <t>H&amp;M Swindon</t>
  </si>
  <si>
    <t>Swindon</t>
  </si>
  <si>
    <t>2-6 The Parade</t>
  </si>
  <si>
    <t>2-6 The Parade;Swindon;SN1 1BA</t>
  </si>
  <si>
    <t>GB0844</t>
  </si>
  <si>
    <t>H&amp;M Bishops Stortford</t>
  </si>
  <si>
    <t>Bishops Stortford</t>
  </si>
  <si>
    <t>17-21 Potter St</t>
  </si>
  <si>
    <t>Bishop's Stortford</t>
  </si>
  <si>
    <t>17-21 Potter St;Bishop's Stortford;CM23 3UH;Hertfordshire</t>
  </si>
  <si>
    <t>GB0845</t>
  </si>
  <si>
    <t>H&amp;M Maidenhead</t>
  </si>
  <si>
    <t>Maidenhead</t>
  </si>
  <si>
    <t>51-52 Kings Walk</t>
  </si>
  <si>
    <t>Nicholson Centre</t>
  </si>
  <si>
    <t>51-52 Kings Walk;Nicholson Centre;SL6 1LL;Maidenhead</t>
  </si>
  <si>
    <t>GB0848</t>
  </si>
  <si>
    <t>H&amp;M Stafford</t>
  </si>
  <si>
    <t>Stafford</t>
  </si>
  <si>
    <t>Unit 02C</t>
  </si>
  <si>
    <t>Waterfront Shopping Centre</t>
  </si>
  <si>
    <t>Unit 02C;Waterfront Shopping Centre;ST16 2HQ;Stafford</t>
  </si>
  <si>
    <t>GB0851</t>
  </si>
  <si>
    <t>H&amp;M Newport Friars Walk</t>
  </si>
  <si>
    <t>Newport</t>
  </si>
  <si>
    <t>MSU06, Friars Walk</t>
  </si>
  <si>
    <t>Newport, Wales</t>
  </si>
  <si>
    <t>MSU06, Friars Walk;Newport, Wales;NP20 1HZ</t>
  </si>
  <si>
    <t>GB0853</t>
  </si>
  <si>
    <t>H&amp;M Cardiff</t>
  </si>
  <si>
    <t>Cardiff</t>
  </si>
  <si>
    <t>MSU3 and UG03, Upper Grand Arcade, St David's Centre</t>
  </si>
  <si>
    <t>MSU3 and UG03, Upper Grand Arcade, St David's Centre;Cardiff;CF10 2FN</t>
  </si>
  <si>
    <t>GB0854</t>
  </si>
  <si>
    <t>H&amp;M Wolverhampton</t>
  </si>
  <si>
    <t>Wolverhampton</t>
  </si>
  <si>
    <t>Unit 4, Mander Centre</t>
  </si>
  <si>
    <t>Mander centre</t>
  </si>
  <si>
    <t>Unit 4, Mander Centre;Mander centre;WV1 3P;Wolverhampton</t>
  </si>
  <si>
    <t>GB0855</t>
  </si>
  <si>
    <t>H&amp;M Edinburgh Ocean Terminal</t>
  </si>
  <si>
    <t>98 Ocean Drive</t>
  </si>
  <si>
    <t>Leith, Edinburgh</t>
  </si>
  <si>
    <t>98 Ocean Drive;Leith, Edinburgh;EH6 6JJ</t>
  </si>
  <si>
    <t>GB0857</t>
  </si>
  <si>
    <t>H&amp;M Rushden Lakes</t>
  </si>
  <si>
    <t>Rushden</t>
  </si>
  <si>
    <t>Unit C2 Rushden Lakes</t>
  </si>
  <si>
    <t>Nene Valley Northamptonshire</t>
  </si>
  <si>
    <t>Unit C2 Rushden Lakes;Nene Valley Northamptonshire;NN10 6FG</t>
  </si>
  <si>
    <t>GB0858</t>
  </si>
  <si>
    <t>H&amp;M Rugby</t>
  </si>
  <si>
    <t>Rugby</t>
  </si>
  <si>
    <t>Unit 2 Elliotts Field Retail Park</t>
  </si>
  <si>
    <t>Leicester Road</t>
  </si>
  <si>
    <t>Unit 2 Elliotts Field Retail Park;Leicester Road;CV21 1SR;Rugby</t>
  </si>
  <si>
    <t>GB0859</t>
  </si>
  <si>
    <t>H&amp;M Welwyn Garden City</t>
  </si>
  <si>
    <t>Welwyn Garden City</t>
  </si>
  <si>
    <t>Units 43-46 The Howard Centre</t>
  </si>
  <si>
    <t>Welwyn Garden City Hertfordshire</t>
  </si>
  <si>
    <t>Units 43-46 The Howard Centre;Welwyn Garden City Hertfordshire;AL8 6HA</t>
  </si>
  <si>
    <t>GB0860</t>
  </si>
  <si>
    <t>H&amp;M Poole</t>
  </si>
  <si>
    <t>Poole</t>
  </si>
  <si>
    <t>Dolphin Centre</t>
  </si>
  <si>
    <t>Dolphin Centre;;BH15 1SQ;Poole</t>
  </si>
  <si>
    <t>GB0861</t>
  </si>
  <si>
    <t>H&amp;M Ilford</t>
  </si>
  <si>
    <t>Units 43-44 The Exchange Shopping Centre</t>
  </si>
  <si>
    <t>High Road, Ilford</t>
  </si>
  <si>
    <t>Units 43-44 The Exchange Shopping Centre;High Road, Ilford;IG1 1RS</t>
  </si>
  <si>
    <t>GB0862</t>
  </si>
  <si>
    <t>H&amp;M Eastleigh</t>
  </si>
  <si>
    <t>Eastleigh</t>
  </si>
  <si>
    <t>Unit 2 Swan Shopping Centre</t>
  </si>
  <si>
    <t>Eastleigh Hampshire</t>
  </si>
  <si>
    <t>Unit 2 Swan Shopping Centre;Eastleigh Hampshire;SO50 5SF;Eastleigh</t>
  </si>
  <si>
    <t>GB0863</t>
  </si>
  <si>
    <t>H&amp;M Biggleswade</t>
  </si>
  <si>
    <t>Biggleswade</t>
  </si>
  <si>
    <t>The A1 Retail Park Unit F</t>
  </si>
  <si>
    <t>London Road Biggleswade</t>
  </si>
  <si>
    <t>The A1 Retail Park Unit F;London Road Biggleswade;SG18 8NE</t>
  </si>
  <si>
    <t>GB0864</t>
  </si>
  <si>
    <t>H&amp;M Bradford</t>
  </si>
  <si>
    <t>Bradford</t>
  </si>
  <si>
    <t>Bradford Broadway Westfield Shopping Centre</t>
  </si>
  <si>
    <t>MSU 01/02</t>
  </si>
  <si>
    <t>Bradford Broadway Westfield Shopping Centre;MSU 01/02;BD1 1AF;Bradford</t>
  </si>
  <si>
    <t>GB0865</t>
  </si>
  <si>
    <t>H&amp;M Rotherham</t>
  </si>
  <si>
    <t>Rotherham</t>
  </si>
  <si>
    <t>Unit 4a Retail World</t>
  </si>
  <si>
    <t>Unit 4a Retail World;Rotherham;S60 1TG;South Yorkshire</t>
  </si>
  <si>
    <t>GB0867</t>
  </si>
  <si>
    <t>Unit 55, The Designer Outlet, York</t>
  </si>
  <si>
    <t>St Nicholas Avenue</t>
  </si>
  <si>
    <t>Unit 55, The Designer Outlet, York;St Nicholas Avenue;YO19 4TA;Unit 55, The Designer Outlet, York.</t>
  </si>
  <si>
    <t>GB0868</t>
  </si>
  <si>
    <t>H&amp;M Oxford Westgate</t>
  </si>
  <si>
    <t>Oxford</t>
  </si>
  <si>
    <t>Westgate Shopping Centre</t>
  </si>
  <si>
    <t>Westgate Shopping Centre;;OX1 1NZ;Oxford</t>
  </si>
  <si>
    <t>GB0869</t>
  </si>
  <si>
    <t>H&amp;M Durham</t>
  </si>
  <si>
    <t>Durham</t>
  </si>
  <si>
    <t>Unit 13/14 Prince Bishop Shopping Centre</t>
  </si>
  <si>
    <t>Unit 13/14 Prince Bishop Shopping Centre;High Street;DH1 3UJ;Durham</t>
  </si>
  <si>
    <t>GB0877</t>
  </si>
  <si>
    <t>H&amp;M Birmingham New Street</t>
  </si>
  <si>
    <t>6-9 New Street</t>
  </si>
  <si>
    <t>6-9 New Street;;B2 4RG;Birmingham</t>
  </si>
  <si>
    <t>GB0880</t>
  </si>
  <si>
    <t>H&amp;M Watford</t>
  </si>
  <si>
    <t>Watford</t>
  </si>
  <si>
    <t>Unit A/D Charter Place</t>
  </si>
  <si>
    <t>Intu Watford</t>
  </si>
  <si>
    <t>Unit A/D Charter Place;Intu Watford;WD17 2TE;Watford</t>
  </si>
  <si>
    <t>GB0881</t>
  </si>
  <si>
    <t>H&amp;M Barnsley Cortonwood</t>
  </si>
  <si>
    <t>Barnsley</t>
  </si>
  <si>
    <t>UNIT 7</t>
  </si>
  <si>
    <t>Cortonwood Shopping Park,  Cortonwood Drive, Brampton,</t>
  </si>
  <si>
    <t>UNIT 7;Cortonwood Shopping Park,  Cortonwood Drive, Brampton,;S73 0FA</t>
  </si>
  <si>
    <t>GB0887</t>
  </si>
  <si>
    <t>H&amp;M Leeds Thorpe Park</t>
  </si>
  <si>
    <t>Thorpe Park View</t>
  </si>
  <si>
    <t>Thorpe Park View;;LS15 8GH;Leeds</t>
  </si>
  <si>
    <t>GB0888</t>
  </si>
  <si>
    <t>H&amp;M Covent Garden</t>
  </si>
  <si>
    <t>1-2 Mercer St</t>
  </si>
  <si>
    <t>Langley Court</t>
  </si>
  <si>
    <t>1-2 Mercer St;Langley Court;WC2H 9JA</t>
  </si>
  <si>
    <t>GB0891</t>
  </si>
  <si>
    <t>H&amp;M Peterborough Queensgate</t>
  </si>
  <si>
    <t>Queensgate Centre</t>
  </si>
  <si>
    <t>Unit MSU4;Queensgate Centre;PE1 1NR;Peterborough</t>
  </si>
  <si>
    <t>GB0893</t>
  </si>
  <si>
    <t>H&amp;M Merthyr Tydfil</t>
  </si>
  <si>
    <t>Merthyr Tydfil</t>
  </si>
  <si>
    <t>Unit 14</t>
  </si>
  <si>
    <t>Unit 14;Merthyr Tydfil;CF48 1HY;Merthry Tydfil</t>
  </si>
  <si>
    <t>GB0894</t>
  </si>
  <si>
    <t>H&amp;M Didcot</t>
  </si>
  <si>
    <t>Didcot</t>
  </si>
  <si>
    <t>50-52 Orchard Street</t>
  </si>
  <si>
    <t>50-52 Orchard Street;;OX11 7LG;Didcot</t>
  </si>
  <si>
    <t>GB0895</t>
  </si>
  <si>
    <t>H&amp;M Glasgow Buchanan Street</t>
  </si>
  <si>
    <t>185 Buchanan Street</t>
  </si>
  <si>
    <t>MSU 1</t>
  </si>
  <si>
    <t>185 Buchanan Street;MSU 1;G1 2JA;Glasgow</t>
  </si>
  <si>
    <t>GB0896</t>
  </si>
  <si>
    <t>H&amp;M Sheffield The Moor</t>
  </si>
  <si>
    <t>The Moor</t>
  </si>
  <si>
    <t>The Moor;;S1 3LR;Sheffield</t>
  </si>
  <si>
    <t>GB0897</t>
  </si>
  <si>
    <t>H&amp;M Barnet</t>
  </si>
  <si>
    <t>High St</t>
  </si>
  <si>
    <t>Barnet</t>
  </si>
  <si>
    <t>High St;Barnet;EN5 5XY;111, High St Barnet, London EN5 5XY</t>
  </si>
  <si>
    <t>GB0899</t>
  </si>
  <si>
    <t>H&amp;M Telford</t>
  </si>
  <si>
    <t>Telford</t>
  </si>
  <si>
    <t>157 New Street</t>
  </si>
  <si>
    <t>Telford Shopping Centre</t>
  </si>
  <si>
    <t>157 New Street;Telford Shopping Centre;TF3 4BP</t>
  </si>
  <si>
    <t>GB0901</t>
  </si>
  <si>
    <t>H&amp;M Hayes</t>
  </si>
  <si>
    <t>Lombardy Retail Park</t>
  </si>
  <si>
    <t>Coldharbour Lane</t>
  </si>
  <si>
    <t>Lombardy Retail Park;Coldharbour Lane;UB3 3EX</t>
  </si>
  <si>
    <t>GB0903</t>
  </si>
  <si>
    <t>H&amp;M Rochdale Riverside</t>
  </si>
  <si>
    <t>Rochdale</t>
  </si>
  <si>
    <t>Unit 16, Rochdale Riverside</t>
  </si>
  <si>
    <t>Smith Street</t>
  </si>
  <si>
    <t>Unit 16, Rochdale Riverside;Smith Street;OL16 1BE;Rochdale</t>
  </si>
  <si>
    <t>GB0905</t>
  </si>
  <si>
    <t>H&amp;M Kettering</t>
  </si>
  <si>
    <t>Kettering</t>
  </si>
  <si>
    <t>19 The Mall, Gold Street</t>
  </si>
  <si>
    <t>Newlands SC, Kettering,</t>
  </si>
  <si>
    <t>19 The Mall, Gold Street;Newlands SC, Kettering,;NN16 8JA</t>
  </si>
  <si>
    <t>GB0908</t>
  </si>
  <si>
    <t>H&amp;M Lakeside</t>
  </si>
  <si>
    <t>Grays</t>
  </si>
  <si>
    <t>Unit 205-207 Intu Lakeside shopping centre</t>
  </si>
  <si>
    <t>West Thurrock Way</t>
  </si>
  <si>
    <t>Unit 205-207 Intu Lakeside shopping centre;West Thurrock Way;RM20 2ZP</t>
  </si>
  <si>
    <t>GB0911</t>
  </si>
  <si>
    <t>H&amp;M Westfield Stratford</t>
  </si>
  <si>
    <t>Units SU1029/SU2027/SU2527 H&amp;M Westfield Stratford City</t>
  </si>
  <si>
    <t>The Arcade, Montfichet Rd</t>
  </si>
  <si>
    <t>Units SU1029/SU2027/SU2527 H&amp;M Westfield Stratford City;The Arcade, Montfichet Rd;E20 1EQ;London</t>
  </si>
  <si>
    <t>GB0914</t>
  </si>
  <si>
    <t>H&amp;M Leicester Fosse Park</t>
  </si>
  <si>
    <t>Unit 8-9, Fosse Park West</t>
  </si>
  <si>
    <t>Grove Way</t>
  </si>
  <si>
    <t>Unit 8-9, Fosse Park West;Grove Way;LE19 1HZ;Leicester</t>
  </si>
  <si>
    <t>GB0915</t>
  </si>
  <si>
    <t>H&amp;M Sutton</t>
  </si>
  <si>
    <t>Sutton</t>
  </si>
  <si>
    <t>140 High Street</t>
  </si>
  <si>
    <t>140 High Street;;SM1 1NG;Sutton</t>
  </si>
  <si>
    <t>GB0917</t>
  </si>
  <si>
    <t>H&amp;M Burton Upon Trent</t>
  </si>
  <si>
    <t>Burton Upon Trent</t>
  </si>
  <si>
    <t>Unit 1 Underhill Wallk</t>
  </si>
  <si>
    <t>Coopers Square</t>
  </si>
  <si>
    <t>Unit 1 Underhill Wallk;Coopers Square;DE14 1DE;Burton Upon Trent</t>
  </si>
  <si>
    <t>GB0921</t>
  </si>
  <si>
    <t>H&amp;M Northwich</t>
  </si>
  <si>
    <t>Northwich</t>
  </si>
  <si>
    <t>Barons Quay</t>
  </si>
  <si>
    <t>Barons Quay;;CW9 5LA</t>
  </si>
  <si>
    <t>GB0923</t>
  </si>
  <si>
    <t>H&amp;M Liverpool Shopping Park</t>
  </si>
  <si>
    <t>Edge Lane</t>
  </si>
  <si>
    <t>Edge Lane;;L13 1EW</t>
  </si>
  <si>
    <t>GB0934</t>
  </si>
  <si>
    <t>H&amp;M Liverpool Lord Street</t>
  </si>
  <si>
    <t>67-69 Lord Street</t>
  </si>
  <si>
    <t>67-69 Lord Street;;L2 6PG</t>
  </si>
  <si>
    <t>GB0936</t>
  </si>
  <si>
    <t>H&amp;M Livingston</t>
  </si>
  <si>
    <t>The Centre</t>
  </si>
  <si>
    <t>305 Almondvale South Livingston</t>
  </si>
  <si>
    <t>The Centre;305 Almondvale South Livingston;EH54 6GS;West Lothian Livingston</t>
  </si>
  <si>
    <t>GB0939</t>
  </si>
  <si>
    <t>H&amp;M Lewisham</t>
  </si>
  <si>
    <t>Lewisham</t>
  </si>
  <si>
    <t>156-160 Lewisham High Street</t>
  </si>
  <si>
    <t>156-160 Lewisham High Street;;SE13 6JL</t>
  </si>
  <si>
    <t>GB0948</t>
  </si>
  <si>
    <t>St Ann's Shopping Centre</t>
  </si>
  <si>
    <t>St Ann's Road</t>
  </si>
  <si>
    <t>St Ann's Shopping Centre;St Ann's Road;HA1 1AT</t>
  </si>
  <si>
    <t>GB1008</t>
  </si>
  <si>
    <t>4-8 St Andrews Way</t>
  </si>
  <si>
    <t>4-8 St Andrews Way;;NE1 7DX</t>
  </si>
  <si>
    <t>GB1400</t>
  </si>
  <si>
    <t>H&amp;M HOME White City</t>
  </si>
  <si>
    <t>H&amp;M Home, Westfield Shepherds Bush</t>
  </si>
  <si>
    <t>H&amp;M Home, Westfield Shepherds Bush;Ariel Way, Shepherds Bush;W12 7GF;London</t>
  </si>
  <si>
    <t>GB1401</t>
  </si>
  <si>
    <t>H&amp;M HOME Regent Street</t>
  </si>
  <si>
    <t>208 Regent Street</t>
  </si>
  <si>
    <t>208 Regent Street;;W1B 5BD</t>
  </si>
  <si>
    <t>GB1403</t>
  </si>
  <si>
    <t>Islington Square</t>
  </si>
  <si>
    <t>6F Esther Anne Place</t>
  </si>
  <si>
    <t>Islington Square;6F Esther Anne Place;N1 1WL</t>
  </si>
  <si>
    <t>GB1404</t>
  </si>
  <si>
    <t>H&amp;M HOME Birmingham</t>
  </si>
  <si>
    <t>MSU12 Bull Ring Shopping Centre</t>
  </si>
  <si>
    <t>MSU12 Bull Ring Shopping Centre;;B5 4BG;Birmingham</t>
  </si>
  <si>
    <t>GE0001</t>
  </si>
  <si>
    <t>Galeria Tbilisi</t>
  </si>
  <si>
    <t>Tbilisi</t>
  </si>
  <si>
    <t>Georgia</t>
  </si>
  <si>
    <t>GE</t>
  </si>
  <si>
    <t>2/4 Shota Rustaveli Ave</t>
  </si>
  <si>
    <t>Galeria Tbilisi;2/4 Shota Rustaveli Ave;0105;Tbilisi</t>
  </si>
  <si>
    <t>GE0002</t>
  </si>
  <si>
    <t>East Point</t>
  </si>
  <si>
    <t>2 Aleksandre Tvalchrelidze Str.</t>
  </si>
  <si>
    <t>East Point;2 Aleksandre Tvalchrelidze Str.;0182;Tbilisi</t>
  </si>
  <si>
    <t>GE0003</t>
  </si>
  <si>
    <t>City Mall Saburtalo</t>
  </si>
  <si>
    <t>#70 Vazha-Pshavela Avenue.</t>
  </si>
  <si>
    <t>City Mall Saburtalo;#70 Vazha-Pshavela Avenue.;0177;Tbilisi</t>
  </si>
  <si>
    <t>GR0402</t>
  </si>
  <si>
    <t>49 Stadiou Street</t>
  </si>
  <si>
    <t>Athens</t>
  </si>
  <si>
    <t>Greece</t>
  </si>
  <si>
    <t>GR</t>
  </si>
  <si>
    <t>49 Stadiou Street;;10559;Athens</t>
  </si>
  <si>
    <t>GR0403</t>
  </si>
  <si>
    <t>Avenue Mall Shopping Centre (Units E8&amp;E9)</t>
  </si>
  <si>
    <t>41-45 Kifissias Avenue</t>
  </si>
  <si>
    <t>Avenue Mall Shopping Centre (Units E8&amp;E9);41-45 Kifissias Avenue;15123;Athens</t>
  </si>
  <si>
    <t>GR0408</t>
  </si>
  <si>
    <t>Athens Heart Shopping Centre</t>
  </si>
  <si>
    <t>180 Peiraios Avenue Tavros</t>
  </si>
  <si>
    <t>Athens Heart Shopping Centre;180 Peiraios Avenue Tavros;17778;Athens</t>
  </si>
  <si>
    <t>GR0411</t>
  </si>
  <si>
    <t>40 Tsimiski Street</t>
  </si>
  <si>
    <t>Thessaloniki</t>
  </si>
  <si>
    <t>40 Tsimiski Street;;54623;Thessaloniki</t>
  </si>
  <si>
    <t>GR0414</t>
  </si>
  <si>
    <t>5 Platonos Street</t>
  </si>
  <si>
    <t>Chalandri</t>
  </si>
  <si>
    <t>5 Platonos Street;Chalandri;15234;Athens</t>
  </si>
  <si>
    <t>GR0416</t>
  </si>
  <si>
    <t>6 Ethelonton Dodekanision Street</t>
  </si>
  <si>
    <t>Rhodes</t>
  </si>
  <si>
    <t>6 Ethelonton Dodekanision Street;;85100;Rhodes</t>
  </si>
  <si>
    <t>GR0417</t>
  </si>
  <si>
    <t>Athens Metro Mall Shopping Centre</t>
  </si>
  <si>
    <t>276 Vouliagmenis Avenue Ag.Dimitrios</t>
  </si>
  <si>
    <t>Athens Metro Mall Shopping Centre;276 Vouliagmenis Avenue Ag.Dimitrios;17343;Athens</t>
  </si>
  <si>
    <t>GR0419</t>
  </si>
  <si>
    <t>River West Shopping Centre</t>
  </si>
  <si>
    <t>96-98 Kifisou Avenue Egaleo</t>
  </si>
  <si>
    <t>River West Shopping Centre;96-98 Kifisou Avenue Egaleo;12241;Athens</t>
  </si>
  <si>
    <t>GR0420</t>
  </si>
  <si>
    <t>Kosmopolis Park Shopping Centre</t>
  </si>
  <si>
    <t>Komotini</t>
  </si>
  <si>
    <t>G.Papandreou Street &amp; Ethnikis Antistaseos, Nea Mosinoupoli</t>
  </si>
  <si>
    <t>Kosmopolis Park Shopping Centre;G.Papandreou Street &amp; Ethnikis Antistaseos, Nea Mosinoupoli;69100;Komotini</t>
  </si>
  <si>
    <t>GR0422</t>
  </si>
  <si>
    <t>32 Charilaou Trikoupi Street</t>
  </si>
  <si>
    <t>Ioannina</t>
  </si>
  <si>
    <t>32 Charilaou Trikoupi Street;;45333;Ioannina</t>
  </si>
  <si>
    <t>GR0423</t>
  </si>
  <si>
    <t>The Mall Athens Shopping Centre</t>
  </si>
  <si>
    <t>35 Andrea Papandreou Street, Marousi</t>
  </si>
  <si>
    <t>The Mall Athens Shopping Centre;35 Andrea Papandreou Street, Marousi;15122;Athens</t>
  </si>
  <si>
    <t>GR0424</t>
  </si>
  <si>
    <t>Avenue Mall Shopping Centre</t>
  </si>
  <si>
    <t>41-45 Kifisias Avenue, Marousi</t>
  </si>
  <si>
    <t>Avenue Mall Shopping Centre;41-45 Kifisias Avenue, Marousi;15123;Athens</t>
  </si>
  <si>
    <t>GR0426</t>
  </si>
  <si>
    <t>54 Ermou Street</t>
  </si>
  <si>
    <t>54 Ermou Street;;10563;Athens</t>
  </si>
  <si>
    <t>GR0427</t>
  </si>
  <si>
    <t>269 Irakleiou Avenue</t>
  </si>
  <si>
    <t>N.Ionia</t>
  </si>
  <si>
    <t>269 Irakleiou Avenue;N.Ionia;14231;Athens</t>
  </si>
  <si>
    <t>GR0429</t>
  </si>
  <si>
    <t>Smart Park Shopping Centre</t>
  </si>
  <si>
    <t>E.Poulaki Street, Spata</t>
  </si>
  <si>
    <t>Smart Park Shopping Centre;E.Poulaki Street, Spata;19004;Athens</t>
  </si>
  <si>
    <t>GR0431</t>
  </si>
  <si>
    <t>147 El.Venizelou Avenue</t>
  </si>
  <si>
    <t>Kallithea</t>
  </si>
  <si>
    <t>147 El.Venizelou Avenue;Kallithea;17672;Athens</t>
  </si>
  <si>
    <t>GR0432</t>
  </si>
  <si>
    <t>18 Skoufa Street</t>
  </si>
  <si>
    <t>Kolonaki</t>
  </si>
  <si>
    <t>18 Skoufa Street;Kolonaki;10673;Athens</t>
  </si>
  <si>
    <t>GR0434</t>
  </si>
  <si>
    <t>63 Riga Feraiou Street</t>
  </si>
  <si>
    <t>Patra</t>
  </si>
  <si>
    <t>63 Riga Feraiou Street;;26221;Patra</t>
  </si>
  <si>
    <t>GR0435</t>
  </si>
  <si>
    <t>V.Georgiou A' 2 &amp; Filonos &amp; Notara Street</t>
  </si>
  <si>
    <t>Pireas</t>
  </si>
  <si>
    <t>V.Georgiou A' 2 &amp; Filonos &amp; Notara Street;Pireas;18531;Athens</t>
  </si>
  <si>
    <t>GR0436</t>
  </si>
  <si>
    <t>Flamingo Retail Shopping Centre</t>
  </si>
  <si>
    <t>Xanthi</t>
  </si>
  <si>
    <t>4th klm Xanthis-Porto Lagos</t>
  </si>
  <si>
    <t>Flamingo Retail Shopping Centre;4th klm Xanthis-Porto Lagos;67100;Xanthi</t>
  </si>
  <si>
    <t>GR0438</t>
  </si>
  <si>
    <t>41 Aggelou Metaxa Street</t>
  </si>
  <si>
    <t>Glyfada</t>
  </si>
  <si>
    <t>41 Aggelou Metaxa Street;Glyfada;16674;Athens</t>
  </si>
  <si>
    <t>GR0439</t>
  </si>
  <si>
    <t>20-22 Tsimiski &amp; 16 Komninon Street</t>
  </si>
  <si>
    <t>20-22 Tsimiski &amp; 16 Komninon Street;;54623;Thessaloniki</t>
  </si>
  <si>
    <t>GR0441</t>
  </si>
  <si>
    <t>25 Agiou Nikolaou Street</t>
  </si>
  <si>
    <t>25 Agiou Nikolaou Street;;26221;Patra</t>
  </si>
  <si>
    <t>GR0442</t>
  </si>
  <si>
    <t>13th klm Îational Road Ioanninon-Athens</t>
  </si>
  <si>
    <t>13th klm Îational Road Ioanninon-Athens;;45500;Ioannina</t>
  </si>
  <si>
    <t>GR0444</t>
  </si>
  <si>
    <t>164 Ermou &amp; Spyrou Spyridi Street</t>
  </si>
  <si>
    <t>Volos</t>
  </si>
  <si>
    <t>164 Ermou &amp; Spyrou Spyridi Street;;38221;Volos</t>
  </si>
  <si>
    <t>GR0445</t>
  </si>
  <si>
    <t>Mediterrenean Cosmos Shopping Centre</t>
  </si>
  <si>
    <t>11th klm National Road Thessaloniki-Moudanion</t>
  </si>
  <si>
    <t>Mediterrenean Cosmos Shopping Centre;11th klm National Road Thessaloniki-Moudanion;57001;Thessaloniki</t>
  </si>
  <si>
    <t>GR0446</t>
  </si>
  <si>
    <t>8 Vas.Georgiou B' Square</t>
  </si>
  <si>
    <t>Kalamata</t>
  </si>
  <si>
    <t>8 Vas.Georgiou B' Square;;24100;Kalamata</t>
  </si>
  <si>
    <t>GR0447</t>
  </si>
  <si>
    <t>3-5 Tzanakaki &amp; K.Chiotaki Street</t>
  </si>
  <si>
    <t>Chania</t>
  </si>
  <si>
    <t>3-5 Tzanakaki &amp; K.Chiotaki Street;Chania;73134;Crete</t>
  </si>
  <si>
    <t>GR0448</t>
  </si>
  <si>
    <t>64 25th Avgoustou Street</t>
  </si>
  <si>
    <t>Heraklion</t>
  </si>
  <si>
    <t>64 25th Avgoustou Street;Heraklion;71202;Crete</t>
  </si>
  <si>
    <t>GR0449</t>
  </si>
  <si>
    <t>11 Ermou &amp; Voulis Street</t>
  </si>
  <si>
    <t>11 Ermou &amp; Voulis Street;;10563;Athens</t>
  </si>
  <si>
    <t>GR0450</t>
  </si>
  <si>
    <t>5th klm Old National Road Korinthou-Patron</t>
  </si>
  <si>
    <t>Corinth</t>
  </si>
  <si>
    <t>5th klm Old National Road Korinthou-Patron;;20100;Korinthos</t>
  </si>
  <si>
    <t>GR0451</t>
  </si>
  <si>
    <t>53 Mitropoleos &amp; Vikela Street</t>
  </si>
  <si>
    <t>Veroia</t>
  </si>
  <si>
    <t>53 Mitropoleos &amp; Vikela Street;;59132;Veroia</t>
  </si>
  <si>
    <t>GR0452</t>
  </si>
  <si>
    <t>25 Kouma Street</t>
  </si>
  <si>
    <t>Larissa</t>
  </si>
  <si>
    <t>25 Kouma Street;;41222;Larisa</t>
  </si>
  <si>
    <t>GR0453</t>
  </si>
  <si>
    <t>13 Agiou Ioanni Street</t>
  </si>
  <si>
    <t>Agia Paraskevi</t>
  </si>
  <si>
    <t>13 Agiou Ioanni Street;Agia Paraskevi;15342;Athens</t>
  </si>
  <si>
    <t>GR0454</t>
  </si>
  <si>
    <t>2 Afon Papastratou Street</t>
  </si>
  <si>
    <t>Agrinio</t>
  </si>
  <si>
    <t>2 Afon Papastratou Street;;30100;Agrinio</t>
  </si>
  <si>
    <t>HK0003</t>
  </si>
  <si>
    <t>Festival Walk</t>
  </si>
  <si>
    <t>Hong Kong</t>
  </si>
  <si>
    <t>Hong Kong SAR</t>
  </si>
  <si>
    <t>HK</t>
  </si>
  <si>
    <t>Shop UG-26, L1-25, and L2-35, 80 Tat Chee Ave, Kowloon Tong</t>
  </si>
  <si>
    <t>Festival Walk;Shop UG-26, L1-25, and L2-35, 80 Tat Chee Ave, Kowloon Tong;-;Kowloon Tong, Kowloon</t>
  </si>
  <si>
    <t>HK0005</t>
  </si>
  <si>
    <t>Cityplaza</t>
  </si>
  <si>
    <t>Shop 245-301, 18 Taikoo Shing Rd, Tai Koo Shing, HK</t>
  </si>
  <si>
    <t>Cityplaza;Shop 245-301, 18 Taikoo Shing Rd, Tai Koo Shing, HK;-;Taikoo</t>
  </si>
  <si>
    <t>HK0006</t>
  </si>
  <si>
    <t>Silvercord</t>
  </si>
  <si>
    <t>10:30-23:00</t>
  </si>
  <si>
    <t>Shop G38B, C, D, and 139B, C, F, 30 Canton Road, TST, HK</t>
  </si>
  <si>
    <t>Silvercord;Shop G38B, C, D, and 139B, C, F, 30 Canton Road, TST, HK;-;Tsim Sha Tsui, Kowloon</t>
  </si>
  <si>
    <t>HK0008</t>
  </si>
  <si>
    <t>Plaza Hollywood</t>
  </si>
  <si>
    <t>Shop 125-127, 3 Lung Poon St, Diamond Hill, HK</t>
  </si>
  <si>
    <t>Plaza Hollywood;Shop 125-127, 3 Lung Poon St, Diamond Hill, HK;-;Diamond Hill, Kowloon</t>
  </si>
  <si>
    <t>HK0011</t>
  </si>
  <si>
    <t>MegaBox</t>
  </si>
  <si>
    <t>Shop 7-12, G/F, 38 Wang Chiu Rd, Kowloon Bay, HK</t>
  </si>
  <si>
    <t>MegaBox;Shop 7-12, G/F, 38 Wang Chiu Rd, Kowloon Bay, HK;-;Kowloon Bay, Kowloon</t>
  </si>
  <si>
    <t>HK0012</t>
  </si>
  <si>
    <t>New Town Plaza</t>
  </si>
  <si>
    <t>Shop 457, Phase 1, 18 Shatin Centre St, Shatin, HK</t>
  </si>
  <si>
    <t>New Town Plaza;Shop 457, Phase 1, 18 Shatin Centre St, Shatin, HK;-;Sha Tin, New Territories</t>
  </si>
  <si>
    <t>HK0013</t>
  </si>
  <si>
    <t>Metro City Plaza</t>
  </si>
  <si>
    <t>Shop 1054-69, Ph 2, 8 Yan King Rd, Tseung Kwan O, HK</t>
  </si>
  <si>
    <t>Metro City Plaza;Shop 1054-69, Ph 2, 8 Yan King Rd, Tseung Kwan O, HK;-;Tseung Kwan O, N.T.</t>
  </si>
  <si>
    <t>HK0014</t>
  </si>
  <si>
    <t>Tsuen Wan Plaza</t>
  </si>
  <si>
    <t>Shop 143-169, L1, 4-30 Tai Pa St, Tsuen Wan, HK</t>
  </si>
  <si>
    <t>Tsuen Wan Plaza;Shop 143-169, L1, 4-30 Tai Pa St, Tsuen Wan, HK;-;Tseun Wan, N.T.</t>
  </si>
  <si>
    <t>HK0015</t>
  </si>
  <si>
    <t>APM Kwun Tong</t>
  </si>
  <si>
    <t>10:30-00:00</t>
  </si>
  <si>
    <t>Shop L1-Xsite 1B, 418 Kwun Tong Rd, HK</t>
  </si>
  <si>
    <t>APM Kwun Tong;Shop L1-Xsite 1B, 418 Kwun Tong Rd, HK;Kowloon</t>
  </si>
  <si>
    <t>HK0018</t>
  </si>
  <si>
    <t>Fashion Walk Flagship Store</t>
  </si>
  <si>
    <t>10:30-23:59</t>
  </si>
  <si>
    <t>Shops G01 on G/F, F01 on 1/F, 2/F-3/F, Hang Lung Centre</t>
  </si>
  <si>
    <t>Fashion Walk Flagship Store;Shops G01 on G/F, F01 on 1/F, 2/F-3/F, Hang Lung Centre;-;2-20 Paterson Street, Causeway Bay</t>
  </si>
  <si>
    <t>HK0021</t>
  </si>
  <si>
    <t>Murray House</t>
  </si>
  <si>
    <t>Shop 1, G/F; 101, 1/F &amp; 201 on 2/F, Murray House, Stanley</t>
  </si>
  <si>
    <t>Murray House;Shop 1, G/F; 101, 1/F &amp; 201 on 2/F, Murray House, Stanley;-;No. 23 Carmel Road, Stanley</t>
  </si>
  <si>
    <t>HK0022</t>
  </si>
  <si>
    <t>Dâ‹…Park</t>
  </si>
  <si>
    <t>Shop 1005-7, L1, D-Park, 398 Castle Peak Rd, Tsuen Wan</t>
  </si>
  <si>
    <t>Dâ‹…Park;Shop 1005-7, L1, D-Park, 398 Castle Peak Rd, Tsuen Wan;-;398 Castle Peak Road, Tsuen Wan</t>
  </si>
  <si>
    <t>HR0401</t>
  </si>
  <si>
    <t>Cvjetni</t>
  </si>
  <si>
    <t>Zagreb</t>
  </si>
  <si>
    <t>Croatia</t>
  </si>
  <si>
    <t>HR</t>
  </si>
  <si>
    <t>Petra Preradovica square 4-6</t>
  </si>
  <si>
    <t>Cvjetni;Petra Preradovica square 4-6;10000;Zagreb</t>
  </si>
  <si>
    <t>HR0402</t>
  </si>
  <si>
    <t>Arena Centar</t>
  </si>
  <si>
    <t>Jaruscica bb.</t>
  </si>
  <si>
    <t>Arena Centar;Jaruscica bb.;10000;Zagreb</t>
  </si>
  <si>
    <t>HR0403</t>
  </si>
  <si>
    <t>City Center One Zagreb</t>
  </si>
  <si>
    <t>Jankomir 33</t>
  </si>
  <si>
    <t>City Center One Zagreb;Jankomir 33;10000;Zagreb</t>
  </si>
  <si>
    <t>HR0404</t>
  </si>
  <si>
    <t>City Center One Split</t>
  </si>
  <si>
    <t>Split</t>
  </si>
  <si>
    <t>Vukovarska 207</t>
  </si>
  <si>
    <t>City Center One Split;Vukovarska 207;21000;Split</t>
  </si>
  <si>
    <t>HR0406</t>
  </si>
  <si>
    <t>Supernova Zadar</t>
  </si>
  <si>
    <t>Zadar</t>
  </si>
  <si>
    <t>Akcije Maslenica 1</t>
  </si>
  <si>
    <t>Supernova Zadar;Akcije Maslenica 1;23000;Zadar</t>
  </si>
  <si>
    <t>HR0407</t>
  </si>
  <si>
    <t>Shopping City Westgate</t>
  </si>
  <si>
    <t>Zapresicka 2</t>
  </si>
  <si>
    <t>Shopping City Westgate;Zapresicka 2;10290;Zapresic</t>
  </si>
  <si>
    <t>HR0408</t>
  </si>
  <si>
    <t>Portanova</t>
  </si>
  <si>
    <t>Osijek</t>
  </si>
  <si>
    <t>Svilajska 31a</t>
  </si>
  <si>
    <t>Portanova;Svilajska 31a;31000;Osijek</t>
  </si>
  <si>
    <t>HR0409</t>
  </si>
  <si>
    <t>Shopping Center West</t>
  </si>
  <si>
    <t>Rijeka</t>
  </si>
  <si>
    <t>Zvonimirova 3</t>
  </si>
  <si>
    <t>Shopping Center West;Zvonimirova 3;51000;Rijeka</t>
  </si>
  <si>
    <t>HR0411</t>
  </si>
  <si>
    <t>City Center One Zitnjak</t>
  </si>
  <si>
    <t>Slavonska avenija 11d</t>
  </si>
  <si>
    <t>City Center One Zitnjak;Slavonska avenija 11d;10000;Zagreb</t>
  </si>
  <si>
    <t>HR0412</t>
  </si>
  <si>
    <t>City Colosseum</t>
  </si>
  <si>
    <t>Slavonski Brod</t>
  </si>
  <si>
    <t>Josipa Rimca 7</t>
  </si>
  <si>
    <t>City Colosseum;Josipa Rimca 7;35000;Slavonski Brod</t>
  </si>
  <si>
    <t>HR0413</t>
  </si>
  <si>
    <t>Dalmare</t>
  </si>
  <si>
    <t>Sibenik</t>
  </si>
  <si>
    <t>Velimira Å korpika 23</t>
  </si>
  <si>
    <t>Dalmare;Velimira Å korpika 23;22000;Sibenik</t>
  </si>
  <si>
    <t>HR0415</t>
  </si>
  <si>
    <t>TrgovaÄki centar Lumini</t>
  </si>
  <si>
    <t>Varazdin</t>
  </si>
  <si>
    <t>Ulica grada Lipika 15</t>
  </si>
  <si>
    <t>TrgovaÄki centar Lumini;Ulica grada Lipika 15;42204;Donji Kneginec</t>
  </si>
  <si>
    <t>HR0416</t>
  </si>
  <si>
    <t>Subcity</t>
  </si>
  <si>
    <t>Dubrovnik</t>
  </si>
  <si>
    <t>Å etaliÅ¡te dr. Franje TuÄ‘mana 2a, Srebreno</t>
  </si>
  <si>
    <t>Subcity;Å etaliÅ¡te dr. Franje TuÄ‘mana 2a, Srebreno;20207;Mlini</t>
  </si>
  <si>
    <t>HR0417</t>
  </si>
  <si>
    <t>Mall of Split</t>
  </si>
  <si>
    <t>ulica Josipa Jovica 63</t>
  </si>
  <si>
    <t>Mall of Split;ulica Josipa Jovica 63;21000;Split</t>
  </si>
  <si>
    <t>HR0418</t>
  </si>
  <si>
    <t>Max City</t>
  </si>
  <si>
    <t>Pula</t>
  </si>
  <si>
    <t>Ulica Stoja 14A</t>
  </si>
  <si>
    <t>Max City;Ulica Stoja 14A;52100;Pula</t>
  </si>
  <si>
    <t>HR0419</t>
  </si>
  <si>
    <t>Avenue Mall</t>
  </si>
  <si>
    <t>Avenija Dubrovnik 16</t>
  </si>
  <si>
    <t>Avenue Mall;Avenija Dubrovnik 16;10020;Dubrovnik</t>
  </si>
  <si>
    <t>HU0303</t>
  </si>
  <si>
    <t>Budapest ÃrkÃ¡d</t>
  </si>
  <si>
    <t>Budapest</t>
  </si>
  <si>
    <t>Hungary</t>
  </si>
  <si>
    <t>HU</t>
  </si>
  <si>
    <t>Ã–rs VezÃ©r tere 25/a</t>
  </si>
  <si>
    <t>Budapest ÃrkÃ¡d;Ã–rs VezÃ©r tere 25/a;1106;Budapest</t>
  </si>
  <si>
    <t>HU0304</t>
  </si>
  <si>
    <t>GyÅ‘r ÃrkÃ¡d</t>
  </si>
  <si>
    <t>Gyor</t>
  </si>
  <si>
    <t>1 Budai St.</t>
  </si>
  <si>
    <t>GyÅ‘r ÃrkÃ¡d;1 Budai St.;9027;GyÅ‘r</t>
  </si>
  <si>
    <t>HU0305</t>
  </si>
  <si>
    <t>Campona</t>
  </si>
  <si>
    <t>37-43 NagytÃ©tÃ©nyi St.</t>
  </si>
  <si>
    <t>Campona;37-43 NagytÃ©tÃ©nyi St.;1220;Budapest</t>
  </si>
  <si>
    <t>HU0306</t>
  </si>
  <si>
    <t>ArÃ©na PlÃ¡za</t>
  </si>
  <si>
    <t>9 Kerepesi St.</t>
  </si>
  <si>
    <t>ArÃ©na PlÃ¡za;9 Kerepesi St.;1087;Budapest</t>
  </si>
  <si>
    <t>HU0307</t>
  </si>
  <si>
    <t>Debrecen Stop Shop</t>
  </si>
  <si>
    <t>Debrecen</t>
  </si>
  <si>
    <t>34/b KishatÃ¡r St.</t>
  </si>
  <si>
    <t>Debrecen Stop Shop;34/b KishatÃ¡r St.;4031;Debrecen</t>
  </si>
  <si>
    <t>HU0308</t>
  </si>
  <si>
    <t>Debrecen FÃ³rum</t>
  </si>
  <si>
    <t>30 Csapo St., Rakoczi</t>
  </si>
  <si>
    <t>Debrecen FÃ³rum;30 Csapo St., Rakoczi;4026;Debrecen</t>
  </si>
  <si>
    <t>HU0309</t>
  </si>
  <si>
    <t>Allee Shopping Center</t>
  </si>
  <si>
    <t>8-10 OktÃ³ber 23 St.</t>
  </si>
  <si>
    <t>Allee Shopping Center;8-10 OktÃ³ber 23 St.;1117;Budapest</t>
  </si>
  <si>
    <t>HU0310</t>
  </si>
  <si>
    <t>PÃ©cs ÃrkÃ¡d</t>
  </si>
  <si>
    <t>PÃ©cs</t>
  </si>
  <si>
    <t>11/1 Bajcsy-Zs. St.</t>
  </si>
  <si>
    <t>PÃ©cs ÃrkÃ¡d;11/1 Bajcsy-Zs. St.;7622;PÃ©cs</t>
  </si>
  <si>
    <t>HU0311</t>
  </si>
  <si>
    <t>Corvin</t>
  </si>
  <si>
    <t>47-53 FutÃ³ St.</t>
  </si>
  <si>
    <t>Corvin;47-53 FutÃ³ St.;1082;Budapest</t>
  </si>
  <si>
    <t>HU0312</t>
  </si>
  <si>
    <t>Westend City Center</t>
  </si>
  <si>
    <t>1-3 VÃ¡ci St.</t>
  </si>
  <si>
    <t>Westend City Center;1-3 VÃ¡ci St.;1062;Budapest</t>
  </si>
  <si>
    <t>HU0313</t>
  </si>
  <si>
    <t>Duna PlÃ¡za</t>
  </si>
  <si>
    <t>178 VÃ¡ci St.</t>
  </si>
  <si>
    <t>Duna PlÃ¡za;178 VÃ¡ci St.;1138;Budapest</t>
  </si>
  <si>
    <t>HU0314</t>
  </si>
  <si>
    <t>Miskolc PlÃ¡za</t>
  </si>
  <si>
    <t>Miskolc</t>
  </si>
  <si>
    <t>2-6 SzentpÃ¡li St.</t>
  </si>
  <si>
    <t>Miskolc PlÃ¡za;2-6 SzentpÃ¡li St.;3525;Miskolc</t>
  </si>
  <si>
    <t>HU0315</t>
  </si>
  <si>
    <t>Szeged PlÃ¡za</t>
  </si>
  <si>
    <t>Szeged</t>
  </si>
  <si>
    <t>119 Kossuth Lajos Ave.</t>
  </si>
  <si>
    <t>Szeged PlÃ¡za;119 Kossuth Lajos Ave.;6724;Szeged</t>
  </si>
  <si>
    <t>HU0316</t>
  </si>
  <si>
    <t>KÃ¶ki TerminÃ¡l</t>
  </si>
  <si>
    <t>75/a-c Vak BottyÃ¡n St.</t>
  </si>
  <si>
    <t>KÃ¶ki TerminÃ¡l;75/a-c Vak BottyÃ¡n St.;1191;Budapest</t>
  </si>
  <si>
    <t>HU0320</t>
  </si>
  <si>
    <t>VÃ©rtes Center</t>
  </si>
  <si>
    <t>TatabÃ¡nya</t>
  </si>
  <si>
    <t>7-9 GyÅ‘ri St.</t>
  </si>
  <si>
    <t>VÃ©rtes Center;7-9 GyÅ‘ri St.;2800;Tatabanya</t>
  </si>
  <si>
    <t>HU0321</t>
  </si>
  <si>
    <t>Szeged ÃrkÃ¡d</t>
  </si>
  <si>
    <t>3 Londoni Boulevard</t>
  </si>
  <si>
    <t>Szeged ÃrkÃ¡d;3 Londoni Boulevard;6724;Szeged</t>
  </si>
  <si>
    <t>HU0322</t>
  </si>
  <si>
    <t>PÃ³lus Center</t>
  </si>
  <si>
    <t>131 SzentmihÃ¡lyi St.</t>
  </si>
  <si>
    <t>PÃ³lus Center;131 SzentmihÃ¡lyi St.;1152;Budapest</t>
  </si>
  <si>
    <t>HU0323</t>
  </si>
  <si>
    <t>Malom Center</t>
  </si>
  <si>
    <t>KecskemÃ©t</t>
  </si>
  <si>
    <t>2 Korona St.</t>
  </si>
  <si>
    <t>Malom Center;2 Korona St.;6000;KecskemÃ©t</t>
  </si>
  <si>
    <t>HU0325</t>
  </si>
  <si>
    <t>NyÃ­r PlÃ¡za</t>
  </si>
  <si>
    <t>NyÃ­regyhÃ¡za</t>
  </si>
  <si>
    <t>75 SzegfÅ± St.</t>
  </si>
  <si>
    <t>NyÃ­r PlÃ¡za;75 SzegfÅ± St.;4400;NyÃ­regyhÃ¡za</t>
  </si>
  <si>
    <t>HU0326</t>
  </si>
  <si>
    <t>MOM Park</t>
  </si>
  <si>
    <t>53 AlkotÃ¡s St.</t>
  </si>
  <si>
    <t>MOM Park;53 AlkotÃ¡s St.;1123;Budapest</t>
  </si>
  <si>
    <t>HU0328</t>
  </si>
  <si>
    <t>Market Central Ferihegy</t>
  </si>
  <si>
    <t>246-248 FÅ‘ St.</t>
  </si>
  <si>
    <t>Market Central Ferihegy;246-248 FÅ‘ St.;2200;VecsÃ©s</t>
  </si>
  <si>
    <t>HU0329</t>
  </si>
  <si>
    <t>Sopron PlÃ¡za</t>
  </si>
  <si>
    <t>Sopron</t>
  </si>
  <si>
    <t>35 Lackner KristÃ³f St.</t>
  </si>
  <si>
    <t>Sopron PlÃ¡za;35 Lackner KristÃ³f St.;9400;Sopron</t>
  </si>
  <si>
    <t>HU0330</t>
  </si>
  <si>
    <t>Balaton PlÃ¡za</t>
  </si>
  <si>
    <t>VeszprÃ©m</t>
  </si>
  <si>
    <t>20-28 Budapest St.</t>
  </si>
  <si>
    <t>Balaton PlÃ¡za;20-28 Budapest St.;8200;Veszprem</t>
  </si>
  <si>
    <t>HU0331</t>
  </si>
  <si>
    <t>SiÃ³ PlÃ¡za</t>
  </si>
  <si>
    <t>SiÃ³fok</t>
  </si>
  <si>
    <t>4 SzabadsÃ¡g Square</t>
  </si>
  <si>
    <t>SiÃ³ PlÃ¡za;4 SzabadsÃ¡g Square;8600;Siofok</t>
  </si>
  <si>
    <t>HU0332</t>
  </si>
  <si>
    <t>Ã“buda Stop Shop</t>
  </si>
  <si>
    <t>136 BÃ©csi St.</t>
  </si>
  <si>
    <t>Ã“buda Stop Shop;136 BÃ©csi St.;1036;Budapest</t>
  </si>
  <si>
    <t>HU0333</t>
  </si>
  <si>
    <t>Ã‰rd Stop Shop</t>
  </si>
  <si>
    <t>Ã‰rd</t>
  </si>
  <si>
    <t>13 Budai St.</t>
  </si>
  <si>
    <t>Ã‰rd Stop Shop;13 Budai St.;2030;Erd</t>
  </si>
  <si>
    <t>HU0334</t>
  </si>
  <si>
    <t>GÃ¶dÃ¶llÅ‘ Stop Shop</t>
  </si>
  <si>
    <t>GÃ¶dÃ¶llo</t>
  </si>
  <si>
    <t>2 Bossanyi Krisztina St.</t>
  </si>
  <si>
    <t>GÃ¶dÃ¶llÅ‘ Stop Shop;2 Bossanyi Krisztina St.;2100;GÃ¶dÃ¶llÅ‘</t>
  </si>
  <si>
    <t>HU0336</t>
  </si>
  <si>
    <t>Auchan Dunakeszi</t>
  </si>
  <si>
    <t>6 NÃ¡das St.</t>
  </si>
  <si>
    <t>Auchan Dunakeszi;6 NÃ¡das St.;2120;Dunakeszi</t>
  </si>
  <si>
    <t>HU0337</t>
  </si>
  <si>
    <t>Alba PlÃ¡za</t>
  </si>
  <si>
    <t>SzÃ©kesfehÃ©rvÃ¡r</t>
  </si>
  <si>
    <t>1 Palotai St.</t>
  </si>
  <si>
    <t>Alba PlÃ¡za;1 Palotai St.;8000;SzÃ©kesfehÃ©rvar</t>
  </si>
  <si>
    <t>HU0338</t>
  </si>
  <si>
    <t>Kapos PlÃ¡za</t>
  </si>
  <si>
    <t>KaposvÃ¡r</t>
  </si>
  <si>
    <t>1-3 Berzsenyi D. St.</t>
  </si>
  <si>
    <t>Kapos PlÃ¡za;1-3 Berzsenyi D. St.;7400;KaposvÃ¡r</t>
  </si>
  <si>
    <t>HU0339</t>
  </si>
  <si>
    <t>Westend City Center 2</t>
  </si>
  <si>
    <t>Westend City Center 2;1-3 VÃ¡ci St.;1062;Budapest</t>
  </si>
  <si>
    <t>HU0340</t>
  </si>
  <si>
    <t>Nagykanizsa Stop Shop</t>
  </si>
  <si>
    <t>Nagykanizsa</t>
  </si>
  <si>
    <t>123 DÃ³zsa GyÃ¶rgy St.</t>
  </si>
  <si>
    <t>Nagykanizsa Stop Shop;123 DÃ³zsa GyÃ¶rgy St.;8800;Nagykanizsa</t>
  </si>
  <si>
    <t>HU0341</t>
  </si>
  <si>
    <t>BudaÃ¶rs Tesco</t>
  </si>
  <si>
    <t>BudaÃ¶rs</t>
  </si>
  <si>
    <t>1-3 Kinizsi St.</t>
  </si>
  <si>
    <t>BudaÃ¶rs Tesco;1-3 Kinizsi St.;2040;BudaÃ¶rs</t>
  </si>
  <si>
    <t>HU0342</t>
  </si>
  <si>
    <t>Mammut</t>
  </si>
  <si>
    <t>2-6 LÃ¶vÅ‘hÃ¡z St.</t>
  </si>
  <si>
    <t>Mammut;2-6 LÃ¶vÅ‘hÃ¡z St.;1024;Budapest</t>
  </si>
  <si>
    <t>HU0343</t>
  </si>
  <si>
    <t>Auchan Szolnok</t>
  </si>
  <si>
    <t>Szolnok</t>
  </si>
  <si>
    <t>1 FelsÅ‘ Szandai rÃ©t</t>
  </si>
  <si>
    <t>Auchan Szolnok;1 FelsÅ‘ Szandai rÃ©t;5000;Szolnok</t>
  </si>
  <si>
    <t>HU0344</t>
  </si>
  <si>
    <t>Savaria PlÃ¡za</t>
  </si>
  <si>
    <t>Szombathely</t>
  </si>
  <si>
    <t>52-54 KÃ¶rmendi St.</t>
  </si>
  <si>
    <t>Savaria PlÃ¡za;52-54 KÃ¶rmendi St.;9700;Szombathely</t>
  </si>
  <si>
    <t>HU0345</t>
  </si>
  <si>
    <t>Zone BevÃ¡sÃ¡rlÃ³park</t>
  </si>
  <si>
    <t>Zalaegerszeg</t>
  </si>
  <si>
    <t>5-7 Balatoni St.</t>
  </si>
  <si>
    <t>Zone BevÃ¡sÃ¡rlÃ³park;5-7 Balatoni St.;8900;Zalaegerszeg</t>
  </si>
  <si>
    <t>HU0346</t>
  </si>
  <si>
    <t>H&amp;M Vaci</t>
  </si>
  <si>
    <t>1 VÃ¡ci St.</t>
  </si>
  <si>
    <t>H&amp;M Vaci;1 VÃ¡ci St.;1052;Budapest</t>
  </si>
  <si>
    <t>HU0347</t>
  </si>
  <si>
    <t>Sziget Center</t>
  </si>
  <si>
    <t>1-3 Hermina St.</t>
  </si>
  <si>
    <t>Sziget Center;1-3 Hermina St.;2316;TÃ¶kÃ¶l</t>
  </si>
  <si>
    <t>HU0348</t>
  </si>
  <si>
    <t>Csepel PlÃ¡za</t>
  </si>
  <si>
    <t>154-170 II. RÃ¡kÃ³czi Ferenc St.</t>
  </si>
  <si>
    <t>Csepel PlÃ¡za;154-170 II. RÃ¡kÃ³czi Ferenc St.;1211;Budapest</t>
  </si>
  <si>
    <t>HU0349</t>
  </si>
  <si>
    <t>Tesco Miskolc</t>
  </si>
  <si>
    <t>103 SzentpÃ©teri kapu</t>
  </si>
  <si>
    <t>Tesco Miskolc;103 SzentpÃ©teri kapu;3527;Miskolc</t>
  </si>
  <si>
    <t>HU0350</t>
  </si>
  <si>
    <t>Tesco Eger</t>
  </si>
  <si>
    <t>Eger</t>
  </si>
  <si>
    <t>100 RÃ¡kÃ³czi St.</t>
  </si>
  <si>
    <t>Tesco Eger;100 RÃ¡kÃ³czi St.;3300;Eger</t>
  </si>
  <si>
    <t>HU0351</t>
  </si>
  <si>
    <t>Tesco HÃ³dmezÅ‘vÃ¡sÃ¡rhely</t>
  </si>
  <si>
    <t>HÃ³dmezovÃ¡sÃ¡rhely</t>
  </si>
  <si>
    <t>17-19 HÃ³dtÃ³ St.</t>
  </si>
  <si>
    <t>Tesco HÃ³dmezÅ‘vÃ¡sÃ¡rhely;17-19 HÃ³dtÃ³ St.;6800;HÃ³dmezÅ‘vÃ¡sÃ¡rhely</t>
  </si>
  <si>
    <t>HU0352</t>
  </si>
  <si>
    <t>Tesco KecskemÃ©t</t>
  </si>
  <si>
    <t>1 Talajfa</t>
  </si>
  <si>
    <t>Tesco KecskemÃ©t;1 Talajfa;6000;KecskemÃ©t</t>
  </si>
  <si>
    <t>HU0353</t>
  </si>
  <si>
    <t>Etele Plaza</t>
  </si>
  <si>
    <t>Etele tÃ©r 12.</t>
  </si>
  <si>
    <t>Etele tÃ©r 12.;;H-1115</t>
  </si>
  <si>
    <t>ID0001</t>
  </si>
  <si>
    <t>Grand Indonesia Shopping Town</t>
  </si>
  <si>
    <t>Jakarta</t>
  </si>
  <si>
    <t>Indonesia</t>
  </si>
  <si>
    <t>ID</t>
  </si>
  <si>
    <t>East Mall, GF &amp; UG FLOOR , JI M.H. Thamrin No.1,Jakarta</t>
  </si>
  <si>
    <t>Grand Indonesia Shopping Town;East Mall, GF &amp; UG FLOOR , JI M.H. Thamrin No.1,Jakarta;10310</t>
  </si>
  <si>
    <t>ID0002</t>
  </si>
  <si>
    <t>Pondok Indah Mall 1</t>
  </si>
  <si>
    <t>Ground Floor. Jl. Metro Pondok Indah, Jakarta Selatan</t>
  </si>
  <si>
    <t>Pondok Indah Mall 1;Ground Floor. Jl. Metro Pondok Indah, Jakarta Selatan;12310;Jakarta 12310</t>
  </si>
  <si>
    <t>ID0003</t>
  </si>
  <si>
    <t>Lotte Shopping Avenue, Ciputra World 1</t>
  </si>
  <si>
    <t>Ground Floor. Jl Prof. Dr Satrio, Jakarta Selatan.</t>
  </si>
  <si>
    <t>Lotte Shopping Avenue, Ciputra World 1;Ground Floor. Jl Prof. Dr Satrio, Jakarta Selatan.;12940;Jakarta 12940</t>
  </si>
  <si>
    <t>ID0004</t>
  </si>
  <si>
    <t>Gandaria City Mall</t>
  </si>
  <si>
    <t>GF &amp; UG Floor. Jl. Sultan Iskandar Muda, Jakarta Selatan.</t>
  </si>
  <si>
    <t>Gandaria City Mall;GF &amp; UG Floor. Jl. Sultan Iskandar Muda, Jakarta Selatan.;12240;12240 Indonesia</t>
  </si>
  <si>
    <t>ID0005</t>
  </si>
  <si>
    <t>Kota Casablanka,Unit# G51-56, JL Casablanka Raya</t>
  </si>
  <si>
    <t>Kav. 88, Jakarta Selatan</t>
  </si>
  <si>
    <t>Kota Casablanka,Unit# G51-56, JL Casablanka Raya;Kav. 88, Jakarta Selatan;12870;Jakarta Selatan</t>
  </si>
  <si>
    <t>ID0006</t>
  </si>
  <si>
    <t>Paris Van Java</t>
  </si>
  <si>
    <t>Bandung</t>
  </si>
  <si>
    <t>Resort Level. Jln. Sukajadi, Bandung, Jawa Barat.</t>
  </si>
  <si>
    <t>Paris Van Java;Resort Level. Jln. Sukajadi, Bandung, Jawa Barat.;40162;Bandung 40162</t>
  </si>
  <si>
    <t>ID0007</t>
  </si>
  <si>
    <t>Sun Plaza</t>
  </si>
  <si>
    <t>Medan</t>
  </si>
  <si>
    <t>Ground Floor. Jl. H. Zainul Arifin Medan, Sumatera Utara.</t>
  </si>
  <si>
    <t>Sun Plaza;Ground Floor. Jl. H. Zainul Arifin Medan, Sumatera Utara.;20152;20152</t>
  </si>
  <si>
    <t>ID0008</t>
  </si>
  <si>
    <t>Centre Point Mall</t>
  </si>
  <si>
    <t>Ground Floor.  Jl. Jawa No. 8. Medan, Sumatera Utara.</t>
  </si>
  <si>
    <t>Centre Point Mall;Ground Floor.  Jl. Jawa No. 8. Medan, Sumatera Utara.;20231;Medan 20231</t>
  </si>
  <si>
    <t>ID0009</t>
  </si>
  <si>
    <t>Emporium Pluit</t>
  </si>
  <si>
    <t>Ground Floor. Jl. Pluit Selatan Raya, Jakarta Utara.</t>
  </si>
  <si>
    <t>Emporium Pluit;Ground Floor. Jl. Pluit Selatan Raya, Jakarta Utara.;14440;14440</t>
  </si>
  <si>
    <t>ID0010</t>
  </si>
  <si>
    <t>Lippo Mall Puri Mall, UG-51, Lantai Upper Ground,</t>
  </si>
  <si>
    <t>JI Puri Indah Boulevard Blok U, Puri Indah,</t>
  </si>
  <si>
    <t>Lippo Mall Puri Mall, UG-51, Lantai Upper Ground,;JI Puri Indah Boulevard Blok U, Puri Indah,;16110;Jakarta</t>
  </si>
  <si>
    <t>ID0011</t>
  </si>
  <si>
    <t>Mal Bali Galeria</t>
  </si>
  <si>
    <t>Bali</t>
  </si>
  <si>
    <t>Ground Floor. Jl By Pass I Gusti Ngurah Rai, Kuta, Bali.</t>
  </si>
  <si>
    <t>Mal Bali Galeria;Ground Floor. Jl By Pass I Gusti Ngurah Rai, Kuta, Bali.;80361;80361</t>
  </si>
  <si>
    <t>ID0012</t>
  </si>
  <si>
    <t>Aeon Mall BSD City, Ground Floor, JI.</t>
  </si>
  <si>
    <t>BSD Raya Utama,Tangerang Banten</t>
  </si>
  <si>
    <t>Aeon Mall BSD City, Ground Floor, JI.;BSD Raya Utama,Tangerang Banten;15345;Tangerang Banten</t>
  </si>
  <si>
    <t>ID0013</t>
  </si>
  <si>
    <t>PIK Avenue</t>
  </si>
  <si>
    <t>Ground Floor. Jl. Pantai Indah Kapuk Boulevard, Jkt Utara</t>
  </si>
  <si>
    <t>PIK Avenue;Ground Floor. Jl. Pantai Indah Kapuk Boulevard, Jkt Utara;14470;14470</t>
  </si>
  <si>
    <t>ID0014</t>
  </si>
  <si>
    <t>Central Park</t>
  </si>
  <si>
    <t>Upper Ground Floor. Jl. Letjen S Parman, Jakarta Barat.</t>
  </si>
  <si>
    <t>Central Park;Upper Ground Floor. Jl. Letjen S Parman, Jakarta Barat.;11470;11470</t>
  </si>
  <si>
    <t>ID0015</t>
  </si>
  <si>
    <t>Beachwalk Shopping Center</t>
  </si>
  <si>
    <t>Ground Floor. Jl. Pantai Kuta, Bali.</t>
  </si>
  <si>
    <t>Beachwalk Shopping Center;Ground Floor. Jl. Pantai Kuta, Bali.;80361;80361 Bali</t>
  </si>
  <si>
    <t>ID0016</t>
  </si>
  <si>
    <t>Hartono Mall,</t>
  </si>
  <si>
    <t>Yogjakarta</t>
  </si>
  <si>
    <t>Ground Floor. North Ringroad Street, Sleman. Yogyakarta</t>
  </si>
  <si>
    <t>Hartono Mall,;Ground Floor. North Ringroad Street, Sleman. Yogyakarta;55283;55283</t>
  </si>
  <si>
    <t>ID0017</t>
  </si>
  <si>
    <t>Penta City</t>
  </si>
  <si>
    <t>Balikpapan</t>
  </si>
  <si>
    <t>Ground Floor. Jl. Jenderal Sudirman, Balikpapan, Kalimantan.</t>
  </si>
  <si>
    <t>Penta City;Ground Floor. Jl. Jenderal Sudirman, Balikpapan, Kalimantan.;76114;76114</t>
  </si>
  <si>
    <t>ID0018</t>
  </si>
  <si>
    <t>Supermal Karawaci</t>
  </si>
  <si>
    <t>Tangerang</t>
  </si>
  <si>
    <t>Ground Floor. Jl Boulevard Diponegoro, Tangerang, Banten.</t>
  </si>
  <si>
    <t>Supermal Karawaci;Ground Floor. Jl Boulevard Diponegoro, Tangerang, Banten.;15611;1200</t>
  </si>
  <si>
    <t>ID0020</t>
  </si>
  <si>
    <t>Supermall Pakuwon Indah, Unit No. LG. 57/G 48</t>
  </si>
  <si>
    <t>Surabaya</t>
  </si>
  <si>
    <t>JI. Puncak Indah Lontar No. 2, Surabaya</t>
  </si>
  <si>
    <t>Supermall Pakuwon Indah, Unit No. LG. 57/G 48;JI. Puncak Indah Lontar No. 2, Surabaya;60123;60123</t>
  </si>
  <si>
    <t>ID0021</t>
  </si>
  <si>
    <t>Lippo Mall Puri</t>
  </si>
  <si>
    <t>Kids Store LG Floor. Jl. Puri Indah Raya, Jakarta Barat.</t>
  </si>
  <si>
    <t>Lippo Mall Puri;Kids Store LG Floor. Jl. Puri Indah Raya, Jakarta Barat.;16110;16110</t>
  </si>
  <si>
    <t>ID0022</t>
  </si>
  <si>
    <t>Pesona Square , Jalan Ir. Juanda,</t>
  </si>
  <si>
    <t>Bogor</t>
  </si>
  <si>
    <t>Depok, Bogor</t>
  </si>
  <si>
    <t>Pesona Square , Jalan Ir. Juanda,;Depok, Bogor;16418;16418</t>
  </si>
  <si>
    <t>ID0023</t>
  </si>
  <si>
    <t>23 Paskal Shopping Mall</t>
  </si>
  <si>
    <t>JI. Pasir Kaliki No.25-27, Jawa Barat</t>
  </si>
  <si>
    <t>23 Paskal Shopping Mall;JI. Pasir Kaliki No.25-27, Jawa Barat;40161;40161</t>
  </si>
  <si>
    <t>ID0024</t>
  </si>
  <si>
    <t>Tunjungan Plaza, JI. Basuki Rahmat No. 8-12, Kedungdoro</t>
  </si>
  <si>
    <t>Tegalsari, Kota SBY, Jawa Timur</t>
  </si>
  <si>
    <t>Tunjungan Plaza, JI. Basuki Rahmat No. 8-12, Kedungdoro;Tegalsari, Kota SBY, Jawa Timur;60261;60261</t>
  </si>
  <si>
    <t>ID0025</t>
  </si>
  <si>
    <t>Galaxy Mall 3</t>
  </si>
  <si>
    <t>Jalan Dharmahusada, Indah Timur 60115 Surabaya, Indonesia</t>
  </si>
  <si>
    <t>Galaxy Mall 3;Jalan Dharmahusada, Indah Timur 60115 Surabaya, Indonesia;60115;60115</t>
  </si>
  <si>
    <t>ID0026</t>
  </si>
  <si>
    <t>SKA Mall</t>
  </si>
  <si>
    <t>Pekanbaru</t>
  </si>
  <si>
    <t>Delima, Tampan, Kota Pekanbaru, Riau</t>
  </si>
  <si>
    <t>SKA Mall;Delima, Tampan, Kota Pekanbaru, Riau;28292;28292</t>
  </si>
  <si>
    <t>ID0027</t>
  </si>
  <si>
    <t>Galaxy Mall 2</t>
  </si>
  <si>
    <t>Jalan Dharmahusada, Indah Timur</t>
  </si>
  <si>
    <t>Galaxy Mall 2;Jalan Dharmahusada, Indah Timur;60115;60115</t>
  </si>
  <si>
    <t>ID0028</t>
  </si>
  <si>
    <t>Mall of Indoesia</t>
  </si>
  <si>
    <t>JI. Yos Sudarso, Klp. Gading,Kota Jkt Utara</t>
  </si>
  <si>
    <t>Mall of Indoesia;JI. Yos Sudarso, Klp. Gading,Kota Jkt Utara;14240;14240</t>
  </si>
  <si>
    <t>ID0029</t>
  </si>
  <si>
    <t>The Park Mall</t>
  </si>
  <si>
    <t>Solo</t>
  </si>
  <si>
    <t>JI. Ir. Soekarno,Solo Baru, Jawa Tengah</t>
  </si>
  <si>
    <t>The Park Mall;JI. Ir. Soekarno,Solo Baru, Jawa Tengah;57552;57552</t>
  </si>
  <si>
    <t>ID0030</t>
  </si>
  <si>
    <t>Pacific Place</t>
  </si>
  <si>
    <t>JI. Jend. Sudirman No. 62 Jakarta Selatan</t>
  </si>
  <si>
    <t>Pacific Place;JI. Jend. Sudirman No. 62 Jakarta Selatan;12190x;12190</t>
  </si>
  <si>
    <t>ID0031</t>
  </si>
  <si>
    <t>JI. M.H. Thamrin No.28-30, RT.9/RW.5</t>
  </si>
  <si>
    <t>Gondangdia, Menteng Kota Jakarta</t>
  </si>
  <si>
    <t>JI. M.H. Thamrin No.28-30, RT.9/RW.5;Gondangdia, Menteng Kota Jakarta;10350;10350</t>
  </si>
  <si>
    <t>ID0032</t>
  </si>
  <si>
    <t>Grand Galaxy Park Mall</t>
  </si>
  <si>
    <t>Bekasi</t>
  </si>
  <si>
    <t>Jalan Grand Galaxy Boulevard, Bekasi.</t>
  </si>
  <si>
    <t>Grand Galaxy Park Mall;Jalan Grand Galaxy Boulevard, Bekasi.;17147;17147</t>
  </si>
  <si>
    <t>ID0033</t>
  </si>
  <si>
    <t>Aeon Mall Sentul City</t>
  </si>
  <si>
    <t>West Java</t>
  </si>
  <si>
    <t>Citaringgul, Babakan,Madang, Bogor West Java</t>
  </si>
  <si>
    <t>Aeon Mall Sentul City;Citaringgul, Babakan,Madang, Bogor West Java;16810;16810</t>
  </si>
  <si>
    <t>ID0034</t>
  </si>
  <si>
    <t>Trans Mall Cibubur</t>
  </si>
  <si>
    <t>Depok</t>
  </si>
  <si>
    <t>JI alternatif Cibubur, Pd. Pinang, Kby Lama, DKI Jakarta</t>
  </si>
  <si>
    <t>Trans Mall Cibubur;JI alternatif Cibubur, Pd. Pinang, Kby Lama, DKI Jakarta;12310;12310</t>
  </si>
  <si>
    <t>ID0035</t>
  </si>
  <si>
    <t>CSB Mall Cirebon</t>
  </si>
  <si>
    <t>Jalan Dr. Cipto Mangunkusumo no. 26, Cirebon</t>
  </si>
  <si>
    <t>CSB Mall Cirebon;Jalan Dr. Cipto Mangunkusumo no. 26, Cirebon;45131;45131</t>
  </si>
  <si>
    <t>ID0036</t>
  </si>
  <si>
    <t>The Park Sawangan</t>
  </si>
  <si>
    <t>JI Raya Parung Ciputat Kelurahan, Kota Depok, Jawa Barat</t>
  </si>
  <si>
    <t>The Park Sawangan;JI Raya Parung Ciputat Kelurahan, Kota Depok, Jawa Barat;16517;16517</t>
  </si>
  <si>
    <t>ID0037</t>
  </si>
  <si>
    <t>The Seminyak Village</t>
  </si>
  <si>
    <t>JI. Beraban,88x, Br Taman Seminyak, Kerobokan, Kuta Bali</t>
  </si>
  <si>
    <t>The Seminyak Village;JI. Beraban,88x, Br Taman Seminyak, Kerobokan, Kuta Bali;80361;80361</t>
  </si>
  <si>
    <t>ID0038</t>
  </si>
  <si>
    <t>Senayan City</t>
  </si>
  <si>
    <t>Lot 19, Gelora, Tanah Abang,Kota Jakarta Pusat</t>
  </si>
  <si>
    <t>Senayan City;Lot 19, Gelora, Tanah Abang,Kota Jakarta Pusat;10270;10270</t>
  </si>
  <si>
    <t>ID0039</t>
  </si>
  <si>
    <t>Mall Vivo Sentul Cimada,</t>
  </si>
  <si>
    <t>Bogor, West Java</t>
  </si>
  <si>
    <t>Sukaraja, Bogor, West Java</t>
  </si>
  <si>
    <t>Mall Vivo Sentul Cimada,;Sukaraja, Bogor, West Java;16710</t>
  </si>
  <si>
    <t>ID0041</t>
  </si>
  <si>
    <t>Palembang Indah Mall JI. Letkol Iskandar</t>
  </si>
  <si>
    <t>Palembang</t>
  </si>
  <si>
    <t>No 18,24 Ilir Bukit Kecil, Kota Palembang, Sumatera Selatan</t>
  </si>
  <si>
    <t>Palembang Indah Mall JI. Letkol Iskandar;No 18,24 Ilir Bukit Kecil, Kota Palembang, Sumatera Selatan;30134</t>
  </si>
  <si>
    <t>ID0043</t>
  </si>
  <si>
    <t>Trans Studio Mall Bandung JI #289 Cibangkong, Batununggal</t>
  </si>
  <si>
    <t>Kota Bandung, Jawa Barat</t>
  </si>
  <si>
    <t>Trans Studio Mall Bandung JI #289 Cibangkong, Batununggal;Kota Bandung, Jawa Barat;40273</t>
  </si>
  <si>
    <t>ID0044</t>
  </si>
  <si>
    <t>Grand Mall, Tawangmas, West Semarang, semarang City</t>
  </si>
  <si>
    <t>Semarang City</t>
  </si>
  <si>
    <t>Cantral Java</t>
  </si>
  <si>
    <t>Grand Mall, Tawangmas, West Semarang, semarang City;Cantral Java;50144</t>
  </si>
  <si>
    <t>ID0046</t>
  </si>
  <si>
    <t>Trans Studio Mall, JI. Imam Bonjol,</t>
  </si>
  <si>
    <t>No 440, Pemecutan Klod, Denpasar Bar, Kota Denpasar, Bali</t>
  </si>
  <si>
    <t>Trans Studio Mall, JI. Imam Bonjol,;No 440, Pemecutan Klod, Denpasar Bar, Kota Denpasar, Bali;80119</t>
  </si>
  <si>
    <t>ID0047</t>
  </si>
  <si>
    <t>Grand Batam Mall, JI Pembangunan, Kawasan Mall Batam Penuin,</t>
  </si>
  <si>
    <t>Batam</t>
  </si>
  <si>
    <t>Batu Selicin, Lubuk Baja, Kepeluauan Riau</t>
  </si>
  <si>
    <t>Grand Batam Mall, JI Pembangunan, Kawasan Mall Batam Penuin,;Batu Selicin, Lubuk Baja, Kepeluauan Riau;29444</t>
  </si>
  <si>
    <t>ID0048</t>
  </si>
  <si>
    <t>Cinere Bellevue Mall, JI. Merawan No 23, Pangkalan Jati,</t>
  </si>
  <si>
    <t>Cinere, Kota Depok, Jawa Barat</t>
  </si>
  <si>
    <t>Cinere Bellevue Mall, JI. Merawan No 23, Pangkalan Jati,;Cinere, Kota Depok, Jawa Barat;16514</t>
  </si>
  <si>
    <t>ID0049</t>
  </si>
  <si>
    <t>JI Poros Makassar-Maros No 23 Panaikang, Panakkukang</t>
  </si>
  <si>
    <t>Makassar</t>
  </si>
  <si>
    <t>Kota Makassar, Sulawesi Selatan</t>
  </si>
  <si>
    <t>JI Poros Makassar-Maros No 23 Panaikang, Panakkukang;Kota Makassar, Sulawesi Selatan;90231</t>
  </si>
  <si>
    <t>ID0050</t>
  </si>
  <si>
    <t>Mal Kelapa Gading. JL. boulevard Raya Kelapa Gading,</t>
  </si>
  <si>
    <t>North Jakarta City, Jakarta</t>
  </si>
  <si>
    <t>Mal Kelapa Gading. JL. boulevard Raya Kelapa Gading,;North Jakarta City, Jakarta;14240</t>
  </si>
  <si>
    <t>ID0051</t>
  </si>
  <si>
    <t>JI DR. Ratulang No 35. Mamajang Luar, Mamajang,</t>
  </si>
  <si>
    <t>JI DR. Ratulang No 35. Mamajang Luar, Mamajang,;Kota Makassar, Sulawesi Selatan;90114</t>
  </si>
  <si>
    <t>ID0052</t>
  </si>
  <si>
    <t>DP Mall Semarang, Jalan Simpang, RW 02</t>
  </si>
  <si>
    <t>Central Java, Semarang</t>
  </si>
  <si>
    <t>DP Mall Semarang, Jalan Simpang, RW 02;Central Java, Semarang;50132</t>
  </si>
  <si>
    <t>ID0054</t>
  </si>
  <si>
    <t>Narmada Trans, J.I. Raya Sandik Batu Layar, Kel Bintaro,</t>
  </si>
  <si>
    <t>Dusun Montong Buwuh, West Nusa Tenggara</t>
  </si>
  <si>
    <t>Narmada Trans, J.I. Raya Sandik Batu Layar, Kel Bintaro,;Dusun Montong Buwuh, West Nusa Tenggara;83111</t>
  </si>
  <si>
    <t>ID0055</t>
  </si>
  <si>
    <t>Summarecon Mall, Serpong, Jalan Boulevard Gading</t>
  </si>
  <si>
    <t>Serpong, Pakulongan Barat</t>
  </si>
  <si>
    <t>Summarecon Mall, Serpong, Jalan Boulevard Gading;Serpong, Pakulongan Barat;15810</t>
  </si>
  <si>
    <t>ID0056</t>
  </si>
  <si>
    <t>Summarecon Mal Bekasi, Jalan Bulevar Ahmad Yani,</t>
  </si>
  <si>
    <t>Bekasi, West Java</t>
  </si>
  <si>
    <t>Summarecon Mal Bekasi, Jalan Bulevar Ahmad Yani,;Bekasi, West Java;17142</t>
  </si>
  <si>
    <t>ID0058</t>
  </si>
  <si>
    <t>Ciputra World, Jalan Kencanasari Timur xx #87,</t>
  </si>
  <si>
    <t>RW 05, Surabaya</t>
  </si>
  <si>
    <t>Ciputra World, Jalan Kencanasari Timur xx #87,;RW 05, Surabaya;60256</t>
  </si>
  <si>
    <t>ID0059</t>
  </si>
  <si>
    <t>JI. Untung Surapati No.8 Karang asam Ulu, Singai</t>
  </si>
  <si>
    <t>Samarinda</t>
  </si>
  <si>
    <t>Kunjang Samarinda Kalimantan timur</t>
  </si>
  <si>
    <t>JI. Untung Surapati No.8 Karang asam Ulu, Singai;Kunjang Samarinda Kalimantan timur;75126</t>
  </si>
  <si>
    <t>ID0062</t>
  </si>
  <si>
    <t>Jl. Casablanca Raya Kav. 88</t>
  </si>
  <si>
    <t>Menteng Dalam, Tebet, Jakarta Selatan</t>
  </si>
  <si>
    <t>Jl. Casablanca Raya Kav. 88;Menteng Dalam, Tebet, Jakarta Selatan;12870</t>
  </si>
  <si>
    <t>ID0063</t>
  </si>
  <si>
    <t>Jl. Pemuda No.118, Sekayu, Kec. Semarang Tengah</t>
  </si>
  <si>
    <t>Kota Semarang, Jawa Tengah</t>
  </si>
  <si>
    <t>Jl. Pemuda No.118, Sekayu, Kec. Semarang Tengah;Kota Semarang, Jawa Tengah;50132</t>
  </si>
  <si>
    <t>ID0065</t>
  </si>
  <si>
    <t>12, Jl. Tj. Barat Raya No.163, RT.12/RW.4, West Tanjung</t>
  </si>
  <si>
    <t>Jagakarsa, South Jakarta City, Jakarta</t>
  </si>
  <si>
    <t>12, Jl. Tj. Barat Raya No.163, RT.12/RW.4, West Tanjung;Jagakarsa, South Jakarta City, Jakarta;12660</t>
  </si>
  <si>
    <t>IE0001</t>
  </si>
  <si>
    <t>H&amp;M Dublin Dundrum</t>
  </si>
  <si>
    <t>Dublin</t>
  </si>
  <si>
    <t>Ireland</t>
  </si>
  <si>
    <t>IE</t>
  </si>
  <si>
    <t>Unit 16-17 Level 1, Dundrum Town Centre</t>
  </si>
  <si>
    <t>Sandyford Road</t>
  </si>
  <si>
    <t>Unit 16-17 Level 1, Dundrum Town Centre;Sandyford Road;Dublin 16</t>
  </si>
  <si>
    <t>IE0003</t>
  </si>
  <si>
    <t>H&amp;M Dublin Liffey Valley</t>
  </si>
  <si>
    <t>Liffey Valley Shopping Centre</t>
  </si>
  <si>
    <t>Clondalkin</t>
  </si>
  <si>
    <t>Liffey Valley Shopping Centre;Clondalkin;Dublin 22</t>
  </si>
  <si>
    <t>IE0004</t>
  </si>
  <si>
    <t>H&amp;M Limerick</t>
  </si>
  <si>
    <t>Limerick</t>
  </si>
  <si>
    <t>The Cresent Shopping Centre</t>
  </si>
  <si>
    <t>Unit 33, Dooradoyle</t>
  </si>
  <si>
    <t>The Cresent Shopping Centre;Unit 33, Dooradoyle;Limerick</t>
  </si>
  <si>
    <t>IE0005</t>
  </si>
  <si>
    <t>H&amp;M Newbridge</t>
  </si>
  <si>
    <t>Newbridge</t>
  </si>
  <si>
    <t>Unit 3, Whitewater Shopping Centre</t>
  </si>
  <si>
    <t>Unit 3, Whitewater Shopping Centre;Newbridge;Kildare</t>
  </si>
  <si>
    <t>IE0006</t>
  </si>
  <si>
    <t>H&amp;M Dublin Blanchardstown</t>
  </si>
  <si>
    <t>Unit 238 The Blanchardstown Centre</t>
  </si>
  <si>
    <t>Blanchardstown</t>
  </si>
  <si>
    <t>Unit 238 The Blanchardstown Centre;Blanchardstown;Dublin 15</t>
  </si>
  <si>
    <t>IE0007</t>
  </si>
  <si>
    <t>H&amp;M Dublin King Street</t>
  </si>
  <si>
    <t>35-39 South King Street</t>
  </si>
  <si>
    <t>35-39 South King Street;;Dublin 2</t>
  </si>
  <si>
    <t>IE0008</t>
  </si>
  <si>
    <t>H&amp;M Athlone</t>
  </si>
  <si>
    <t>Athlone</t>
  </si>
  <si>
    <t>Unit 16/47 Athlone Town Centre</t>
  </si>
  <si>
    <t>Unit 16/47 Athlone Town Centre;;Atlhone</t>
  </si>
  <si>
    <t>IE0009</t>
  </si>
  <si>
    <t>H&amp;M Dublin Swords</t>
  </si>
  <si>
    <t>Level 1 Pavillions Shopping Centre</t>
  </si>
  <si>
    <t>Malahide Road, Swords</t>
  </si>
  <si>
    <t>Level 1 Pavillions Shopping Centre;Malahide Road, Swords;Dublin</t>
  </si>
  <si>
    <t>IE0010</t>
  </si>
  <si>
    <t>H&amp;M Kids Dublin Dundrum</t>
  </si>
  <si>
    <t>Unit 2/3 Dundrum Town Centre, Kids Store</t>
  </si>
  <si>
    <t>Unit 2/3 Dundrum Town Centre, Kids Store;Sandyford Road;Dublin 16;Dundrum</t>
  </si>
  <si>
    <t>IE0011</t>
  </si>
  <si>
    <t>H&amp;M Cork</t>
  </si>
  <si>
    <t>Cork</t>
  </si>
  <si>
    <t>7 Opera Avenue</t>
  </si>
  <si>
    <t>Faulkner Lane</t>
  </si>
  <si>
    <t>7 Opera Avenue;Faulkner Lane;Cork;Cork</t>
  </si>
  <si>
    <t>IE0012</t>
  </si>
  <si>
    <t>H&amp;M Tallaght</t>
  </si>
  <si>
    <t>The Square</t>
  </si>
  <si>
    <t>Tallaght</t>
  </si>
  <si>
    <t>The Square;Tallaght;Dublin 24;Tallaght</t>
  </si>
  <si>
    <t>IE0013</t>
  </si>
  <si>
    <t>H&amp;M Kilkenny</t>
  </si>
  <si>
    <t>Kilkenny</t>
  </si>
  <si>
    <t>Unit 5 MacDonagh Junction Shopping Centre</t>
  </si>
  <si>
    <t>Unit 5 MacDonagh Junction Shopping Centre;;Kilkenny;Kilkenny</t>
  </si>
  <si>
    <t>IE0014</t>
  </si>
  <si>
    <t>H&amp;M Letterkenny</t>
  </si>
  <si>
    <t>Letterkenny</t>
  </si>
  <si>
    <t>Unit 5 + 6, Letterkenny Retail Park</t>
  </si>
  <si>
    <t>Unit 5 + 6, Letterkenny Retail Park;Letterkenny;Co.;Letterkenny</t>
  </si>
  <si>
    <t>IE0016</t>
  </si>
  <si>
    <t>H&amp;M Dundalk</t>
  </si>
  <si>
    <t>Dundalk</t>
  </si>
  <si>
    <t>Units 20 21 22 23 &amp; 24 Marshes Shopping Centre</t>
  </si>
  <si>
    <t>Units 20 21 22 23 &amp; 24 Marshes Shopping Centre;;Dundalk</t>
  </si>
  <si>
    <t>IE0020</t>
  </si>
  <si>
    <t>H&amp;M Dublin College Green</t>
  </si>
  <si>
    <t>23-27 College Green</t>
  </si>
  <si>
    <t>23-27 College Green;;Dublin 2;Dublin</t>
  </si>
  <si>
    <t>IE0021</t>
  </si>
  <si>
    <t>H&amp;M Dublin Omni Centre</t>
  </si>
  <si>
    <t>Unit 201/3/4 Omni Park Shopping Ctr</t>
  </si>
  <si>
    <t>Swords Road, Santry</t>
  </si>
  <si>
    <t>Unit 201/3/4 Omni Park Shopping Ctr;Swords Road, Santry;Dublin 9;Dublin</t>
  </si>
  <si>
    <t>IE0023</t>
  </si>
  <si>
    <t>Units 2 &amp;3 Marshes Shopping Centre</t>
  </si>
  <si>
    <t>Dundalk Ireland</t>
  </si>
  <si>
    <t>Units 2 &amp;3 Marshes Shopping Centre;Dundalk Ireland;Ireland;Dundalk</t>
  </si>
  <si>
    <t>IL0001</t>
  </si>
  <si>
    <t>132 Menachem Begin St</t>
  </si>
  <si>
    <t>Tel Aviv</t>
  </si>
  <si>
    <t>Israel</t>
  </si>
  <si>
    <t>IL</t>
  </si>
  <si>
    <t>09:00-15:00</t>
  </si>
  <si>
    <t>19:00-23:00</t>
  </si>
  <si>
    <t>132 Menachem Begin St;;67021;Tel aviv</t>
  </si>
  <si>
    <t>IL0002</t>
  </si>
  <si>
    <t>1 Agudat Sport Beitar Road</t>
  </si>
  <si>
    <t>Jerusalem</t>
  </si>
  <si>
    <t>09:00-14:30</t>
  </si>
  <si>
    <t>1 Agudat Sport Beitar Road;;96952;Jerusalem</t>
  </si>
  <si>
    <t>IL0003</t>
  </si>
  <si>
    <t>54 Simcha Golan Road</t>
  </si>
  <si>
    <t>Haifa</t>
  </si>
  <si>
    <t>19:00-22:30</t>
  </si>
  <si>
    <t>54 Simcha Golan Road;;32990;Haifa</t>
  </si>
  <si>
    <t>IL0004</t>
  </si>
  <si>
    <t>Weitzman 301</t>
  </si>
  <si>
    <t>Kfar-Saba</t>
  </si>
  <si>
    <t>Weitzman 301;;44396;Kfar-Saba</t>
  </si>
  <si>
    <t>IL0005</t>
  </si>
  <si>
    <t>Herzel 60 Netanya</t>
  </si>
  <si>
    <t>Natanya</t>
  </si>
  <si>
    <t>Herzel 60 Netanya;;42392;Herzel 60 Netanya</t>
  </si>
  <si>
    <t>IL0006</t>
  </si>
  <si>
    <t>Jabotinsky  72 Petach Tikva</t>
  </si>
  <si>
    <t>Petach Tikva</t>
  </si>
  <si>
    <t>Jabotinsky  72 Petach Tikva;;49681;Jabotinsky72 Petach Tikva</t>
  </si>
  <si>
    <t>IL0007</t>
  </si>
  <si>
    <t>7 stars blvd. no.8 Herzliya</t>
  </si>
  <si>
    <t>Herzelya</t>
  </si>
  <si>
    <t>7 stars blvd. no.8 Herzliya;;46505;7 stars str.8 Herzliya</t>
  </si>
  <si>
    <t>IL0008</t>
  </si>
  <si>
    <t>Bilu 2  Rehovot</t>
  </si>
  <si>
    <t>Rehovot</t>
  </si>
  <si>
    <t>Bilu 2  Rehovot;;76442;Bilu 2 Rehovot</t>
  </si>
  <si>
    <t>IL0009</t>
  </si>
  <si>
    <t>Derech Akko 192, Kiryat Bialik</t>
  </si>
  <si>
    <t>Kiryat Bialik</t>
  </si>
  <si>
    <t>Derech Akko 192, Kiryat Bialik;;27232</t>
  </si>
  <si>
    <t>IL0010</t>
  </si>
  <si>
    <t>Yoseftal 92 Bat-Yam</t>
  </si>
  <si>
    <t>Bat-Yam</t>
  </si>
  <si>
    <t>Yoseftal 92 Bat-Yam;;59641;Yoseftal 92 Bat-Yam</t>
  </si>
  <si>
    <t>IL0011</t>
  </si>
  <si>
    <t>Tuviyahu Ave 125, Beer-Sheba</t>
  </si>
  <si>
    <t>Beer-Sheva</t>
  </si>
  <si>
    <t>Tuviyahu Ave 125, Beer-Sheba;;84810;Tuviyahu Ave 125, Beer-Sheba</t>
  </si>
  <si>
    <t>IL0012</t>
  </si>
  <si>
    <t>Tofic Ziad 53 Nazareth</t>
  </si>
  <si>
    <t>Nazeret</t>
  </si>
  <si>
    <t>Tofic Ziad 53 Nazareth;;16000</t>
  </si>
  <si>
    <t>IL0013</t>
  </si>
  <si>
    <t>Rothschild 40 Hadera</t>
  </si>
  <si>
    <t>Hadera</t>
  </si>
  <si>
    <t>Rothschild 40 Hadera;;3826850</t>
  </si>
  <si>
    <t>IL0016</t>
  </si>
  <si>
    <t>Hamelacha 2, Raanana</t>
  </si>
  <si>
    <t>Raanana</t>
  </si>
  <si>
    <t>Hamelacha 2, Raanana;;43661</t>
  </si>
  <si>
    <t>IL0017</t>
  </si>
  <si>
    <t>David Raziel Avenue 1, Ramla</t>
  </si>
  <si>
    <t>Ramla</t>
  </si>
  <si>
    <t>David Raziel Avenue 1, Ramla;;7250002</t>
  </si>
  <si>
    <t>IL0018</t>
  </si>
  <si>
    <t>Derech HaRakevet 1, Ashdod</t>
  </si>
  <si>
    <t>Ashdod</t>
  </si>
  <si>
    <t>Derech HaRakevet 1, Ashdod;;0000</t>
  </si>
  <si>
    <t>IL0019</t>
  </si>
  <si>
    <t>Abba Hillel 301, Ramat Gan</t>
  </si>
  <si>
    <t>Ramat Gan</t>
  </si>
  <si>
    <t>Abba Hillel 301, Ramat Gan;;23279</t>
  </si>
  <si>
    <t>IL0020</t>
  </si>
  <si>
    <t>Ha-Khashmona'im Street 96</t>
  </si>
  <si>
    <t>17:50-23:00</t>
  </si>
  <si>
    <t>Ha-Khashmona'im Street 96;;67133;Tel Aviv-Yafo</t>
  </si>
  <si>
    <t>IL0021</t>
  </si>
  <si>
    <t>King Solomon 37, Kiryat Ono</t>
  </si>
  <si>
    <t>Kiryat Ono</t>
  </si>
  <si>
    <t>King Solomon 37, Kiryat Ono;;5542133</t>
  </si>
  <si>
    <t>IL0022</t>
  </si>
  <si>
    <t>Nim Ave 2 Rishon le zion</t>
  </si>
  <si>
    <t>Rishon LeZion</t>
  </si>
  <si>
    <t>Nim Ave 2 Rishon le zion;;7546302</t>
  </si>
  <si>
    <t>IL0023</t>
  </si>
  <si>
    <t>Kampen St 8,Eilat</t>
  </si>
  <si>
    <t>Eilat</t>
  </si>
  <si>
    <t>12:00-23:00</t>
  </si>
  <si>
    <t>Kampen St 8,Eilat;;88000</t>
  </si>
  <si>
    <t>IN0001</t>
  </si>
  <si>
    <t>H&amp;M, Select Citywalk Mall</t>
  </si>
  <si>
    <t>New Delhi</t>
  </si>
  <si>
    <t>India</t>
  </si>
  <si>
    <t>IN</t>
  </si>
  <si>
    <t>District Centre, Saket</t>
  </si>
  <si>
    <t>District Centre, Saket;;110017;New Delhi</t>
  </si>
  <si>
    <t>IN0002</t>
  </si>
  <si>
    <t>DLF Mall of India, Sector 18, Noida</t>
  </si>
  <si>
    <t>Noida</t>
  </si>
  <si>
    <t>DLF Mall of India, Sector 18, Noida;;20130;Uttar Pradesh</t>
  </si>
  <si>
    <t>IN0003</t>
  </si>
  <si>
    <t>High Street Phoenix, Senapati Bapat Marg, Lower Parel (W)</t>
  </si>
  <si>
    <t>Mumbai</t>
  </si>
  <si>
    <t>High Street Phoenix, Senapati Bapat Marg, Lower Parel (W);;400013;Mumbai</t>
  </si>
  <si>
    <t>IN0004</t>
  </si>
  <si>
    <t>Ambience Mall</t>
  </si>
  <si>
    <t>Vasant Kunj</t>
  </si>
  <si>
    <t>Ambience Mall;Vasant Kunj;110070;Vasant kunj, new delhi</t>
  </si>
  <si>
    <t>IN0005</t>
  </si>
  <si>
    <t>Ambience Mall Island, NH8</t>
  </si>
  <si>
    <t>Ambience Mall;Ambience Mall Island, NH8;122001;Gurgaon</t>
  </si>
  <si>
    <t>IN0006</t>
  </si>
  <si>
    <t>VR Bengaluru, Black Box,</t>
  </si>
  <si>
    <t>Bangalore</t>
  </si>
  <si>
    <t>Whitefield Main Road, Mahadevpura</t>
  </si>
  <si>
    <t>VR Bengaluru, Black Box,;Whitefield Main Road, Mahadevpura;560048;Bengaluru</t>
  </si>
  <si>
    <t>IN0007</t>
  </si>
  <si>
    <t>H&amp;M, VR Mall</t>
  </si>
  <si>
    <t>Mohali Chandigarh</t>
  </si>
  <si>
    <t>Mohali Kharar Road</t>
  </si>
  <si>
    <t>Mohali</t>
  </si>
  <si>
    <t>Mohali Kharar Road;Mohali;160118</t>
  </si>
  <si>
    <t>IN0008</t>
  </si>
  <si>
    <t>Phoenix Market City, L.B.S. Marg, Kurla West</t>
  </si>
  <si>
    <t>Maharashtra</t>
  </si>
  <si>
    <t>Phoenix Market City, L.B.S. Marg, Kurla West;Maharashtra;400070</t>
  </si>
  <si>
    <t>IN0009</t>
  </si>
  <si>
    <t>Express Avenue,</t>
  </si>
  <si>
    <t>Chennai</t>
  </si>
  <si>
    <t>Royapettah,Chennai, Tamil Nadu</t>
  </si>
  <si>
    <t>Express Avenue,;Royapettah,Chennai, Tamil Nadu;600002;Express Infrastructure Pvt Ltd,</t>
  </si>
  <si>
    <t>IN0010</t>
  </si>
  <si>
    <t>Palladium,</t>
  </si>
  <si>
    <t>Near Gurunanak College, Velachery, Chennai</t>
  </si>
  <si>
    <t>Palladium,;Near Gurunanak College, Velachery, Chennai;600042</t>
  </si>
  <si>
    <t>IN0011</t>
  </si>
  <si>
    <t>Mantri Mall, Sampige Road,</t>
  </si>
  <si>
    <t>Malleshwaram, Bengaluru</t>
  </si>
  <si>
    <t>Mantri Mall, Sampige Road,;Malleshwaram, Bengaluru;560003</t>
  </si>
  <si>
    <t>IN0012</t>
  </si>
  <si>
    <t>Phoenix Marketcity, Nagar Road, Viman Nagar</t>
  </si>
  <si>
    <t>Pune</t>
  </si>
  <si>
    <t>Pune, Maharashtra</t>
  </si>
  <si>
    <t>Phoenix Marketcity, Nagar Road, Viman Nagar;Pune, Maharashtra;411014;Pune</t>
  </si>
  <si>
    <t>IN0013</t>
  </si>
  <si>
    <t>Amanora Mall, Opposite Magarpatta City</t>
  </si>
  <si>
    <t>Hadapsar-Kharadi Bypass</t>
  </si>
  <si>
    <t>Amanora Mall, Opposite Magarpatta City;Hadapsar-Kharadi Bypass;411028;Pune, Maharashtra</t>
  </si>
  <si>
    <t>IN0014</t>
  </si>
  <si>
    <t>The Connaught High Street</t>
  </si>
  <si>
    <t>Inner Circle, B Block, Connaught Place</t>
  </si>
  <si>
    <t>The Connaught High Street;Inner Circle, B Block, Connaught Place;110001;The Connaught High Street,B Block</t>
  </si>
  <si>
    <t>IN0015</t>
  </si>
  <si>
    <t>Inorbit mall , Malad Link Road</t>
  </si>
  <si>
    <t>Malad west , Mumbai</t>
  </si>
  <si>
    <t>Inorbit mall , Malad Link Road;Malad west , Mumbai;400064</t>
  </si>
  <si>
    <t>IN0016</t>
  </si>
  <si>
    <t>Inorbit Mall, Madhapur, Cyberabad</t>
  </si>
  <si>
    <t>Hyderabad</t>
  </si>
  <si>
    <t>Inorbit Mall, Madhapur, Cyberabad;Hyderabad;500081;G1-01,02,04,15,18 &amp; G 42-45</t>
  </si>
  <si>
    <t>IN0018</t>
  </si>
  <si>
    <t>1MG Mall, MG Road</t>
  </si>
  <si>
    <t>Trinity circle</t>
  </si>
  <si>
    <t>1MG Mall, MG Road;Trinity circle;560008;Bengaluru</t>
  </si>
  <si>
    <t>IN0020</t>
  </si>
  <si>
    <t>Westend Mall, Near Parihar Chowk</t>
  </si>
  <si>
    <t>11:30-21:30</t>
  </si>
  <si>
    <t>Aundh, Pune</t>
  </si>
  <si>
    <t>Westend Mall, Near Parihar Chowk;Aundh, Pune;411007;Pune</t>
  </si>
  <si>
    <t>IN0025</t>
  </si>
  <si>
    <t>Seawoods Grand Central Mall</t>
  </si>
  <si>
    <t>Sector 40, Seawoods</t>
  </si>
  <si>
    <t>Seawoods Grand Central Mall;Sector 40, Seawoods;400706</t>
  </si>
  <si>
    <t>IN0026</t>
  </si>
  <si>
    <t>R City, Lal Bahadur Shastri Marg,</t>
  </si>
  <si>
    <t>Ghatkopar West, Mumbai</t>
  </si>
  <si>
    <t>R City, Lal Bahadur Shastri Marg,;Ghatkopar West, Mumbai;400086;Mumbai</t>
  </si>
  <si>
    <t>IN0027</t>
  </si>
  <si>
    <t>Vega City, Bannerghatta Main Road,</t>
  </si>
  <si>
    <t>Vega City, Bannerghatta Main Road,;Bangalore;560076</t>
  </si>
  <si>
    <t>IN0030</t>
  </si>
  <si>
    <t>H&amp;M, VR Mall Amritsar</t>
  </si>
  <si>
    <t>Amritsar</t>
  </si>
  <si>
    <t>C-4, Circular Road</t>
  </si>
  <si>
    <t>Basant Avenue, Amritsar</t>
  </si>
  <si>
    <t>C-4, Circular Road;Basant Avenue, Amritsar;143001;C-4, Circular Road, Amritsar 143001</t>
  </si>
  <si>
    <t>IN0031</t>
  </si>
  <si>
    <t>La palazzo, August Kranti Marg</t>
  </si>
  <si>
    <t>Papanas,Wadi Tardeo, Mumbai, Maharashtra</t>
  </si>
  <si>
    <t>La palazzo, August Kranti Marg;Papanas,Wadi Tardeo, Mumbai, Maharashtra;400007;Mumbai , Maharashtra</t>
  </si>
  <si>
    <t>IN0033</t>
  </si>
  <si>
    <t>Metro Zone, No.44, Pillaiyar Koil Street</t>
  </si>
  <si>
    <t>Jawaharlal Nehru Road, Anna Nagar</t>
  </si>
  <si>
    <t>Metro Zone, No.44, Pillaiyar Koil Street;Jawaharlal Nehru Road, Anna Nagar;600040</t>
  </si>
  <si>
    <t>IN0034</t>
  </si>
  <si>
    <t>Prozone Mall, Sivanandhapuram, Saravanampatty</t>
  </si>
  <si>
    <t>Coimbatore</t>
  </si>
  <si>
    <t>saravanampatti - PO - COIMBATORE</t>
  </si>
  <si>
    <t>Prozone Mall, Sivanandhapuram, Saravanampatty;saravanampatti - PO - COIMBATORE;641035</t>
  </si>
  <si>
    <t>IN0036</t>
  </si>
  <si>
    <t>Elgin Road</t>
  </si>
  <si>
    <t>Kolkata</t>
  </si>
  <si>
    <t>Behind Forum Mall</t>
  </si>
  <si>
    <t>Elgin Road;Behind Forum Mall;700020;5A Woodburn Park</t>
  </si>
  <si>
    <t>IN0039</t>
  </si>
  <si>
    <t>11, Tukoganj, MG Road</t>
  </si>
  <si>
    <t>Indore</t>
  </si>
  <si>
    <t>11, Tukoganj, MG Road;;452001</t>
  </si>
  <si>
    <t>IN0040</t>
  </si>
  <si>
    <t>MBM Farms, Sultan Wind Sub Urban Main GT Road,</t>
  </si>
  <si>
    <t>Amritsar, Punjab</t>
  </si>
  <si>
    <t>MBM Farms, Sultan Wind Sub Urban Main GT Road,;Amritsar, Punjab;143001</t>
  </si>
  <si>
    <t>IN0043</t>
  </si>
  <si>
    <t>Forum Centre City Mall, Hyder Ali Road</t>
  </si>
  <si>
    <t>Mysore</t>
  </si>
  <si>
    <t>Nazarbad Mohalla, Mysuru</t>
  </si>
  <si>
    <t>Forum Centre City Mall, Hyder Ali Road;Nazarbad Mohalla, Mysuru;570010</t>
  </si>
  <si>
    <t>IN0047</t>
  </si>
  <si>
    <t>Plot No SH3, Site IV, Near Pari Chowk, Greater Noida</t>
  </si>
  <si>
    <t>11:00-20:30</t>
  </si>
  <si>
    <t>Plot No SH3, Site IV, Near Pari Chowk, Greater Noida;;201308</t>
  </si>
  <si>
    <t>IN0049</t>
  </si>
  <si>
    <t>Main Vidhan Sabha Road, Village Mowa, Raipur, Chhattisgarh</t>
  </si>
  <si>
    <t>Raipur</t>
  </si>
  <si>
    <t>Main Vidhan Sabha Road, Village Mowa, Raipur, Chhattisgarh;;492007</t>
  </si>
  <si>
    <t>IN0051</t>
  </si>
  <si>
    <t>Lodha Xperia, Opp Lodha world School, Kalyan-Shil Road</t>
  </si>
  <si>
    <t>Palava</t>
  </si>
  <si>
    <t>Lodha Xperia, Opp Lodha world School, Kalyan-Shil Road;Palava;421204</t>
  </si>
  <si>
    <t>IN0053</t>
  </si>
  <si>
    <t>Eastern Express Highway,</t>
  </si>
  <si>
    <t>Next to Jupiter Hospital  Thane (West)</t>
  </si>
  <si>
    <t>Eastern Express Highway,;Next to Jupiter Hospital  Thane (West);400606;Mumbai</t>
  </si>
  <si>
    <t>IN0054</t>
  </si>
  <si>
    <t>Jodhpur Cross Road, Satellite</t>
  </si>
  <si>
    <t>Ahmedabad</t>
  </si>
  <si>
    <t>Jodhpur Cross Road, Satellite;;380015</t>
  </si>
  <si>
    <t>IN0057</t>
  </si>
  <si>
    <t>P80/D5, API Compound</t>
  </si>
  <si>
    <t>Aurangabad</t>
  </si>
  <si>
    <t>13:30-21:30</t>
  </si>
  <si>
    <t>Chikalthana, Aurangabad, Maharashtra</t>
  </si>
  <si>
    <t>P80/D5, API Compound;Chikalthana, Aurangabad, Maharashtra;431006;Aurangabad, Maharashtra</t>
  </si>
  <si>
    <t>IN0061</t>
  </si>
  <si>
    <t>Trillium, tata Realty and Infrastructure Ltd</t>
  </si>
  <si>
    <t>Nagpur</t>
  </si>
  <si>
    <t>Near Baidyanath Square, Opp Kusumgar Hero shwroom, Nagpur</t>
  </si>
  <si>
    <t>Trillium, tata Realty and Infrastructure Ltd;Near Baidyanath Square, Opp Kusumgar Hero shwroom, Nagpur;440009;Nagpur</t>
  </si>
  <si>
    <t>IN0062</t>
  </si>
  <si>
    <t>Thigalarapalya, Hoodi</t>
  </si>
  <si>
    <t>Thigalarapalya, Hoodi;;560067;Bengaluru, Karnataka</t>
  </si>
  <si>
    <t>IN0064</t>
  </si>
  <si>
    <t>HB Games Village, Koramangala</t>
  </si>
  <si>
    <t>HB Games Village, Koramangala;;560047;Bengaluru, Karnataka</t>
  </si>
  <si>
    <t>IN0066</t>
  </si>
  <si>
    <t>Hoshangabad Rd, Misrod</t>
  </si>
  <si>
    <t>Bhopal</t>
  </si>
  <si>
    <t>Hoshangabad Rd, Misrod;;462047</t>
  </si>
  <si>
    <t>IN0067</t>
  </si>
  <si>
    <t>Patel Road</t>
  </si>
  <si>
    <t>Patel Road;Patel Road;110015</t>
  </si>
  <si>
    <t>IN0069</t>
  </si>
  <si>
    <t>HUDA Metro station Sector 29, Gurugram</t>
  </si>
  <si>
    <t>Gurgaon</t>
  </si>
  <si>
    <t>HUDA Metro station Sector 29, Gurugram;;120007</t>
  </si>
  <si>
    <t>IN0074</t>
  </si>
  <si>
    <t>Noida-Greater Noida Link Road, Gaur City 1,</t>
  </si>
  <si>
    <t>Noida-Greater Noida Link Road, Gaur City 1,;201009;201009</t>
  </si>
  <si>
    <t>IN0076</t>
  </si>
  <si>
    <t>pLOT NO.1</t>
  </si>
  <si>
    <t>PLOT NO.1</t>
  </si>
  <si>
    <t>pLOT NO.1;PLOT NO.1;452001</t>
  </si>
  <si>
    <t>IN0077</t>
  </si>
  <si>
    <t>Spark Mall, Kamla Nagar</t>
  </si>
  <si>
    <t>new delhi</t>
  </si>
  <si>
    <t>Spark Mall, Kamla Nagar;new delhi;110007</t>
  </si>
  <si>
    <t>IN0079</t>
  </si>
  <si>
    <t>242 Janpath</t>
  </si>
  <si>
    <t>Bhubaneswar</t>
  </si>
  <si>
    <t>Bhubaneswar;;751009</t>
  </si>
  <si>
    <t>IN0081</t>
  </si>
  <si>
    <t>2, Service Rd, Padivattom, Edappally, Kochi,</t>
  </si>
  <si>
    <t>kochi</t>
  </si>
  <si>
    <t>2, Service Rd, Padivattom, Edappally, Kochi,;;682024</t>
  </si>
  <si>
    <t>IN0087</t>
  </si>
  <si>
    <t>Grand Walk Mall, Ferozpur Road</t>
  </si>
  <si>
    <t>Ludhiana</t>
  </si>
  <si>
    <t>Aggar Nagar</t>
  </si>
  <si>
    <t>Aggar Nagar;Ludhiana;141001</t>
  </si>
  <si>
    <t>IN0092</t>
  </si>
  <si>
    <t>H&amp;M</t>
  </si>
  <si>
    <t>Jalandhar</t>
  </si>
  <si>
    <t>Model Town</t>
  </si>
  <si>
    <t>Model Town;;144003</t>
  </si>
  <si>
    <t>IN0093</t>
  </si>
  <si>
    <t>Showroom No. 5, Pinnacle Plaza, 152/9/84,</t>
  </si>
  <si>
    <t>Dehradun</t>
  </si>
  <si>
    <t>Jakhan, Rajpur Road, Dehradun (adjacent to Pacific Mall)</t>
  </si>
  <si>
    <t>Showroom No. 5, Pinnacle Plaza, 152/9/84,;Jakhan, Rajpur Road, Dehradun (adjacent to Pacific Mall);248001;Uttarakhand</t>
  </si>
  <si>
    <t>IN0095</t>
  </si>
  <si>
    <t>Gachibowli - Miyapur Rd, Forest Dept Colony, Kondapur</t>
  </si>
  <si>
    <t>Gachibowli - Miyapur Rd, Forest Dept Colony, Kondapur;;500084</t>
  </si>
  <si>
    <t>IN0109</t>
  </si>
  <si>
    <t>H&amp;M, PHOENIX PALASSIO MALL</t>
  </si>
  <si>
    <t>Lucknow</t>
  </si>
  <si>
    <t>Shaheed Path</t>
  </si>
  <si>
    <t>Shaheed Path;Lucknow;226010</t>
  </si>
  <si>
    <t>IS0001</t>
  </si>
  <si>
    <t>Kringlunni 4-12</t>
  </si>
  <si>
    <t>Reykjavik</t>
  </si>
  <si>
    <t>Iceland</t>
  </si>
  <si>
    <t>IS</t>
  </si>
  <si>
    <t>Kringlunni 4-12;;103;Reykjavik</t>
  </si>
  <si>
    <t>IS0002</t>
  </si>
  <si>
    <t>SmÃ¡ralind</t>
  </si>
  <si>
    <t>HagasmÃ¡ra 1</t>
  </si>
  <si>
    <t>HagasmÃ¡ra 1;;201;KÃ³pavogur</t>
  </si>
  <si>
    <t>IS0003</t>
  </si>
  <si>
    <t>Hafnartorg</t>
  </si>
  <si>
    <t>Austurbakki 2</t>
  </si>
  <si>
    <t>Austurbakki 2;;101;Reykjavik</t>
  </si>
  <si>
    <t>IS0005</t>
  </si>
  <si>
    <t>GlerÃ¡rtorg</t>
  </si>
  <si>
    <t>Akureyri</t>
  </si>
  <si>
    <t>13:00-17:00</t>
  </si>
  <si>
    <t>GlerÃ¡reyrum 1</t>
  </si>
  <si>
    <t>GlerÃ¡reyrum 1;;600;Akureyri, Iceland</t>
  </si>
  <si>
    <t>IT0102</t>
  </si>
  <si>
    <t>H&amp;M Home - Centro Commerciale Il Centro</t>
  </si>
  <si>
    <t>Milano (MI)</t>
  </si>
  <si>
    <t>Italy</t>
  </si>
  <si>
    <t>IT</t>
  </si>
  <si>
    <t>Via Giuseppe Eugenio Luraghi 11</t>
  </si>
  <si>
    <t>Lombardia</t>
  </si>
  <si>
    <t>Via Giuseppe Eugenio Luraghi 11;;20020;Arese (MI);Lombardia</t>
  </si>
  <si>
    <t>IT0305</t>
  </si>
  <si>
    <t>Centro Commerciale Orio Center</t>
  </si>
  <si>
    <t>Bergamo (BG)</t>
  </si>
  <si>
    <t>Via Portico 71</t>
  </si>
  <si>
    <t>Via Portico 71;;24050;Orio al Serio (BERGAMO);Lombardia</t>
  </si>
  <si>
    <t>IT0306</t>
  </si>
  <si>
    <t>Via XX Settembre 259 R</t>
  </si>
  <si>
    <t>Genova (GE)</t>
  </si>
  <si>
    <t>Liguria</t>
  </si>
  <si>
    <t>Via XX Settembre 259 R;;16121;Genova (GENOVA);Liguria</t>
  </si>
  <si>
    <t>IT0309</t>
  </si>
  <si>
    <t>Centro Commerciale Montebello</t>
  </si>
  <si>
    <t>Voghera (PV)</t>
  </si>
  <si>
    <t>Via Ingegnere Adolfo Mazza 50</t>
  </si>
  <si>
    <t>Via Ingegnere Adolfo Mazza 50;;27054;Montebello della Battaglia (PAVIA);Lombardia</t>
  </si>
  <si>
    <t>IT0310</t>
  </si>
  <si>
    <t>Via dell'Indipendenza 4</t>
  </si>
  <si>
    <t>Bologna (BO)</t>
  </si>
  <si>
    <t>Emilia - Romagna</t>
  </si>
  <si>
    <t>Via dell'Indipendenza 4;;40121;Bologna (BOLOGNA);Emilia - Romagna</t>
  </si>
  <si>
    <t>IT0313</t>
  </si>
  <si>
    <t>Centro Commerciale Ipercity</t>
  </si>
  <si>
    <t>Padova (PD)</t>
  </si>
  <si>
    <t>Via Verga 1</t>
  </si>
  <si>
    <t>Via Verga 1;;35020;Albignasego (PADOVA);Veneto</t>
  </si>
  <si>
    <t>IT0314</t>
  </si>
  <si>
    <t>La Galleria</t>
  </si>
  <si>
    <t>Parma (PR)</t>
  </si>
  <si>
    <t>Via Emilia Est 7B</t>
  </si>
  <si>
    <t>Via Emilia Est 7B;;43121;Parma;Emilia - Romagna</t>
  </si>
  <si>
    <t>IT0315</t>
  </si>
  <si>
    <t>Centro Commerciale Roma Est</t>
  </si>
  <si>
    <t>Roma (RM)</t>
  </si>
  <si>
    <t>Via Collatina</t>
  </si>
  <si>
    <t>Lazio</t>
  </si>
  <si>
    <t>Via Collatina;;00132;Roma (ROMA);Lazio</t>
  </si>
  <si>
    <t>IT0316</t>
  </si>
  <si>
    <t>Centro Commerciale Carrefour Limbiate</t>
  </si>
  <si>
    <t>Limbiate (MI)</t>
  </si>
  <si>
    <t>Ex Strada Statale 527 angolo Via Garibaldi</t>
  </si>
  <si>
    <t>Ex Strada Statale 527 angolo Via Garibaldi;;20051;Limbiate (MILANO);Lombardia</t>
  </si>
  <si>
    <t>IT0319</t>
  </si>
  <si>
    <t>Centro Commerciale CittÃ  Fiera</t>
  </si>
  <si>
    <t>Udine (UD)</t>
  </si>
  <si>
    <t>Via Antonio Bardelli 4</t>
  </si>
  <si>
    <t>FriÃ¹li - Venezia Giulia</t>
  </si>
  <si>
    <t>Via Antonio Bardelli 4;;33035;Torreano di Martignacco (UDINE);FriÃ¹li - Venezia Giulia</t>
  </si>
  <si>
    <t>IT0320</t>
  </si>
  <si>
    <t>Centro Commerciale La Corte Lombarda</t>
  </si>
  <si>
    <t>Bellinzago (MI)</t>
  </si>
  <si>
    <t>Strada Padana Superiore 154</t>
  </si>
  <si>
    <t>Strada Padana Superiore 154;;20060;Bellinzago Lombardo (MILANO);Lombardia</t>
  </si>
  <si>
    <t>IT0321</t>
  </si>
  <si>
    <t>Centro Commerciale Belforte</t>
  </si>
  <si>
    <t>Varese (VA)</t>
  </si>
  <si>
    <t>Viale Belforte 315</t>
  </si>
  <si>
    <t>Viale Belforte 315;;21100;Varese (VARESE);Lombardia</t>
  </si>
  <si>
    <t>IT0322</t>
  </si>
  <si>
    <t>Via Mantova</t>
  </si>
  <si>
    <t>Lonato (BS)</t>
  </si>
  <si>
    <t>Via Tiracollo</t>
  </si>
  <si>
    <t>Via Tiracollo;;25017;Lonato (BS);Lombardia</t>
  </si>
  <si>
    <t>IT0324</t>
  </si>
  <si>
    <t>Centro Commerciale Porta di Roma</t>
  </si>
  <si>
    <t>Via Alberto Lionello 201</t>
  </si>
  <si>
    <t>Via Alberto Lionello 201;;00139;Roma (ROMA);Lazio</t>
  </si>
  <si>
    <t>IT0325</t>
  </si>
  <si>
    <t>Centro Commerciale Vulcano Buono</t>
  </si>
  <si>
    <t>Nola (NA)</t>
  </si>
  <si>
    <t>LocalitÃ  Boscofangone</t>
  </si>
  <si>
    <t>Campania</t>
  </si>
  <si>
    <t>LocalitÃ  Boscofangone;;80035;Nola (NAPOLI);Campania</t>
  </si>
  <si>
    <t>IT0326</t>
  </si>
  <si>
    <t>Centro Commerciale Bari Blu</t>
  </si>
  <si>
    <t>Bari (BA)</t>
  </si>
  <si>
    <t>Contrada Giannavello LocalitÃ  Cutizza</t>
  </si>
  <si>
    <t>Puglia</t>
  </si>
  <si>
    <t>Contrada Giannavello LocalitÃ  Cutizza;;70019;Triggiano (BARI);Puglia</t>
  </si>
  <si>
    <t>IT0328</t>
  </si>
  <si>
    <t>Centro Commerciale Euroma 2</t>
  </si>
  <si>
    <t>Viale dell'Oceano Pacifico 83</t>
  </si>
  <si>
    <t>Viale dell'Oceano Pacifico 83;;00144;Roma (ROMA);Lazio</t>
  </si>
  <si>
    <t>IT0329</t>
  </si>
  <si>
    <t>Centro Commerciale Globo</t>
  </si>
  <si>
    <t>Busnago (MI)</t>
  </si>
  <si>
    <t>Via Italia, 197</t>
  </si>
  <si>
    <t>Via Italia, 197;;20040;Busnago;Lombardia</t>
  </si>
  <si>
    <t>IT0331</t>
  </si>
  <si>
    <t>Corso Italia 23</t>
  </si>
  <si>
    <t>Trieste (TS)</t>
  </si>
  <si>
    <t>Corso Italia 23;;34121;Trieste (TRIESTE);FriÃ¹li - Venezia Giulia</t>
  </si>
  <si>
    <t>IT0332</t>
  </si>
  <si>
    <t>Centro Commerciale Campania</t>
  </si>
  <si>
    <t>Caserta (CE)</t>
  </si>
  <si>
    <t>Strada Statale Sannitica 87 LocalitÃ  Aurno</t>
  </si>
  <si>
    <t>Strada Statale Sannitica 87 LocalitÃ  Aurno;;81025;Marcianise (CASERTA);Campania</t>
  </si>
  <si>
    <t>IT0333</t>
  </si>
  <si>
    <t>Market Central Da Vinci</t>
  </si>
  <si>
    <t>Via Geminiano Montanari 54</t>
  </si>
  <si>
    <t>Market Central Da Vinci;Via Geminiano Montanari 54;00054;Roma (RM);Lazio</t>
  </si>
  <si>
    <t>IT0335</t>
  </si>
  <si>
    <t>Parco Commerciale Le Fontane</t>
  </si>
  <si>
    <t>Catanzaro (CZ)</t>
  </si>
  <si>
    <t>Viale Emilia 61</t>
  </si>
  <si>
    <t>Calabria</t>
  </si>
  <si>
    <t>Viale Emilia 61;;88100;Catanzaro (CATANZARO);Calabria</t>
  </si>
  <si>
    <t>IT0336</t>
  </si>
  <si>
    <t>Via Leonardo Da Vinci 38</t>
  </si>
  <si>
    <t>Merano (BZ)</t>
  </si>
  <si>
    <t>Trentino - Alto Adige</t>
  </si>
  <si>
    <t>Via Leonardo Da Vinci 38;;39012;Merano (BOLZANO);Trentino - Alto Adige</t>
  </si>
  <si>
    <t>IT0337</t>
  </si>
  <si>
    <t>Via Sparano 24/26</t>
  </si>
  <si>
    <t>Via Sparano 24/26;;70122;Bari (BARI);Puglia</t>
  </si>
  <si>
    <t>IT0339</t>
  </si>
  <si>
    <t>Centro Commerciale Iper Vittuone</t>
  </si>
  <si>
    <t>Via Piemonte, 2</t>
  </si>
  <si>
    <t>Via Piemonte, 2;;20010;Milano;Lombardia</t>
  </si>
  <si>
    <t>IT0341</t>
  </si>
  <si>
    <t>Via Ruggero Settimo 14</t>
  </si>
  <si>
    <t>Palermo (PA)</t>
  </si>
  <si>
    <t>Sicilia</t>
  </si>
  <si>
    <t>Via Ruggero Settimo 14;;90141;Palermo (PALERMO);Sicilia</t>
  </si>
  <si>
    <t>IT0342</t>
  </si>
  <si>
    <t>Centro Commerciale Gran Sasso</t>
  </si>
  <si>
    <t>Teramo (TE)</t>
  </si>
  <si>
    <t>LocalitÃ  Piano D'Accio</t>
  </si>
  <si>
    <t>Abruzzo</t>
  </si>
  <si>
    <t>LocalitÃ  Piano D'Accio;;64020;Teramo (TERAMO);Abruzzo</t>
  </si>
  <si>
    <t>IT0345</t>
  </si>
  <si>
    <t>Centro Commerciale Carosello</t>
  </si>
  <si>
    <t>Carugate (MI)</t>
  </si>
  <si>
    <t>Strada Provinciale 208</t>
  </si>
  <si>
    <t>Strada Provinciale 208;;20090;Carugate (MI);Lombardia</t>
  </si>
  <si>
    <t>IT0346</t>
  </si>
  <si>
    <t>Centro Commerciale Auchan</t>
  </si>
  <si>
    <t>Monza (MB)</t>
  </si>
  <si>
    <t>Via Maestri Del Lavoro/Via Lario</t>
  </si>
  <si>
    <t>Via Maestri Del Lavoro/Via Lario;;20052;Monza (MI);Lombardia</t>
  </si>
  <si>
    <t>IT0349</t>
  </si>
  <si>
    <t>Centro Commerciale il Castello</t>
  </si>
  <si>
    <t>Ferrara (FE)</t>
  </si>
  <si>
    <t>08:30-21:30</t>
  </si>
  <si>
    <t>Via Bologna</t>
  </si>
  <si>
    <t>Via Bologna;;44100;Ferrara (FERRARA);Emilia - Romagna</t>
  </si>
  <si>
    <t>IT0350</t>
  </si>
  <si>
    <t>Centro Commerciale MegalÃ²</t>
  </si>
  <si>
    <t>Chieti</t>
  </si>
  <si>
    <t>LocalitÃ  Santa Filomena</t>
  </si>
  <si>
    <t>LocalitÃ  Santa Filomena;;66100;Chieti (CHIETI);Abruzzo</t>
  </si>
  <si>
    <t>IT0351</t>
  </si>
  <si>
    <t>Centro Commerciale Verona Uno</t>
  </si>
  <si>
    <t>Verona (VR)</t>
  </si>
  <si>
    <t>Via Monte Cristallo 1</t>
  </si>
  <si>
    <t>Via Monte Cristallo 1;;37057;San Giovanni Lupatoto (VERONA);Veneto</t>
  </si>
  <si>
    <t>IT0352</t>
  </si>
  <si>
    <t>Centro Commerciale Gli Orsi</t>
  </si>
  <si>
    <t>Biella (BI)</t>
  </si>
  <si>
    <t>Strada Statale 230 Strada Tossi 3B</t>
  </si>
  <si>
    <t>Piemonte</t>
  </si>
  <si>
    <t>Strada Statale 230 Strada Tossi 3B;;13900;Biella (BIELLA);Piemonte</t>
  </si>
  <si>
    <t>IT0353</t>
  </si>
  <si>
    <t>Centro Commerciale Le Brentelle</t>
  </si>
  <si>
    <t>Via della Provvidenza 1</t>
  </si>
  <si>
    <t>Via della Provvidenza 1;;35030;Sarmeola di Rubano (PADOVA);Veneto</t>
  </si>
  <si>
    <t>IT0354</t>
  </si>
  <si>
    <t>Piazza San Donato</t>
  </si>
  <si>
    <t>Firenze (FI)</t>
  </si>
  <si>
    <t>Via di Novoli 10 angolo Via Enrico Forlanini 1</t>
  </si>
  <si>
    <t>Toscana</t>
  </si>
  <si>
    <t>Via di Novoli 10 angolo Via Enrico Forlanini 1;;50127;Firenze (FIRENZE);Toscana</t>
  </si>
  <si>
    <t>IT0355</t>
  </si>
  <si>
    <t>Parco Prato</t>
  </si>
  <si>
    <t>Prato (PO)</t>
  </si>
  <si>
    <t>Via delle Pleiadi</t>
  </si>
  <si>
    <t>Via delle Pleiadi;;59100;Prato (PRATO);Toscana</t>
  </si>
  <si>
    <t>IT0357</t>
  </si>
  <si>
    <t>Corso della Repubblica 165</t>
  </si>
  <si>
    <t>Latina (LT)</t>
  </si>
  <si>
    <t>Corso della Repubblica 165;;04100;Latina (LATINA);Lazio</t>
  </si>
  <si>
    <t>IT0358</t>
  </si>
  <si>
    <t>Via Por Santa Maria</t>
  </si>
  <si>
    <t>Via Por Santa Maria;;50122;Firenze (FIRENZE);Toscana</t>
  </si>
  <si>
    <t>IT0359</t>
  </si>
  <si>
    <t>Centro Commerciale Le Maioliche</t>
  </si>
  <si>
    <t>Faenza</t>
  </si>
  <si>
    <t>Via Bisaura 1</t>
  </si>
  <si>
    <t>Via Bisaura 1;;48018;Faenza (RAVENNA);Emilia - Romagna</t>
  </si>
  <si>
    <t>IT0360</t>
  </si>
  <si>
    <t>Centro Commerciale Le Corti Venete</t>
  </si>
  <si>
    <t>Viale del Commercio 1</t>
  </si>
  <si>
    <t>Viale del Commercio 1;;37036;San Martino Buonalbergo (VERONA);Veneto</t>
  </si>
  <si>
    <t>IT0361</t>
  </si>
  <si>
    <t>Centro Commerciale Le Terrazze</t>
  </si>
  <si>
    <t>La Spezia</t>
  </si>
  <si>
    <t>Via Fontevivo 17</t>
  </si>
  <si>
    <t>Via Fontevivo 17;;19100;La Spezia (LA SPEZIA);Liguria</t>
  </si>
  <si>
    <t>IT0362</t>
  </si>
  <si>
    <t>Via Montegrappa 1</t>
  </si>
  <si>
    <t>Savona (SV)</t>
  </si>
  <si>
    <t>Via Montegrappa 1;;17047;Vado Ligure (SAVONA);Liguria</t>
  </si>
  <si>
    <t>IT0364</t>
  </si>
  <si>
    <t>Il Grifone Shopping Center</t>
  </si>
  <si>
    <t>Bassano del Grappa (VI)</t>
  </si>
  <si>
    <t>Via Capitelvecchio 88</t>
  </si>
  <si>
    <t>Via Capitelvecchio 88;;36061;Bassano del Grappa (VICENZA);Veneto</t>
  </si>
  <si>
    <t>IT0365</t>
  </si>
  <si>
    <t>Centro Commerciale Forum</t>
  </si>
  <si>
    <t>Via Filippo Pecoraino LocalitÃ  Roccella</t>
  </si>
  <si>
    <t>Via Filippo Pecoraino LocalitÃ  Roccella;;90100;Palermo (PALERMO);Sicilia</t>
  </si>
  <si>
    <t>IT0366</t>
  </si>
  <si>
    <t>Corso Vittorio Emanuele II 194</t>
  </si>
  <si>
    <t>Pescara</t>
  </si>
  <si>
    <t>Corso Vittorio Emanuele II 194;;65122;Pescara (PESCARA);Abruzzo</t>
  </si>
  <si>
    <t>IT0367</t>
  </si>
  <si>
    <t>Centro Commerciale Auchan Porte di Mestre</t>
  </si>
  <si>
    <t>Mestre (VE)</t>
  </si>
  <si>
    <t>Via Don Tosatto 22</t>
  </si>
  <si>
    <t>Via Don Tosatto 22;;30174;Mestre (VENEZIA);Veneto</t>
  </si>
  <si>
    <t>IT0369</t>
  </si>
  <si>
    <t>Via Ugo Bassi 21</t>
  </si>
  <si>
    <t>Via Ugo Bassi 21;;40121;Bologna (BOLOGNA);Emilia - Romagna</t>
  </si>
  <si>
    <t>IT0371</t>
  </si>
  <si>
    <t>Campo San Luca 4473</t>
  </si>
  <si>
    <t>Venezia (VE)</t>
  </si>
  <si>
    <t>Campo San Luca 4473;;30124;Venezia (VENEZIA);Veneto</t>
  </si>
  <si>
    <t>IT0372</t>
  </si>
  <si>
    <t>Centro Commerciale Maximo</t>
  </si>
  <si>
    <t>Via Laurentina 865</t>
  </si>
  <si>
    <t>Via Laurentina 865;;00143;Roma (RM);Lazio</t>
  </si>
  <si>
    <t>IT0373</t>
  </si>
  <si>
    <t>Centro Commerciale I Gigli</t>
  </si>
  <si>
    <t>Via San Quirico 165</t>
  </si>
  <si>
    <t>Via San Quirico 165;;50013;Campi Bisenzio (FIRENZE);Toscana</t>
  </si>
  <si>
    <t>IT0376</t>
  </si>
  <si>
    <t>Via Museo 41</t>
  </si>
  <si>
    <t>Bolzano (BZ)</t>
  </si>
  <si>
    <t>Via Museo 41;;39100;Bolzano (BOLZANO);Trentino - Alto Adige</t>
  </si>
  <si>
    <t>IT0377</t>
  </si>
  <si>
    <t>Via Mazzini 8A</t>
  </si>
  <si>
    <t>Via Mazzini 8A;;43100;Parma (PARMA);Emilia - Romagna</t>
  </si>
  <si>
    <t>IT0378</t>
  </si>
  <si>
    <t>Centro Commerciale La Cartiera</t>
  </si>
  <si>
    <t>Pompei (NA)</t>
  </si>
  <si>
    <t>Via del Macello 22</t>
  </si>
  <si>
    <t>Via del Macello 22;;80045;Pompei (NAPOLI);Campania</t>
  </si>
  <si>
    <t>IT0380</t>
  </si>
  <si>
    <t>Corso Mazzini 110/116</t>
  </si>
  <si>
    <t>Cosenza (CS)</t>
  </si>
  <si>
    <t>Corso Mazzini 110/116;;87100;Cosenza (COSENZA);Calabria</t>
  </si>
  <si>
    <t>IT0384</t>
  </si>
  <si>
    <t>Corso d'Augusto 129</t>
  </si>
  <si>
    <t>Rimini (RN)</t>
  </si>
  <si>
    <t>Corso d'Augusto 129;;47900;Rimini (RIMINI);Emilia - Romagna</t>
  </si>
  <si>
    <t>IT0386</t>
  </si>
  <si>
    <t>Centro Commerciale Centronova</t>
  </si>
  <si>
    <t>Via Villanova 29</t>
  </si>
  <si>
    <t>Via Villanova 29;;40055;Villanova di Castenaso (BOLOGNA);Emilia - Romagna</t>
  </si>
  <si>
    <t>IT0387</t>
  </si>
  <si>
    <t>Via Grande 119</t>
  </si>
  <si>
    <t>Livorno (LI)</t>
  </si>
  <si>
    <t>Via Grande 119;;57100;Livorno (LIVORNO);Toscana</t>
  </si>
  <si>
    <t>IT0389</t>
  </si>
  <si>
    <t>Centro Commerciale San Giuliano</t>
  </si>
  <si>
    <t>S.S.9 Via Emilia - angolo Via Tolstoj</t>
  </si>
  <si>
    <t>S.S.9 Via Emilia - angolo Via Tolstoj;S.S.9 Via Emilia - angolo Via Tolstoj;20098;San Giuliano Milanese(MI);Lombardia</t>
  </si>
  <si>
    <t>IT0391</t>
  </si>
  <si>
    <t>Fidenza Shopping Park</t>
  </si>
  <si>
    <t>Fidenza (PR)</t>
  </si>
  <si>
    <t>Via San Michele Campagna</t>
  </si>
  <si>
    <t>Via San Michele Campagna;;43036;Fidenza (PARMA);Emilia - Romagna</t>
  </si>
  <si>
    <t>IT0392</t>
  </si>
  <si>
    <t>Centro Commerciale Adriatico 2</t>
  </si>
  <si>
    <t>Portogruaro (VE)</t>
  </si>
  <si>
    <t>Via Prati Guori 29</t>
  </si>
  <si>
    <t>Via Prati Guori 29;;30026;Portogruaro (VENEZIA);Veneto</t>
  </si>
  <si>
    <t>IT0394</t>
  </si>
  <si>
    <t>Centro Commerciale Le Colonne</t>
  </si>
  <si>
    <t>Brindisi (BR)</t>
  </si>
  <si>
    <t>Strada Statale 7 Appia km 712</t>
  </si>
  <si>
    <t>Strada Statale 7 Appia km 712;;72100;Brindisi (BRINDISI);Puglia</t>
  </si>
  <si>
    <t>IT0396</t>
  </si>
  <si>
    <t>Centro Commerciale ConÃ¨</t>
  </si>
  <si>
    <t>Conegliano (TV)</t>
  </si>
  <si>
    <t>Via San Giuseppe 25</t>
  </si>
  <si>
    <t>Via San Giuseppe 25;;31015;Conegliano (TREVISO);Veneto</t>
  </si>
  <si>
    <t>IT0398</t>
  </si>
  <si>
    <t>Centro Commerciale Puntadiferro</t>
  </si>
  <si>
    <t>ForlÃ¬ (FC)</t>
  </si>
  <si>
    <t>Piazzale della Cooperazione 4</t>
  </si>
  <si>
    <t>Piazzale della Cooperazione 4;;47122;ForlÃ¬ (CESENA);Emilia - Romagna</t>
  </si>
  <si>
    <t>IT0402</t>
  </si>
  <si>
    <t>Tiare Shopping</t>
  </si>
  <si>
    <t>Gorizia (GO)</t>
  </si>
  <si>
    <t>LocalitÃ  Maranuz 2</t>
  </si>
  <si>
    <t>LocalitÃ  Maranuz 2;;34070;Villesse (GORIZIA);FriÃ¹li - Venezia Giulia</t>
  </si>
  <si>
    <t>IT0403</t>
  </si>
  <si>
    <t>Centro Commerciale MaxiMall</t>
  </si>
  <si>
    <t>Salerno (SA)</t>
  </si>
  <si>
    <t>Via Antonio Pacinotti</t>
  </si>
  <si>
    <t>Via Antonio Pacinotti;;84098;Pontecagnano Faiano (SALERNO);Campania</t>
  </si>
  <si>
    <t>IT0405</t>
  </si>
  <si>
    <t>via toledo 343</t>
  </si>
  <si>
    <t>Napoli (NA)</t>
  </si>
  <si>
    <t>via toledo 343;;80134;Napoli (NAPOLI);Campania</t>
  </si>
  <si>
    <t>IT0410</t>
  </si>
  <si>
    <t>Castel Romano Shopping Village</t>
  </si>
  <si>
    <t>Via Ponte di Piscina Cupa snc</t>
  </si>
  <si>
    <t>Via Ponte di Piscina Cupa snc;;00128;Roma (ROMA);Lazio</t>
  </si>
  <si>
    <t>IT0411</t>
  </si>
  <si>
    <t>Centro Commerciale Panorama Villorba</t>
  </si>
  <si>
    <t>Treviso (TV)</t>
  </si>
  <si>
    <t>Via della Cartiera 5</t>
  </si>
  <si>
    <t>Via della Cartiera 5;;31020;Villorba (TREVISO);Veneto</t>
  </si>
  <si>
    <t>IT0412</t>
  </si>
  <si>
    <t>Le Due Torri Shopping Center</t>
  </si>
  <si>
    <t>Via Guzzanica 62/64</t>
  </si>
  <si>
    <t>Via Guzzanica 62/64;;24040;Stezzano;Lombardia</t>
  </si>
  <si>
    <t>IT0413</t>
  </si>
  <si>
    <t>Via Emilia 86</t>
  </si>
  <si>
    <t>Reggio Emilia (RE)</t>
  </si>
  <si>
    <t>Via Emilia 86;;42121;Reggio Emilia (REGGIO EMILIA);Emilia - Romagna</t>
  </si>
  <si>
    <t>IT0414</t>
  </si>
  <si>
    <t>Centro Commerciale Ibleo</t>
  </si>
  <si>
    <t>Ragusa (RG)</t>
  </si>
  <si>
    <t>Viale delle Americhe 52</t>
  </si>
  <si>
    <t>Viale delle Americhe 52;;97100;Ragusa (RAGUSA);Sicilia</t>
  </si>
  <si>
    <t>IT0416</t>
  </si>
  <si>
    <t>Centro Commerciale La Fortezza</t>
  </si>
  <si>
    <t>Modica (RG)</t>
  </si>
  <si>
    <t>Via Nazionale Modica Ispica Contrada Michelica</t>
  </si>
  <si>
    <t>Via Nazionale Modica Ispica Contrada Michelica;;97015;Modica (RAGUSA);Sicilia</t>
  </si>
  <si>
    <t>IT0418</t>
  </si>
  <si>
    <t>Area 12 Shopping Center</t>
  </si>
  <si>
    <t>Torino (TO)</t>
  </si>
  <si>
    <t>Strada Altessano 141</t>
  </si>
  <si>
    <t>Strada Altessano 141;;10100;Torino (TORINO);Piemonte</t>
  </si>
  <si>
    <t>IT0419</t>
  </si>
  <si>
    <t>Centro Commerciale Le Vele</t>
  </si>
  <si>
    <t>Desenzano del Garda</t>
  </si>
  <si>
    <t>Via G.Marconi</t>
  </si>
  <si>
    <t>Via G.Marconi;;25015;Desenzano Del Garda;Lombardia</t>
  </si>
  <si>
    <t>IT0420</t>
  </si>
  <si>
    <t>Centro Commerciale Sarca</t>
  </si>
  <si>
    <t>Via Milanese snc</t>
  </si>
  <si>
    <t>Via Milanese snc;;20099;Sesto San Giovanni (MI);Lombardia</t>
  </si>
  <si>
    <t>IT0421</t>
  </si>
  <si>
    <t>Centro Commerciale Collestrada</t>
  </si>
  <si>
    <t>Perugia (PG)</t>
  </si>
  <si>
    <t>Via della Valtiera 181 LocalitÃ  Collestrada</t>
  </si>
  <si>
    <t>Umbria</t>
  </si>
  <si>
    <t>Via della Valtiera 181 LocalitÃ  Collestrada;;06080;Perugia (PERUGIA);Umbria</t>
  </si>
  <si>
    <t>IT0422</t>
  </si>
  <si>
    <t>Montedoro Shopping Center</t>
  </si>
  <si>
    <t>09:00-14:00</t>
  </si>
  <si>
    <t>Via Flavia di Stramare 119</t>
  </si>
  <si>
    <t>Via Flavia di Stramare 119;;34015;Muggia (TRIESTE);FriÃ¹li - Venezia Giulia</t>
  </si>
  <si>
    <t>IT0423</t>
  </si>
  <si>
    <t>La Posta</t>
  </si>
  <si>
    <t>Modena (MO)</t>
  </si>
  <si>
    <t>Via Emilia 86;;41121;Modena (MODENA);Emilia - Romagna</t>
  </si>
  <si>
    <t>IT0424</t>
  </si>
  <si>
    <t>Centro Commerciale Palladio</t>
  </si>
  <si>
    <t>Vicenza (VI)</t>
  </si>
  <si>
    <t>SS Padana Superiore verso Padova 60</t>
  </si>
  <si>
    <t>SS Padana Superiore verso Padova 60;;36100;Vicenza (VICENZA);Veneto</t>
  </si>
  <si>
    <t>IT0426</t>
  </si>
  <si>
    <t>Centro Commerciale Montecatini</t>
  </si>
  <si>
    <t>Montecatini</t>
  </si>
  <si>
    <t>Via Biscolla 46</t>
  </si>
  <si>
    <t>Centro Commerciale Montecatini;Via Biscolla 46;51010;Massa e Cozzile (PISTOIA);Toscana</t>
  </si>
  <si>
    <t>IT0430</t>
  </si>
  <si>
    <t>Centro Commerciale Grotte Center</t>
  </si>
  <si>
    <t>Ancona</t>
  </si>
  <si>
    <t>Via del Campo d'Aviazione</t>
  </si>
  <si>
    <t>Via del Campo d'Aviazione;;60021;Camerano (ANCONA);Marche</t>
  </si>
  <si>
    <t>IT0432</t>
  </si>
  <si>
    <t>Corso palestro</t>
  </si>
  <si>
    <t>Brescia (BS)</t>
  </si>
  <si>
    <t>11:00-19:30</t>
  </si>
  <si>
    <t>Corso palestro;;25121;Brescia;Lombardia</t>
  </si>
  <si>
    <t>IT0433</t>
  </si>
  <si>
    <t>Corso del Popolo 25</t>
  </si>
  <si>
    <t>Corso del Popolo 25;;34100;Treviso;Veneto</t>
  </si>
  <si>
    <t>IT0434</t>
  </si>
  <si>
    <t>Via Oss Mazzurana 57</t>
  </si>
  <si>
    <t>Trento (TN)</t>
  </si>
  <si>
    <t>Via Oss Mazzurana 57;;38122;Trento (TRENTO);Trentino - Alto Adige</t>
  </si>
  <si>
    <t>IT0435</t>
  </si>
  <si>
    <t>Centro Commerciale Le Vigne</t>
  </si>
  <si>
    <t>Agrigento</t>
  </si>
  <si>
    <t>14:00-20:30</t>
  </si>
  <si>
    <t>Strada Statale 640 km 29 uscita Racalmuto</t>
  </si>
  <si>
    <t>Strada Statale 640 km 29 uscita Racalmuto;;92020;Castrofilippo (AGRIGENTO);Sicilia</t>
  </si>
  <si>
    <t>IT0436</t>
  </si>
  <si>
    <t>Centro Commerciale La Fattoria</t>
  </si>
  <si>
    <t>Rovigo (RO)</t>
  </si>
  <si>
    <t>SS 16 LocalitÃ  Borsea</t>
  </si>
  <si>
    <t>SS 16 LocalitÃ  Borsea;;45100;Rovigo (ROVIGO);Veneto</t>
  </si>
  <si>
    <t>IT0437</t>
  </si>
  <si>
    <t>Pradamano Shopping Centre</t>
  </si>
  <si>
    <t>SR 56 Via Nazionale 108</t>
  </si>
  <si>
    <t>SR 56 Via Nazionale 108;;33040;Pradamano (UDINE);FriÃ¹li - Venezia Giulia</t>
  </si>
  <si>
    <t>IT0438</t>
  </si>
  <si>
    <t>Centro Commerciale Happio</t>
  </si>
  <si>
    <t>Via Appia Nuova 448</t>
  </si>
  <si>
    <t>Via Appia Nuova 448;;00181;Roma (ROMA);Lazio</t>
  </si>
  <si>
    <t>IT0440</t>
  </si>
  <si>
    <t>Corso Nizza 6</t>
  </si>
  <si>
    <t>Cuneo</t>
  </si>
  <si>
    <t>Corso Nizza 6;;12100;Cuneo (CUNEO);Piemonte</t>
  </si>
  <si>
    <t>IT0441</t>
  </si>
  <si>
    <t>Centro Commerciale Cospea</t>
  </si>
  <si>
    <t>Terni</t>
  </si>
  <si>
    <t>Via Montefiorino 12</t>
  </si>
  <si>
    <t>Via Montefiorino 12;;05100;Terni (TERNI);Umbria</t>
  </si>
  <si>
    <t>IT0442</t>
  </si>
  <si>
    <t>Quasar Village</t>
  </si>
  <si>
    <t>Via Aldo Capitini 8</t>
  </si>
  <si>
    <t>Via Aldo Capitini 8;Via Aldo Capitini 8;06073;Corciano (PERUGIA);Umbria</t>
  </si>
  <si>
    <t>IT0443</t>
  </si>
  <si>
    <t>Centro Commerciale L'Aquilone</t>
  </si>
  <si>
    <t>L'Aquila</t>
  </si>
  <si>
    <t>LocalitÃ  Campo di Pile</t>
  </si>
  <si>
    <t>LocalitÃ  Campo di Pile;;67100;L'Aquila (L'AQUILA);Abruzzo</t>
  </si>
  <si>
    <t>IT0444</t>
  </si>
  <si>
    <t>Piazza Duomo 25</t>
  </si>
  <si>
    <t>10:15-21:00</t>
  </si>
  <si>
    <t>Piazza Duomo 25;;20121;Milano;Lombardia</t>
  </si>
  <si>
    <t>IT0447</t>
  </si>
  <si>
    <t>Centro Commerciale Mongolfiera Lecce</t>
  </si>
  <si>
    <t>Lecce (LE)</t>
  </si>
  <si>
    <t>09:00-21:30</t>
  </si>
  <si>
    <t>Strada Statale Lecce Brindisi km 1900</t>
  </si>
  <si>
    <t>Strada Statale Lecce Brindisi km 1900;;73010;Surbo (LECCE);Puglia</t>
  </si>
  <si>
    <t>IT0448</t>
  </si>
  <si>
    <t>Antegnate, Via del commercio 3</t>
  </si>
  <si>
    <t>Antegnate, Via del commercio 3;;24051;Antegnate (BG);Lombardia</t>
  </si>
  <si>
    <t>IT0450</t>
  </si>
  <si>
    <t>Corso Italia 61</t>
  </si>
  <si>
    <t>Pisa (PI)</t>
  </si>
  <si>
    <t>Corso Italia 61;;56125;Pisa (PISA);Toscana</t>
  </si>
  <si>
    <t>IT0453</t>
  </si>
  <si>
    <t>Romagna Shopping Valley</t>
  </si>
  <si>
    <t>Piazza Colombo 3</t>
  </si>
  <si>
    <t>Piazza Colombo 3;;47039;Savignano sul Rubicone (FORLÃŒ);Emilia - Romagna</t>
  </si>
  <si>
    <t>IT0454</t>
  </si>
  <si>
    <t>Centro Commerciale La Torre</t>
  </si>
  <si>
    <t>Viale Michelangelo</t>
  </si>
  <si>
    <t>Viale Michelangelo;;90135;Palermo (PALERMO);Sicilia</t>
  </si>
  <si>
    <t>IT0455</t>
  </si>
  <si>
    <t>Centro Commerciale Le Porte di Napoli</t>
  </si>
  <si>
    <t>Via Santa Maria La Nova 1</t>
  </si>
  <si>
    <t>Via Santa Maria La Nova 1;;80021;Afragola (NAPOLI);Campania</t>
  </si>
  <si>
    <t>IT0457</t>
  </si>
  <si>
    <t>Via Tuscolana 785</t>
  </si>
  <si>
    <t>Via Tuscolana 785;;00174;Roma (ROMA);Lazio</t>
  </si>
  <si>
    <t>IT0459</t>
  </si>
  <si>
    <t>Centro Commerciale Cuore Adriatico</t>
  </si>
  <si>
    <t>Civitanova Marche</t>
  </si>
  <si>
    <t>Via San Costantino 98</t>
  </si>
  <si>
    <t>Via San Costantino 98;;62012;Civitanova Marche (MACERATA);Marche</t>
  </si>
  <si>
    <t>IT0460</t>
  </si>
  <si>
    <t>Centro Commerciale Mongolfiera Andria</t>
  </si>
  <si>
    <t>Andria</t>
  </si>
  <si>
    <t>Strada Statale 170 angolo tangenziale per Trani</t>
  </si>
  <si>
    <t>Strada Statale 170 angolo tangenziale per Trani;;70031;Andria (BARI);Puglia</t>
  </si>
  <si>
    <t>IT0461</t>
  </si>
  <si>
    <t>Centro Commerciale Centrum</t>
  </si>
  <si>
    <t>Via Galvani 3</t>
  </si>
  <si>
    <t>Via Galvani 3;;39100;Bolzano (BOLZANO);Trentino - Alto Adige</t>
  </si>
  <si>
    <t>IT0463</t>
  </si>
  <si>
    <t>Viale San Martino 175</t>
  </si>
  <si>
    <t>Messina (ME)</t>
  </si>
  <si>
    <t>Viale San Martino 175;;98123;Messina (MESSINA);Sicilia</t>
  </si>
  <si>
    <t>IT0464</t>
  </si>
  <si>
    <t>Via Roma, 55</t>
  </si>
  <si>
    <t>Lecco</t>
  </si>
  <si>
    <t>Via Roma, 55;;23900;Lecco (LC);Lombardia</t>
  </si>
  <si>
    <t>IT0467</t>
  </si>
  <si>
    <t>Corso Cavour 4</t>
  </si>
  <si>
    <t>Novara (NO)</t>
  </si>
  <si>
    <t>Corso Cavour 4;;28100;Novara (NOVARA);Piemonte</t>
  </si>
  <si>
    <t>IT0468</t>
  </si>
  <si>
    <t>Corso Vercelli 8</t>
  </si>
  <si>
    <t>Corso Vercelli 8;;20144;Milano (MI);Lombardia</t>
  </si>
  <si>
    <t>IT0470</t>
  </si>
  <si>
    <t>CC Il Centro</t>
  </si>
  <si>
    <t>Via Eugenio Luraghi 11</t>
  </si>
  <si>
    <t>Via Eugenio Luraghi 11;;20020;Arese (MI);Lombardia</t>
  </si>
  <si>
    <t>IT0473</t>
  </si>
  <si>
    <t>Centro Commerciale CittÃ  delle Stelle</t>
  </si>
  <si>
    <t>Ascoli Piceno</t>
  </si>
  <si>
    <t>Viale Mutilati ed Invalidi del Lavoro 106</t>
  </si>
  <si>
    <t>Viale Mutilati ed Invalidi del Lavoro 106;;63100;Ascoli Piceno (ASCOLI PICENO);Marche</t>
  </si>
  <si>
    <t>IT0474</t>
  </si>
  <si>
    <t>Via Etnea 202</t>
  </si>
  <si>
    <t>Catania (CT)</t>
  </si>
  <si>
    <t>Via Etnea 202;;95131;Catania (CATANIA);Sicilia</t>
  </si>
  <si>
    <t>IT0475</t>
  </si>
  <si>
    <t>Centro Commerciale La Romanina</t>
  </si>
  <si>
    <t>Via Enrico Ferri 8</t>
  </si>
  <si>
    <t>Via Enrico Ferri 8;;00173;Roma (ROMA);Lazio</t>
  </si>
  <si>
    <t>IT0476</t>
  </si>
  <si>
    <t>Centro dei Borghi</t>
  </si>
  <si>
    <t>Via del Fosso Vecchio 459</t>
  </si>
  <si>
    <t>Via del Fosso Vecchio 459;;56023;Cascina (PISA);Toscana</t>
  </si>
  <si>
    <t>IT0478</t>
  </si>
  <si>
    <t>Centro Commerciale Vibo Center</t>
  </si>
  <si>
    <t>Vibo Valenzia</t>
  </si>
  <si>
    <t>SS 18 Zona Aeroporto</t>
  </si>
  <si>
    <t>SS 18 Zona Aeroporto;SS 18 Zona Aeroporto;89100;Vibo Valentia (VIBO VALENTIA);Calabria</t>
  </si>
  <si>
    <t>IT0482</t>
  </si>
  <si>
    <t>Parco Commerciale Casamassima</t>
  </si>
  <si>
    <t>Via Noicattaro 2</t>
  </si>
  <si>
    <t>Via Noicattaro 2;;70100;Casamassima (BARI);Puglia</t>
  </si>
  <si>
    <t>IT0484</t>
  </si>
  <si>
    <t>Centro Commerciale Centro del Molise</t>
  </si>
  <si>
    <t>Campobasso</t>
  </si>
  <si>
    <t>Via Colle delle Api 20</t>
  </si>
  <si>
    <t>Molise</t>
  </si>
  <si>
    <t>Via Colle delle Api 20;;86100;Campobasso (CAMPOBASSO);Molise</t>
  </si>
  <si>
    <t>IT0485</t>
  </si>
  <si>
    <t>Via XX Settembre 67</t>
  </si>
  <si>
    <t>Piacenza (PC)</t>
  </si>
  <si>
    <t>Via XX Settembre 67;;29121;Piacenza (PIACENZA);Emilia - Romagna</t>
  </si>
  <si>
    <t>IT0487</t>
  </si>
  <si>
    <t>Via Carlo Pedrotti</t>
  </si>
  <si>
    <t>Pesaro</t>
  </si>
  <si>
    <t>Via Carlo Pedrotti;;61121;Pesaro (PESARO E URBINO);Marche</t>
  </si>
  <si>
    <t>IT0490</t>
  </si>
  <si>
    <t>Parco Commerciale Levante</t>
  </si>
  <si>
    <t>Via delle Pleiadi;;57120;Livorno (LIVORNO);Toscana</t>
  </si>
  <si>
    <t>IT0492</t>
  </si>
  <si>
    <t>Centro Commerciale Grandapulia</t>
  </si>
  <si>
    <t>Foggia (FG)</t>
  </si>
  <si>
    <t>Strada Provinciale 76 Km 2, 71122 Foggia FG</t>
  </si>
  <si>
    <t>Strada Provinciale 76 Km 2, 71122 Foggia FG;;71121;Foggia (FOGGIA);Puglia</t>
  </si>
  <si>
    <t>IT0493</t>
  </si>
  <si>
    <t>CC Mondojuve</t>
  </si>
  <si>
    <t>Strada Provinciale 143</t>
  </si>
  <si>
    <t>Strada Provinciale 143;;10042;Nichelino (TORINO);Piemonte</t>
  </si>
  <si>
    <t>IT0494</t>
  </si>
  <si>
    <t>Centro Commerciale ESP</t>
  </si>
  <si>
    <t>Ravenna</t>
  </si>
  <si>
    <t>Via Marco Bussato 74</t>
  </si>
  <si>
    <t>Via Marco Bussato 74;;48124;Ravenna (RAVENNA);Emilia - Romagna</t>
  </si>
  <si>
    <t>IT0495</t>
  </si>
  <si>
    <t>Via Giacomo Matteotti 40</t>
  </si>
  <si>
    <t>Viterbo</t>
  </si>
  <si>
    <t>Via Giacomo Matteotti 40;;01100;Viterbo (VITERBO);Lazio</t>
  </si>
  <si>
    <t>IT0496</t>
  </si>
  <si>
    <t>Centro Commerciale Le Cotoniere</t>
  </si>
  <si>
    <t>Via dei Greci 5</t>
  </si>
  <si>
    <t>Via dei Greci 5;;84135;Fratte (SALERNO);Campania</t>
  </si>
  <si>
    <t>IT0499</t>
  </si>
  <si>
    <t>Via d'Antona e Biagi 9 Roncadelle (BS)</t>
  </si>
  <si>
    <t>Via d'Antona e Biagi 9 Roncadelle (BS);;25030;Roncadelle (BS);Lombardia</t>
  </si>
  <si>
    <t>IT0500</t>
  </si>
  <si>
    <t>Il Palazzo</t>
  </si>
  <si>
    <t>Via del Corso 422</t>
  </si>
  <si>
    <t>Via del Corso 422;;00186;Roma (ROMA);Lazio</t>
  </si>
  <si>
    <t>IT0501</t>
  </si>
  <si>
    <t>Corso Buenos Aires 8</t>
  </si>
  <si>
    <t>Corso Buenos Aires 8;;20124;Milano (MI);Lombardia</t>
  </si>
  <si>
    <t>IT0502</t>
  </si>
  <si>
    <t>Corso Giuseppe Garibaldi 107</t>
  </si>
  <si>
    <t>Corso Giuseppe Garibaldi 107;;60121;Ancona (ANCONA);Marche</t>
  </si>
  <si>
    <t>IT0505</t>
  </si>
  <si>
    <t>Centro Commerciale Azzurro</t>
  </si>
  <si>
    <t>Via Cupa Nuova Cintia 249/251</t>
  </si>
  <si>
    <t>Via Cupa Nuova Cintia 249/251;;80126;Napoli (NAPOLI);Campania</t>
  </si>
  <si>
    <t>IT0510</t>
  </si>
  <si>
    <t>Centro Commerciale Etnapolis</t>
  </si>
  <si>
    <t>Contrada Valcorrente 23</t>
  </si>
  <si>
    <t>Contrada Valcorrente 23;;95032;Belpasso (CATANIA);Sicilia</t>
  </si>
  <si>
    <t>IT0512</t>
  </si>
  <si>
    <t>Centro Arezzo</t>
  </si>
  <si>
    <t>Arezzo (AR)</t>
  </si>
  <si>
    <t>Via Giovanni Amendola 13</t>
  </si>
  <si>
    <t>Via Giovanni Amendola 13;;52100;Arezzo (AREZZO);Toscana</t>
  </si>
  <si>
    <t>IT0515</t>
  </si>
  <si>
    <t>Centro Commerciale La Birreria</t>
  </si>
  <si>
    <t>Piazza Madonna dell'Arco 12</t>
  </si>
  <si>
    <t>Piazza Madonna dell'Arco 12;;80144;Campania</t>
  </si>
  <si>
    <t>IT0516</t>
  </si>
  <si>
    <t>Centro Commerciale Costaverde</t>
  </si>
  <si>
    <t>Montenero di Bisaccia</t>
  </si>
  <si>
    <t>Strada Statale 16 Contrada Padula</t>
  </si>
  <si>
    <t>Strada Statale 16 Contrada Padula;Strada Statale 16 Contrada Padula;86036;Montenero di Bisaccia (CAMPOBASSO);Molise</t>
  </si>
  <si>
    <t>IT0517</t>
  </si>
  <si>
    <t>CC Il Ducale</t>
  </si>
  <si>
    <t>Vigevano</t>
  </si>
  <si>
    <t>Viale Industria 225</t>
  </si>
  <si>
    <t>Viale Industria 225;;27029;Vigevano (PV);Lombardia</t>
  </si>
  <si>
    <t>IT0518</t>
  </si>
  <si>
    <t>Centro Commerciale Le Ginestre</t>
  </si>
  <si>
    <t>Volla</t>
  </si>
  <si>
    <t>Via Michelangelo</t>
  </si>
  <si>
    <t>Via Michelangelo;;80040;Volla (NAPOLI);Campania</t>
  </si>
  <si>
    <t>IT0520</t>
  </si>
  <si>
    <t>CC Le Due Valli</t>
  </si>
  <si>
    <t>Via Cascina Vastameglio</t>
  </si>
  <si>
    <t>Via Cascina Vastameglio;;10064;Pinerolo (TORINO);Piemonte</t>
  </si>
  <si>
    <t>IT0522</t>
  </si>
  <si>
    <t>Centro Commerciale Adigeo</t>
  </si>
  <si>
    <t>Via Copernico</t>
  </si>
  <si>
    <t>Via Copernico;;37135;Verona (VR);Veneto</t>
  </si>
  <si>
    <t>IT0524</t>
  </si>
  <si>
    <t>Via Italia, 8</t>
  </si>
  <si>
    <t>Monza</t>
  </si>
  <si>
    <t>Via Italia, 8;Monza;20900;Lombardia</t>
  </si>
  <si>
    <t>IT0525</t>
  </si>
  <si>
    <t>Viale di Valle Aurelia 30</t>
  </si>
  <si>
    <t>Viale di Valle Aurelia 30;;00167;Roma;Lazio</t>
  </si>
  <si>
    <t>IT0526</t>
  </si>
  <si>
    <t>Centro Commerciale GranRoma</t>
  </si>
  <si>
    <t>Via Aristide Merloni 141</t>
  </si>
  <si>
    <t>Via Aristide Merloni 141;;00155;Lazio</t>
  </si>
  <si>
    <t>IT0528</t>
  </si>
  <si>
    <t>Via Roma 315</t>
  </si>
  <si>
    <t>Via Roma 315;;10121;Torino;Piemonte</t>
  </si>
  <si>
    <t>IT0530</t>
  </si>
  <si>
    <t>Centro Commerciale Porte di Sassari</t>
  </si>
  <si>
    <t>Sassari</t>
  </si>
  <si>
    <t>Viale Porto Torres</t>
  </si>
  <si>
    <t>Sardegna</t>
  </si>
  <si>
    <t>Viale Porto Torres;;07100;Sassari;Sardegna</t>
  </si>
  <si>
    <t>IT0542</t>
  </si>
  <si>
    <t>Piazzale Commercio, 1, Borgo Virgilio (MN)</t>
  </si>
  <si>
    <t>Mantova (MN)</t>
  </si>
  <si>
    <t>Piazzale Commercio, 1, Borgo Virgilio (MN);;46034;Mantova (MN);Lombardia</t>
  </si>
  <si>
    <t>IT0545</t>
  </si>
  <si>
    <t>centra gavinana</t>
  </si>
  <si>
    <t>08:30-13:30</t>
  </si>
  <si>
    <t>Via Erbosa, 66/B/C Firenze</t>
  </si>
  <si>
    <t>Via Erbosa, 66/B/C Firenze;;50126;Firenze;Toscana</t>
  </si>
  <si>
    <t>IT0548</t>
  </si>
  <si>
    <t>Centro Commerciale Cremona Po</t>
  </si>
  <si>
    <t>Cremona (CR)</t>
  </si>
  <si>
    <t>Via Castelleone, 108</t>
  </si>
  <si>
    <t>Via Castelleone, 108;;26100;Cremona (CR);Lombardia</t>
  </si>
  <si>
    <t>IT0549</t>
  </si>
  <si>
    <t>Gran Shopping Granfiume</t>
  </si>
  <si>
    <t>Pordenone (PN)</t>
  </si>
  <si>
    <t>Via Maestri del Lavoro, 42</t>
  </si>
  <si>
    <t>Via Maestri del Lavoro, 42;;33080;Pordenone (PN);FriÃ¹li - Venezia Giulia</t>
  </si>
  <si>
    <t>IT0556</t>
  </si>
  <si>
    <t>Corso Guglielmo Marconi, 42/44</t>
  </si>
  <si>
    <t>Gravellona Toce</t>
  </si>
  <si>
    <t>Corso Guglielmo Marconi, 42/44;;28883;Gravellona Toce;Piemonte</t>
  </si>
  <si>
    <t>IT0557</t>
  </si>
  <si>
    <t>CC Nuovoborgo</t>
  </si>
  <si>
    <t>Asti</t>
  </si>
  <si>
    <t>Corso Casale 319</t>
  </si>
  <si>
    <t>Corso Casale 319;;14100;Asti;Piemonte</t>
  </si>
  <si>
    <t>IT0560</t>
  </si>
  <si>
    <t>Loc. More Corraxe km 10+800, Sestu (CA)</t>
  </si>
  <si>
    <t>Cagliari (CA)</t>
  </si>
  <si>
    <t>Loc. More Corraxe km 10+800, Sestu (CA);;09028;Cagliari (CA);Sardegna</t>
  </si>
  <si>
    <t>IT0562</t>
  </si>
  <si>
    <t>Centro Commerciale I Sanniti</t>
  </si>
  <si>
    <t>Benevento</t>
  </si>
  <si>
    <t>Via dei Longobardi, 24 Benevento</t>
  </si>
  <si>
    <t>Via dei Longobardi, 24 Benevento;;82100;Via dei Longobardi, 24 Benevento;Campania</t>
  </si>
  <si>
    <t>IT0564</t>
  </si>
  <si>
    <t>Serravalle Retail Park</t>
  </si>
  <si>
    <t>Serravalle</t>
  </si>
  <si>
    <t>Via Novi, 39 Serravalle Scrivia (AL)</t>
  </si>
  <si>
    <t>Via Novi, 39 Serravalle Scrivia (AL);;15069;Piemonte</t>
  </si>
  <si>
    <t>IT0565</t>
  </si>
  <si>
    <t>Valecenter</t>
  </si>
  <si>
    <t>Marcon (VE)</t>
  </si>
  <si>
    <t>Via E. Mattei 1/C</t>
  </si>
  <si>
    <t>Via E. Mattei 1/C;;30020;Marcon (VE);Veneto</t>
  </si>
  <si>
    <t>IT0569</t>
  </si>
  <si>
    <t>Centro Commerciale Piazza Portello</t>
  </si>
  <si>
    <t>Via Grosotto 7 Milano</t>
  </si>
  <si>
    <t>Via Grosotto 7 Milano;;20149;Lombardia</t>
  </si>
  <si>
    <t>IT0574</t>
  </si>
  <si>
    <t>Centro Commerciale Porte dell'Adige</t>
  </si>
  <si>
    <t>Bussolengo (VR)</t>
  </si>
  <si>
    <t>Strada Statale, LocalitÃ  Ferlina, 11</t>
  </si>
  <si>
    <t>Strada Statale, LocalitÃ  Ferlina, 11;;37012;Veneto</t>
  </si>
  <si>
    <t>IT0582</t>
  </si>
  <si>
    <t>Centro Commerciale Centro Sicilia</t>
  </si>
  <si>
    <t>SP54, Misterbianco CT</t>
  </si>
  <si>
    <t>SP54, Misterbianco CT;;95045;Sicilia</t>
  </si>
  <si>
    <t>IT0583</t>
  </si>
  <si>
    <t>Centro Commerciale Archimede</t>
  </si>
  <si>
    <t>Siracusa (SR)</t>
  </si>
  <si>
    <t>Via Necropoli del Fusco</t>
  </si>
  <si>
    <t>Via Necropoli del Fusco;;96100;Siracusa;Sicilia</t>
  </si>
  <si>
    <t>IT0585</t>
  </si>
  <si>
    <t>Centro Commerciale Fiordaliso</t>
  </si>
  <si>
    <t>Via Curiel, 25 Rozzano (MI)</t>
  </si>
  <si>
    <t>Via Curiel, 25 Rozzano (MI);;20089;Lombardia</t>
  </si>
  <si>
    <t>JO0614</t>
  </si>
  <si>
    <t>City Mall</t>
  </si>
  <si>
    <t>Amman</t>
  </si>
  <si>
    <t>Jordan</t>
  </si>
  <si>
    <t>JO</t>
  </si>
  <si>
    <t>12:00-22:00</t>
  </si>
  <si>
    <t>Macca Street, King Abdulla Street</t>
  </si>
  <si>
    <t>City Mall;Macca Street, King Abdulla Street;12;840021</t>
  </si>
  <si>
    <t>JO0955</t>
  </si>
  <si>
    <t>Al Taj Mall</t>
  </si>
  <si>
    <t>13:00-22:00</t>
  </si>
  <si>
    <t>Prince HASHIM BIN ALHASSN</t>
  </si>
  <si>
    <t>Al Taj Mall;Prince HASHIM BIN ALHASSN;Amman;Amman</t>
  </si>
  <si>
    <t>JO0956</t>
  </si>
  <si>
    <t>Abdali</t>
  </si>
  <si>
    <t>14:00-22:00</t>
  </si>
  <si>
    <t>Abdali;Amman;+962 6</t>
  </si>
  <si>
    <t>JO0980</t>
  </si>
  <si>
    <t>Irbid City Centre</t>
  </si>
  <si>
    <t>Irbid</t>
  </si>
  <si>
    <t>Irbid, Jordan</t>
  </si>
  <si>
    <t>Irbid City Centre;Irbid, Jordan;x</t>
  </si>
  <si>
    <t>JP0301</t>
  </si>
  <si>
    <t>H&amp;M HARAJUKU</t>
  </si>
  <si>
    <t>Tokyo</t>
  </si>
  <si>
    <t>Japan</t>
  </si>
  <si>
    <t>JP</t>
  </si>
  <si>
    <t>1-8-10 Jingumae Shibuya-ku, Tokyo</t>
  </si>
  <si>
    <t>1-8-10 Jingumae Shibuya-ku, Tokyo;;150-0001;Tokyo</t>
  </si>
  <si>
    <t>JP0303</t>
  </si>
  <si>
    <t>H&amp;M SHIBUYA</t>
  </si>
  <si>
    <t>Shibuya Flag,33-6 Udagawa-cho Shibuya, Tokyo</t>
  </si>
  <si>
    <t>Shibuya Flag,33-6 Udagawa-cho Shibuya, Tokyo;;150-0042;Tokyo</t>
  </si>
  <si>
    <t>JP0304</t>
  </si>
  <si>
    <t>H&amp;M SHINJUKU</t>
  </si>
  <si>
    <t>3-5-4 Shinjuku Shinjuku Ku, Tokyo</t>
  </si>
  <si>
    <t>3-5-4 Shinjuku Shinjuku Ku, Tokyo;;160-0022;Tokyo</t>
  </si>
  <si>
    <t>JP0306</t>
  </si>
  <si>
    <t>H&amp;M Landmark Plaza Yokohama</t>
  </si>
  <si>
    <t>Yokohama</t>
  </si>
  <si>
    <t>2-2-1 MinatoMirai Nishi-ku Yokohama-shi, Kanagawa</t>
  </si>
  <si>
    <t>2-2-1 MinatoMirai Nishi-ku Yokohama-shi, Kanagawa;;220-8172;Kanagawa</t>
  </si>
  <si>
    <t>JP0307</t>
  </si>
  <si>
    <t>H&amp;M LaLaPort Shinmisato</t>
  </si>
  <si>
    <t>Saitama</t>
  </si>
  <si>
    <t>3-1 LaLa City ShinMisato, Misato-City, Saitama</t>
  </si>
  <si>
    <t>3-1 LaLa City ShinMisato, Misato-City, Saitama;;220-8172;Saitama</t>
  </si>
  <si>
    <t>JP0309</t>
  </si>
  <si>
    <t>H&amp;M AEON MALL MUSASHIMURAYAMA</t>
  </si>
  <si>
    <t>1-1-3 Enoki Musashimurayama-shi, Tokyo</t>
  </si>
  <si>
    <t>1-1-3 Enoki Musashimurayama-shi, Tokyo;;208-0022;Tokyo</t>
  </si>
  <si>
    <t>JP0310</t>
  </si>
  <si>
    <t>H&amp;M LaLaport Yokohama</t>
  </si>
  <si>
    <t>4035-1 Ikebecho Tsuzuki-ku Yokohama-shi, Kanagawa</t>
  </si>
  <si>
    <t>4035-1 Ikebecho Tsuzuki-ku Yokohama-shi, Kanagawa;;224-0053;Kanagawa-ken</t>
  </si>
  <si>
    <t>JP0311</t>
  </si>
  <si>
    <t>Futako Tamagawa RISE Shopping Center</t>
  </si>
  <si>
    <t>2-21-1, Tamagawa, Setagaya-ku, Tokyo</t>
  </si>
  <si>
    <t>2-21-1, Tamagawa, Setagaya-ku, Tokyo;;ã€’158-0094;Tokyo</t>
  </si>
  <si>
    <t>JP0312</t>
  </si>
  <si>
    <t>H&amp;M Lalaport TOKYO-BAY</t>
  </si>
  <si>
    <t>Chiba</t>
  </si>
  <si>
    <t>Hamacho 2-1-1 Funabashi-shi, Chiba</t>
  </si>
  <si>
    <t>Hamacho 2-1-1 Funabashi-shi, Chiba;;273-8530;Chiba</t>
  </si>
  <si>
    <t>JP0313</t>
  </si>
  <si>
    <t>H&amp;M Lalaport Koshien</t>
  </si>
  <si>
    <t>Hyogo</t>
  </si>
  <si>
    <t>1-100, Koshien Hachiban-cho, Nishinomiya-shi, Hyogo</t>
  </si>
  <si>
    <t>1-100, Koshien Hachiban-cho, Nishinomiya-shi, Hyogo;;663-8178;Hyogo</t>
  </si>
  <si>
    <t>JP0314</t>
  </si>
  <si>
    <t>H&amp;M Canal City</t>
  </si>
  <si>
    <t>Fukuoka</t>
  </si>
  <si>
    <t>East Building, 9-2 Gion-machi, Hakata-ku, Fukuoka</t>
  </si>
  <si>
    <t>East Building, 9-2 Gion-machi, Hakata-ku, Fukuoka;;812-0038;Fukuoka</t>
  </si>
  <si>
    <t>JP0316</t>
  </si>
  <si>
    <t>H&amp;M Terrace Mall Shonan</t>
  </si>
  <si>
    <t>Fujisawa</t>
  </si>
  <si>
    <t>1-3-1, Tsujido Kandai, Fujisawa-shi, Kanagawa</t>
  </si>
  <si>
    <t>1-3-1, Tsujido Kandai, Fujisawa-shi, Kanagawa;;251-0041;Kanagawa</t>
  </si>
  <si>
    <t>JP0317</t>
  </si>
  <si>
    <t>H&amp;M Tenjin</t>
  </si>
  <si>
    <t>1-15-1 Daimyo, Chuou-ku, Fukuoka</t>
  </si>
  <si>
    <t>1-15-1 Daimyo, Chuou-ku, Fukuoka;;810-0041;Fukuoka</t>
  </si>
  <si>
    <t>JP0318</t>
  </si>
  <si>
    <t>H&amp;M Ario Kameari</t>
  </si>
  <si>
    <t>3-49-3 Kameari, Katsushika Ku, Tokyo</t>
  </si>
  <si>
    <t>3-49-3 Kameari, Katsushika Ku, Tokyo;;125-0061;Tokyo</t>
  </si>
  <si>
    <t>JP0319</t>
  </si>
  <si>
    <t>H&amp;M Diver City Tokyo Plaza</t>
  </si>
  <si>
    <t>1-1-10 Aomi Koto-ku, Tokyo</t>
  </si>
  <si>
    <t>1-1-10 Aomi Koto-ku, Tokyo;;135-0064;Tokyo</t>
  </si>
  <si>
    <t>JP0320</t>
  </si>
  <si>
    <t>H&amp;M NAGOYA MATSUZAKAYA</t>
  </si>
  <si>
    <t>Nagoya</t>
  </si>
  <si>
    <t>3-16-1 Sakae, Naka Ku, Nagoya Shi, Aichi</t>
  </si>
  <si>
    <t>3-16-1 Sakae, Naka Ku, Nagoya Shi, Aichi;;460-8430;Aichi</t>
  </si>
  <si>
    <t>JP0322</t>
  </si>
  <si>
    <t>H&amp;M Mallera Gifu</t>
  </si>
  <si>
    <t>Gifu</t>
  </si>
  <si>
    <t>1100, Mitsuhashi, Motosu, Gifu</t>
  </si>
  <si>
    <t>1100, Mitsuhashi, Motosu, Gifu;;501-0497;Gifu</t>
  </si>
  <si>
    <t>JP0324</t>
  </si>
  <si>
    <t>H&amp;M Aeonmall Atsuta</t>
  </si>
  <si>
    <t>2-11, Rokuno 1 chou-me, Atsuta, Nagoya, Aichi</t>
  </si>
  <si>
    <t>2-11, Rokuno 1 chou-me, Atsuta, Nagoya, Aichi;;456-8763;Aichi</t>
  </si>
  <si>
    <t>JP0325</t>
  </si>
  <si>
    <t>H&amp;M Aeonmall Mito Uchihara</t>
  </si>
  <si>
    <t>Ibaraki</t>
  </si>
  <si>
    <t>1 Banchi, 2 Chou-me,Uchihara, Mito-shi, Ibaraki</t>
  </si>
  <si>
    <t>1 Banchi, 2 Chou-me,Uchihara, Mito-shi, Ibaraki;;319-0317;Ibaraki</t>
  </si>
  <si>
    <t>JP0326</t>
  </si>
  <si>
    <t>H&amp;M HIROSHIMA</t>
  </si>
  <si>
    <t>Hiroshima</t>
  </si>
  <si>
    <t>7-6 Horikawacho, Naka-ku, Hiroshima, Hiroshima</t>
  </si>
  <si>
    <t>7-6 Horikawacho, Naka-ku, Hiroshima, Hiroshima;;730-0035;Hiroshima</t>
  </si>
  <si>
    <t>JP0327</t>
  </si>
  <si>
    <t>Aeonmall Kasukabe</t>
  </si>
  <si>
    <t>420-1, Shimoyanagi, Kasukabe, Saitama</t>
  </si>
  <si>
    <t>420-1, Shimoyanagi, Kasukabe, Saitama;;344-0122;Saitama</t>
  </si>
  <si>
    <t>JP0328</t>
  </si>
  <si>
    <t>H&amp;M Shinsaibashi</t>
  </si>
  <si>
    <t>Osaka</t>
  </si>
  <si>
    <t>1-9-1, Shinsaibashi-suji, Chuo-ku, Osaka</t>
  </si>
  <si>
    <t>1-9-1, Shinsaibashi-suji, Chuo-ku, Osaka;1-9-1, Shinsaibashi-suji, Chuo-ku, Osaka;542-0085;Osaka</t>
  </si>
  <si>
    <t>JP0329</t>
  </si>
  <si>
    <t>H&amp;M MARK IS Shizuoka</t>
  </si>
  <si>
    <t>Shizuoka</t>
  </si>
  <si>
    <t>191, Yunoki, Aoi-ku, Shizuoka-shi, Shizuoka</t>
  </si>
  <si>
    <t>191, Yunoki, Aoi-ku, Shizuoka-shi, Shizuoka;;420-0821;Shizuoka</t>
  </si>
  <si>
    <t>JP0330</t>
  </si>
  <si>
    <t>Aeonmall Tsukuba</t>
  </si>
  <si>
    <t>Tsukuba</t>
  </si>
  <si>
    <t>66-1 Inaoka, Tsukuba, Ibaraki</t>
  </si>
  <si>
    <t>66-1 Inaoka, Tsukuba, Ibaraki;;305-0071;Ibaraki</t>
  </si>
  <si>
    <t>JP0331</t>
  </si>
  <si>
    <t>H&amp;M KOBE UMIE</t>
  </si>
  <si>
    <t>Kobe</t>
  </si>
  <si>
    <t>7-5, Higashi Kawasaki-Chou, Chuou-Ku, Kobe-Shi, Hyogo</t>
  </si>
  <si>
    <t>7-5, Higashi Kawasaki-Chou, Chuou-Ku, Kobe-Shi, Hyogo;;650-0044;Hyogo</t>
  </si>
  <si>
    <t>JP0332</t>
  </si>
  <si>
    <t>H&amp;M UMEDA</t>
  </si>
  <si>
    <t>1-27 Chayamachi Kita-ku Osaka City, Osaka</t>
  </si>
  <si>
    <t>1-27 Chayamachi Kita-ku Osaka City, Osaka;;530-0013;Osaka</t>
  </si>
  <si>
    <t>JP0333</t>
  </si>
  <si>
    <t>H&amp;M SAPPORO</t>
  </si>
  <si>
    <t>Sapporo</t>
  </si>
  <si>
    <t>Minami 1 Nishi 3 LA GALLERIA Chuo-ku Sapporo, Hokkaido</t>
  </si>
  <si>
    <t>Minami 1 Nishi 3 LA GALLERIA Chuo-ku Sapporo, Hokkaido;;060-0061;Hokkaido</t>
  </si>
  <si>
    <t>JP0334</t>
  </si>
  <si>
    <t>H&amp;M Utsunomiya InterPark</t>
  </si>
  <si>
    <t>Utsunomiya</t>
  </si>
  <si>
    <t>4-2-3 InterPark Utsunomiya Tochigi</t>
  </si>
  <si>
    <t>4-2-3 InterPark Utsunomiya Tochigi;;321-0118;Tochigi</t>
  </si>
  <si>
    <t>JP0335</t>
  </si>
  <si>
    <t>H&amp;M Lovela2</t>
  </si>
  <si>
    <t>Nigata</t>
  </si>
  <si>
    <t>1-4-8 Bandai Chuo-ku Niigata-shi Niigata</t>
  </si>
  <si>
    <t>1-4-8 Bandai Chuo-ku Niigata-shi Niigata;;950-0088;Niigata</t>
  </si>
  <si>
    <t>JP0336</t>
  </si>
  <si>
    <t>H&amp;M Aeonmall Kagoshima</t>
  </si>
  <si>
    <t>Kagoshima</t>
  </si>
  <si>
    <t>7, Tokai-Cho, Kagoshima-Shi</t>
  </si>
  <si>
    <t>7, Tokai-Cho, Kagoshima-Shi;;891-0115;Kagoshima</t>
  </si>
  <si>
    <t>JP0337</t>
  </si>
  <si>
    <t>Aeonmall Okayama</t>
  </si>
  <si>
    <t>Okayama</t>
  </si>
  <si>
    <t>1-2-1 ShimoIshii, Kita-ku Okayama City</t>
  </si>
  <si>
    <t>1-2-1 ShimoIshii, Kita-ku Okayama City;;700-0907;Okayama</t>
  </si>
  <si>
    <t>JP0339</t>
  </si>
  <si>
    <t>H&amp;M Aeonmall Touin</t>
  </si>
  <si>
    <t>Mie</t>
  </si>
  <si>
    <t>510-1, Nagafuke, Touin-Cho, Inabe-Gun, Mie</t>
  </si>
  <si>
    <t>510-1, Nagafuke, Touin-Cho, Inabe-Gun, Mie;;511-0255;Mie</t>
  </si>
  <si>
    <t>JP0340</t>
  </si>
  <si>
    <t>H&amp;M Unimo Chiharadai</t>
  </si>
  <si>
    <t>Ichihara</t>
  </si>
  <si>
    <t>3-4, Chiharadai Nishi, Ichihara, Chiba</t>
  </si>
  <si>
    <t>3-4, Chiharadai Nishi, Ichihara, Chiba;;290-0143;Chiba</t>
  </si>
  <si>
    <t>JP0341</t>
  </si>
  <si>
    <t>H&amp;M HAMAMATSU</t>
  </si>
  <si>
    <t>Hamamatsu</t>
  </si>
  <si>
    <t>320-2, Sunayama Cho, Naka Ku, Hamamatsu Shi, Shizuoka</t>
  </si>
  <si>
    <t>320-2, Sunayama Cho, Naka Ku, Hamamatsu Shi, Shizuoka;;430-8588;Shizuoka</t>
  </si>
  <si>
    <t>JP0342</t>
  </si>
  <si>
    <t>H&amp;M Aeonamll Makuhari Shintoshin</t>
  </si>
  <si>
    <t>1-1 Toyosuna Mihama-ku Chiba-shi, Chiba Grandmall 2F</t>
  </si>
  <si>
    <t>1-1 Toyosuna Mihama-ku Chiba-shi, Chiba Grandmall 2F;;261-8535;Chiba</t>
  </si>
  <si>
    <t>JP0344</t>
  </si>
  <si>
    <t>H&amp;M Park Place Oita</t>
  </si>
  <si>
    <t>Oita</t>
  </si>
  <si>
    <t>Koen dori Nishi 2-1, Oita Shi, Oita</t>
  </si>
  <si>
    <t>Koen dori Nishi 2-1, Oita Shi, Oita;;870-0174;Oita-ken</t>
  </si>
  <si>
    <t>JP0345</t>
  </si>
  <si>
    <t>H&amp;M Aeonmall Tendo</t>
  </si>
  <si>
    <t>Tendo</t>
  </si>
  <si>
    <t>Yamagata Ken, Tendo Shi, Haga Town Kita 4-1-1</t>
  </si>
  <si>
    <t>Yamagata Ken, Tendo Shi, Haga Town Kita 4-1-1;;994-0082;Yamagata</t>
  </si>
  <si>
    <t>JP0346</t>
  </si>
  <si>
    <t>H&amp;M Aeonmall Wakayama</t>
  </si>
  <si>
    <t>Wakayama</t>
  </si>
  <si>
    <t>573 Banchi, Kusutani, Naka Aza, Wakayama Shi, Wakayama</t>
  </si>
  <si>
    <t>573 Banchi, Kusutani, Naka Aza, Wakayama Shi, Wakayama;;640-8451;Wakayama</t>
  </si>
  <si>
    <t>JP0347</t>
  </si>
  <si>
    <t>H&amp;M Aeonmall Niigata Minami</t>
  </si>
  <si>
    <t>1-1-1 Yanagita Shimohayadori-yanagida, Konan-ku, Niigata-shi</t>
  </si>
  <si>
    <t>1-1-1 Yanagita Shimohayadori-yanagida, Konan-ku, Niigata-shi;;950-0150;Niigata</t>
  </si>
  <si>
    <t>JP0348</t>
  </si>
  <si>
    <t>H&amp;M Aeonmall Nagoya Chaya</t>
  </si>
  <si>
    <t>2 Chome 11, Nishichaya, Minato Ku, Nagoya Shi, Aichi</t>
  </si>
  <si>
    <t>2 Chome 11, Nishichaya, Minato Ku, Nagoya Shi, Aichi;;455-0858;Aichi-Pref.</t>
  </si>
  <si>
    <t>JP0349</t>
  </si>
  <si>
    <t>Aeonmall Kakamigahara</t>
  </si>
  <si>
    <t>3-8 Naka Kayabacho, Kakamigahara-shi, Gigu</t>
  </si>
  <si>
    <t>3-8 Naka Kayabacho, Kakamigahara-shi, Gigu;;504-0943;Gifu</t>
  </si>
  <si>
    <t>JP0350</t>
  </si>
  <si>
    <t>Pieri Moriyama</t>
  </si>
  <si>
    <t>Shiga</t>
  </si>
  <si>
    <t>2620-5 Imahamacho, Moriyama-shi, Shiga</t>
  </si>
  <si>
    <t>2620-5 Imahamacho, Moriyama-shi, Shiga;;540-0101;Shiga</t>
  </si>
  <si>
    <t>JP0351</t>
  </si>
  <si>
    <t>H&amp;M KYOTO</t>
  </si>
  <si>
    <t>Kyoto</t>
  </si>
  <si>
    <t>354-Hoka, Shimo Osaka Cho, Shijo Agaru Nichoume,</t>
  </si>
  <si>
    <t>Kawaramachi Dori, Nakagyo Ku, Kyoto</t>
  </si>
  <si>
    <t>354-Hoka, Shimo Osaka Cho, Shijo Agaru Nichoume,;Kawaramachi Dori, Nakagyo Ku, Kyoto;604-8025;Kyoto</t>
  </si>
  <si>
    <t>JP0352</t>
  </si>
  <si>
    <t>H&amp;M Lalaport Izumi</t>
  </si>
  <si>
    <t>Izumi</t>
  </si>
  <si>
    <t>4-4-7 Ayumino, Izumi, Osaka</t>
  </si>
  <si>
    <t>4-4-7 Ayumino, Izumi, Osaka;;594-1157;Osaka</t>
  </si>
  <si>
    <t>JP0354</t>
  </si>
  <si>
    <t>H&amp;M Amu Plaza Oita</t>
  </si>
  <si>
    <t>JR Oita City, 1-14 Kanamemachi, Oita Shi, Oita</t>
  </si>
  <si>
    <t>JR Oita City, 1-14 Kanamemachi, Oita Shi, Oita;;870-0831;Oita</t>
  </si>
  <si>
    <t>JP0355</t>
  </si>
  <si>
    <t>H&amp;M Cocoon City</t>
  </si>
  <si>
    <t>4-263-1 Kishikicho, Omiya Ku, Saitama Shi, Saitama</t>
  </si>
  <si>
    <t>4-263-1 Kishikicho, Omiya Ku, Saitama Shi, Saitama;;330-0843;Saitma</t>
  </si>
  <si>
    <t>JP0356</t>
  </si>
  <si>
    <t>H&amp;M Aeonmall Hamamatsu Shitoro</t>
  </si>
  <si>
    <t>37-1, Shitoro 2 Chome, Nishi Ku, Hamamatsu Shi, Shizuoka</t>
  </si>
  <si>
    <t>37-1, Shitoro 2 Chome, Nishi Ku, Hamamatsu Shi, Shizuoka;;432-8069;Shizuoka</t>
  </si>
  <si>
    <t>JP0357</t>
  </si>
  <si>
    <t>H&amp;M KANAZAWA</t>
  </si>
  <si>
    <t>Ishikawa</t>
  </si>
  <si>
    <t>Katamachi Kirara, 2-2-2 Katamachi, Kanazawa-shi, Ishikawa</t>
  </si>
  <si>
    <t>Katamachi Kirara, 2-2-2 Katamachi, Kanazawa-shi, Ishikawa;;920-0981;Ishikawa</t>
  </si>
  <si>
    <t>JP0358</t>
  </si>
  <si>
    <t>H&amp;M Aeonmall Chikushino</t>
  </si>
  <si>
    <t>434-1, Ryu-Myoji, Chikushino-Shi, Fukuoka</t>
  </si>
  <si>
    <t>434-1, Ryu-Myoji, Chikushino-Shi, Fukuoka;;818-0042;Fukuoka</t>
  </si>
  <si>
    <t>JP0359</t>
  </si>
  <si>
    <t>H&amp;M Aeonmall Kashihara</t>
  </si>
  <si>
    <t>Nara</t>
  </si>
  <si>
    <t>7-201-1, Magarigawa Cho, Kashihara, Nara</t>
  </si>
  <si>
    <t>7-201-1, Magarigawa Cho, Kashihara, Nara;;634-0837;Nara</t>
  </si>
  <si>
    <t>JP0360</t>
  </si>
  <si>
    <t>H&amp;M Aeonmall Tokoname</t>
  </si>
  <si>
    <t>Tokoname</t>
  </si>
  <si>
    <t>2 Chome-Hoka, Rinku-Cho, Tokoname, Aichi</t>
  </si>
  <si>
    <t>2 Chome-Hoka, Rinku-Cho, Tokoname, Aichi;;479-0882;Aichi</t>
  </si>
  <si>
    <t>JP0361</t>
  </si>
  <si>
    <t>H&amp;M Aeonmall Shijo Nawate</t>
  </si>
  <si>
    <t>4-3-2, Suna, Shijonawate, Osaka</t>
  </si>
  <si>
    <t>4-3-2, Suna, Shijonawate, Osaka;;572-0812;Osaka</t>
  </si>
  <si>
    <t>JP0362</t>
  </si>
  <si>
    <t>H&amp;M Ebisubashi</t>
  </si>
  <si>
    <t>2-4-9, Shinsaibashi-Suji, Chuo-ku, Osaka-shi</t>
  </si>
  <si>
    <t>2-4-9, Shinsaibashi-Suji, Chuo-ku, Osaka-shi;;542-0085;Osaka</t>
  </si>
  <si>
    <t>JP0363</t>
  </si>
  <si>
    <t>H&amp;M Aeonmall SAKAI TEPPOCHO</t>
  </si>
  <si>
    <t>1 Banchi, Tenpou cho, Sakai, Osaka</t>
  </si>
  <si>
    <t>1 Banchi, Tenpou cho, Sakai, Osaka;;590-0905;Osaka</t>
  </si>
  <si>
    <t>JP0364</t>
  </si>
  <si>
    <t>H&amp;M Aeonmall Morioka</t>
  </si>
  <si>
    <t>Morioka</t>
  </si>
  <si>
    <t>4-7-1 Maegata, Morioka Shi, Iwate</t>
  </si>
  <si>
    <t>4-7-1 Maegata, Morioka Shi, Iwate;;020-0148;Iwate</t>
  </si>
  <si>
    <t>JP0366</t>
  </si>
  <si>
    <t>H&amp;M Aeonmall IMABARI SHINTOSHI</t>
  </si>
  <si>
    <t>Imabari</t>
  </si>
  <si>
    <t>1 Banchi 1, Nigiwai Hiroba, Imabari, Ehime</t>
  </si>
  <si>
    <t>1 Banchi 1, Nigiwai Hiroba, Imabari, Ehime;;794-0068;Ehime</t>
  </si>
  <si>
    <t>JP0367</t>
  </si>
  <si>
    <t>H&amp;M Aeon Mall Izumo</t>
  </si>
  <si>
    <t>Izumo</t>
  </si>
  <si>
    <t>1066, Watarihashi Cho, Izumo, Shimane</t>
  </si>
  <si>
    <t>1066, Watarihashi Cho, Izumo, Shimane;;693-0004;Shimane</t>
  </si>
  <si>
    <t>JP0368</t>
  </si>
  <si>
    <t>H&amp;M SEVENPARK ARIO KASHIWA</t>
  </si>
  <si>
    <t>1 Choume 6 Banchi 1 Oshimada Kashiwa, Chiba</t>
  </si>
  <si>
    <t>1 Choume 6 Banchi 1 Oshimada Kashiwa, Chiba;;277-0922;Chiba</t>
  </si>
  <si>
    <t>JP0369</t>
  </si>
  <si>
    <t>H&amp;M Aeon Town Yukarigaoka</t>
  </si>
  <si>
    <t>7chome 3 hoka, Nishi Yukarigaoka, Sakura shi, Chiba</t>
  </si>
  <si>
    <t>7chome 3 hoka, Nishi Yukarigaoka, Sakura shi, Chiba;;285-0858;Chiba</t>
  </si>
  <si>
    <t>JP0370</t>
  </si>
  <si>
    <t>H&amp;M LaLaport Shonan Hiratsuka</t>
  </si>
  <si>
    <t>Hiratsuka</t>
  </si>
  <si>
    <t>10-1 Amanuma Hiratsuka-shi, Kanagawa</t>
  </si>
  <si>
    <t>10-1 Amanuma Hiratsuka-shi, Kanagawa;;254-8510;Kanagawa</t>
  </si>
  <si>
    <t>JP0371</t>
  </si>
  <si>
    <t>H&amp;M Aeonmall Itami Koya</t>
  </si>
  <si>
    <t>Itami</t>
  </si>
  <si>
    <t>4-1-1 Ikejiri, Itami-shi, Hyogo</t>
  </si>
  <si>
    <t>4-1-1 Ikejiri, Itami-shi, Hyogo;;664-0027;Hyogo</t>
  </si>
  <si>
    <t>JP0372</t>
  </si>
  <si>
    <t>H&amp;M Aeonmall Shin Komatsu</t>
  </si>
  <si>
    <t>Komatsu</t>
  </si>
  <si>
    <t>315 Banchi, Kiyoroku Cho, Komatsu Shi, Ishikawa</t>
  </si>
  <si>
    <t>315 Banchi, Kiyoroku Cho, Komatsu Shi, Ishikawa;;923-8585;Ishikawa</t>
  </si>
  <si>
    <t>JP0373</t>
  </si>
  <si>
    <t>H&amp;M AEON Mall Kofu Showa</t>
  </si>
  <si>
    <t>Yamanashi</t>
  </si>
  <si>
    <t>Showa Cho, Nakakoma Gun, Yamanashi</t>
  </si>
  <si>
    <t>Showa Cho, Nakakoma Gun, Yamanashi;;409-3800;Yamanashi</t>
  </si>
  <si>
    <t>JP0374</t>
  </si>
  <si>
    <t>H&amp;M Aeon Mall Tokushima</t>
  </si>
  <si>
    <t>Tokushima</t>
  </si>
  <si>
    <t>4Ban 7Go, Minami Suehiro Cho, Tokushima Shi, Tokushima</t>
  </si>
  <si>
    <t>4Ban 7Go, Minami Suehiro Cho, Tokushima Shi, Tokushima;;770-0865;Tokushima</t>
  </si>
  <si>
    <t>JP0375</t>
  </si>
  <si>
    <t>H&amp;M Piole Himeji</t>
  </si>
  <si>
    <t>188 Ban 1, Ekimae Cho, Himeji Shi, Hyogo</t>
  </si>
  <si>
    <t>188 Ban 1, Ekimae Cho, Himeji Shi, Hyogo;;670-0927;Hyogo</t>
  </si>
  <si>
    <t>JP0376</t>
  </si>
  <si>
    <t>H&amp;M Aeon mall Okinawa Rycom</t>
  </si>
  <si>
    <t>Okinawa</t>
  </si>
  <si>
    <t>Okinawa Prefecture Nakagami-gun</t>
  </si>
  <si>
    <t>Kitanakagusukuson aza Rycom 1-banchi</t>
  </si>
  <si>
    <t>Okinawa Prefecture Nakagami-gun;Kitanakagusukuson aza Rycom 1-banchi;901-2306;Okinawa</t>
  </si>
  <si>
    <t>JP0377</t>
  </si>
  <si>
    <t>H&amp;M Aeonmall Kisarazu</t>
  </si>
  <si>
    <t>1-4 Tsukiji, Kisarazu-shi, Chiba</t>
  </si>
  <si>
    <t>1-4 Tsukiji, Kisarazu-shi, Chiba;;292-0835;Chiba</t>
  </si>
  <si>
    <t>JP0378</t>
  </si>
  <si>
    <t>H&amp;M Aeonmall Ayagawa</t>
  </si>
  <si>
    <t>Ayauta</t>
  </si>
  <si>
    <t>822-1 Kayahara, Ayakawacho, Ayautagun, Kagawa</t>
  </si>
  <si>
    <t>822-1 Kayahara, Ayakawacho, Ayautagun, Kagawa;;761-2304;Kagawa</t>
  </si>
  <si>
    <t>JP0379</t>
  </si>
  <si>
    <t>H&amp;M Aeonmall Suzuka</t>
  </si>
  <si>
    <t>Suzuka</t>
  </si>
  <si>
    <t>4-1-2 Shono Hayama, Suzuka-shi, Mie</t>
  </si>
  <si>
    <t>4-1-2 Shono Hayama, Suzuka-shi, Mie;;513-0834;Mie</t>
  </si>
  <si>
    <t>JP0380</t>
  </si>
  <si>
    <t>H&amp;M Mallage Shobu</t>
  </si>
  <si>
    <t>6005-1 Shobu, Shobucho, Kuki-shi, Saitama</t>
  </si>
  <si>
    <t>6005-1 Shobu, Shobucho, Kuki-shi, Saitama;;346-0195;Saitama</t>
  </si>
  <si>
    <t>JP0381</t>
  </si>
  <si>
    <t>H&amp;M Lalaport Iwata</t>
  </si>
  <si>
    <t>Iwata</t>
  </si>
  <si>
    <t>1200 Takamioka, Iwata Shi, Shizuoka</t>
  </si>
  <si>
    <t>1200 Takamioka, Iwata Shi, Shizuoka;;438-0801;Shizuoka</t>
  </si>
  <si>
    <t>JP0382</t>
  </si>
  <si>
    <t>H&amp;M Lalaport Ebina</t>
  </si>
  <si>
    <t>Ebina</t>
  </si>
  <si>
    <t>13-1 Ougicho, Ebina-shi, Kanagawa</t>
  </si>
  <si>
    <t>13-1 Ougicho, Ebina-shi, Kanagawa;;243-0482;Kanagawa</t>
  </si>
  <si>
    <t>JP0383</t>
  </si>
  <si>
    <t>H&amp;M Aeonmall Matsumoto</t>
  </si>
  <si>
    <t>Nagano</t>
  </si>
  <si>
    <t>4-9-51 Chuo, Matsumoto-shi, Nagano</t>
  </si>
  <si>
    <t>4-9-51 Chuo, Matsumoto-shi, Nagano;;390-0811;Nagano</t>
  </si>
  <si>
    <t>JP0384</t>
  </si>
  <si>
    <t>H&amp;M Aeonmall Zama</t>
  </si>
  <si>
    <t>Zama</t>
  </si>
  <si>
    <t>2-10-4, Hironodai, Zama-shi, Kanagawa</t>
  </si>
  <si>
    <t>2-10-4, Hironodai, Zama-shi, Kanagawa;;252-0012;Kanagawa</t>
  </si>
  <si>
    <t>JP0385</t>
  </si>
  <si>
    <t>H&amp;M AEON Mall Iwaki Onahama</t>
  </si>
  <si>
    <t>Iwaki</t>
  </si>
  <si>
    <t>79, Tatsunocho, Onahama, Iwaki, Fukushima</t>
  </si>
  <si>
    <t>79, Tatsunocho, Onahama, Iwaki, Fukushima;;971-8555;Fukushima</t>
  </si>
  <si>
    <t>JP0387</t>
  </si>
  <si>
    <t>H&amp;M Lalaport Tachikawa Tachihi</t>
  </si>
  <si>
    <t>935-1, Izumi-cho, Tachikawa, Tokyo</t>
  </si>
  <si>
    <t>935-1, Izumi-cho, Tachikawa, Tokyo;;190-0015;Tokyo</t>
  </si>
  <si>
    <t>JP0388</t>
  </si>
  <si>
    <t>H&amp;M The Mall Sendai Nagamachi</t>
  </si>
  <si>
    <t>Miyagi</t>
  </si>
  <si>
    <t>7-20-3 Nagamachi, Taihaku-ku, Sendai City, Miyagi</t>
  </si>
  <si>
    <t>7-20-3 Nagamachi, Taihaku-ku, Sendai City, Miyagi;;982-0011;Miyagi</t>
  </si>
  <si>
    <t>JP0389</t>
  </si>
  <si>
    <t>H&amp;M Aeonmall Miyazaki</t>
  </si>
  <si>
    <t>Miyazaki</t>
  </si>
  <si>
    <t>862-1 Eguchi, Shin Beppu Cho, Miyazaki Shi</t>
  </si>
  <si>
    <t>862-1 Eguchi, Shin Beppu Cho, Miyazaki Shi;;880-0834;Miyazaki</t>
  </si>
  <si>
    <t>JP0390</t>
  </si>
  <si>
    <t>H&amp;M Aeonmall Tsu</t>
  </si>
  <si>
    <t>Tsu</t>
  </si>
  <si>
    <t>145, Komoricho, Takajaya, Tsu Shi, Mie</t>
  </si>
  <si>
    <t>145, Komoricho, Takajaya, Tsu Shi, Mie;;514-0817;Mie</t>
  </si>
  <si>
    <t>JP0392</t>
  </si>
  <si>
    <t>H&amp;M Aeonmall Funabashi</t>
  </si>
  <si>
    <t>Funabashi</t>
  </si>
  <si>
    <t>1-1-8, Yamate, Funabashi Shi, Chiba</t>
  </si>
  <si>
    <t>1-1-8, Yamate, Funabashi Shi, Chiba;;273-0045;Chiba</t>
  </si>
  <si>
    <t>JP0393</t>
  </si>
  <si>
    <t>H&amp;M Aeonmall Kumamoto</t>
  </si>
  <si>
    <t>Kumamoto</t>
  </si>
  <si>
    <t>2232 Jinagaike, Uejima, Kashimamachi, Kamimashiki Gun</t>
  </si>
  <si>
    <t>2232 Jinagaike, Uejima, Kashimamachi, Kamimashiki Gun;;861-3106;Kumamoto</t>
  </si>
  <si>
    <t>JP0394</t>
  </si>
  <si>
    <t>H&amp;M Linoas</t>
  </si>
  <si>
    <t>2-60 Hikaricho, Yao Shi, Osaka</t>
  </si>
  <si>
    <t>2-60 Hikaricho, Yao Shi, Osaka;;581-0803;Osaka</t>
  </si>
  <si>
    <t>JP0395</t>
  </si>
  <si>
    <t>H&amp;M Olinas Kinshicho</t>
  </si>
  <si>
    <t>4-1-2 Taihei, Sumida-ku, Tokyo</t>
  </si>
  <si>
    <t>4-1-2 Taihei, Sumida-ku, Tokyo;;130-0012;Tokyo</t>
  </si>
  <si>
    <t>JP0396</t>
  </si>
  <si>
    <t>H&amp;M Lalaport Nagoya Minato AQULS</t>
  </si>
  <si>
    <t>2-chome, Komei, Minato-ku, Nagoya-shi, Aichi</t>
  </si>
  <si>
    <t>2-chome, Komei, Minato-ku, Nagoya-shi, Aichi;;455-0018;Aichi</t>
  </si>
  <si>
    <t>JP0397</t>
  </si>
  <si>
    <t>H&amp;M The Outlets Hiroshima</t>
  </si>
  <si>
    <t>4 Chome 1 Ban 1 Go, Ishiuchi Higashi, Seki Ku, Hiroshima Shi</t>
  </si>
  <si>
    <t>4 Chome 1 Ban 1 Go, Ishiuchi Higashi, Seki Ku, Hiroshima Shi;;731-5162;Hiroshima</t>
  </si>
  <si>
    <t>JP0398</t>
  </si>
  <si>
    <t>Seamall Shimonoseki</t>
  </si>
  <si>
    <t>Shimonoseki</t>
  </si>
  <si>
    <t>4-4-8, Takezaki-cho, Shimonoseki-shi, Yamaguchi</t>
  </si>
  <si>
    <t>4-4-8, Takezaki-cho, Shimonoseki-shi, Yamaguchi;;750-0025;Yamaguchi</t>
  </si>
  <si>
    <t>JP0399</t>
  </si>
  <si>
    <t>Dynacity West</t>
  </si>
  <si>
    <t>Odawara</t>
  </si>
  <si>
    <t>208, Nakasato, Odawara Shi, Kanagawa</t>
  </si>
  <si>
    <t>208, Nakasato, Odawara Shi, Kanagawa;;250-0872;Kanagawa</t>
  </si>
  <si>
    <t>JP0401</t>
  </si>
  <si>
    <t>H7M Parco City Okinawa</t>
  </si>
  <si>
    <t>3-1-1, Irijima, Urasoe, Okinawa</t>
  </si>
  <si>
    <t>3-1-1, Irijima, Urasoe, Okinawa;;901-2123;Okinawa</t>
  </si>
  <si>
    <t>JP0402</t>
  </si>
  <si>
    <t>H&amp;M Sakuramachi Kumamoto</t>
  </si>
  <si>
    <t>3-10 Sakuramachi, Chuo-ku, Kumamoto, Kumamoto</t>
  </si>
  <si>
    <t>3-10 Sakuramachi, Chuo-ku, Kumamoto, Kumamoto;;860-0805;Kumamoto</t>
  </si>
  <si>
    <t>JP0403</t>
  </si>
  <si>
    <t>H&amp;M Lalagarden Kawaguchi</t>
  </si>
  <si>
    <t>Kawaguchi</t>
  </si>
  <si>
    <t>18-9, Miyacho, Kawaguchi, Saitama</t>
  </si>
  <si>
    <t>18-9, Miyacho, Kawaguchi, Saitama;;332-0028;Saitama</t>
  </si>
  <si>
    <t>JP0404</t>
  </si>
  <si>
    <t>H&amp;M Bono Sagamiono</t>
  </si>
  <si>
    <t>Sagamihara</t>
  </si>
  <si>
    <t>3-2 Sagamiono, Minami-ku, Sagamihara, Kanagawa</t>
  </si>
  <si>
    <t>3-2 Sagamiono, Minami-ku, Sagamihara, Kanagawa;;252-0303;Kanagawa</t>
  </si>
  <si>
    <t>JP0405</t>
  </si>
  <si>
    <t>H&amp;M Lalaport Numazu</t>
  </si>
  <si>
    <t>Numazu</t>
  </si>
  <si>
    <t>301-3, Higashihara, Higashishiiji, Numazu, Shizuoka</t>
  </si>
  <si>
    <t>301-3, Higashihara, Higashishiiji, Numazu, Shizuoka;;410-8541;Shizuoka</t>
  </si>
  <si>
    <t>JP0406</t>
  </si>
  <si>
    <t>H&amp;M Lalaport EXPOCITY</t>
  </si>
  <si>
    <t>Suita</t>
  </si>
  <si>
    <t>2-1, Senri Banpaku Koen, Suita, Osaka</t>
  </si>
  <si>
    <t>2-1, Senri Banpaku Koen, Suita, Osaka;;565-0826;Osaka</t>
  </si>
  <si>
    <t>JP0407</t>
  </si>
  <si>
    <t>Toyosaki Town</t>
  </si>
  <si>
    <t>TOYOSAKI TOWN SC</t>
  </si>
  <si>
    <t>3-35 Toyosaki, Tomigusuku-shi</t>
  </si>
  <si>
    <t>TOYOSAKI TOWN SC;3-35 Toyosaki, Tomigusuku-shi;901-0225</t>
  </si>
  <si>
    <t>JP0408</t>
  </si>
  <si>
    <t>H&amp;M Terrace Mall Matsudo</t>
  </si>
  <si>
    <t>Matsudo</t>
  </si>
  <si>
    <t>2-8-1, Hachigasaki, Matsudo, Chiba</t>
  </si>
  <si>
    <t>2-8-1, Hachigasaki, Matsudo, Chiba;;270-0023;Chiba</t>
  </si>
  <si>
    <t>JP0409</t>
  </si>
  <si>
    <t>H&amp;M Future City Favore</t>
  </si>
  <si>
    <t>Toyama</t>
  </si>
  <si>
    <t>165-1, Shimo Kutsuwada, Fuchu-machi, Toyama</t>
  </si>
  <si>
    <t>165-1, Shimo Kutsuwada, Fuchu-machi, Toyama;;939-2716;Toyama</t>
  </si>
  <si>
    <t>JP0410</t>
  </si>
  <si>
    <t>H&amp;M Aeonmall Laketown</t>
  </si>
  <si>
    <t>3 Chome 1 Banchi 1, Laketown, Koshigaya Shi, Saitama</t>
  </si>
  <si>
    <t>3 Chome 1 Banchi 1, Laketown, Koshigaya Shi, Saitama;;343-0828;Saitama</t>
  </si>
  <si>
    <t>JP0411</t>
  </si>
  <si>
    <t>H&amp;M Aeonmall Takasaki</t>
  </si>
  <si>
    <t>Takasaki</t>
  </si>
  <si>
    <t>1400 Banchi Hoka, Munakata Machi, Takasaki Shi, Gunma</t>
  </si>
  <si>
    <t>1400 Banchi Hoka, Munakata Machi, Takasaki Shi, Gunma;;370-3521;Gunma</t>
  </si>
  <si>
    <t>JP0412</t>
  </si>
  <si>
    <t>Aeonmall Takaoka</t>
  </si>
  <si>
    <t>Takaoka</t>
  </si>
  <si>
    <t>383, Shimofusumae, Takaoka, Toyama</t>
  </si>
  <si>
    <t>383, Shimofusumae, Takaoka, Toyama;;933-0813;Toyama</t>
  </si>
  <si>
    <t>JP0413</t>
  </si>
  <si>
    <t>H&amp;M Musashi Koganei</t>
  </si>
  <si>
    <t>1 Hoka, 1827 Ban, 6 Chome, Honmachi, Koganei Shi, Tokyo</t>
  </si>
  <si>
    <t>1 Hoka, 1827 Ban, 6 Chome, Honmachi, Koganei Shi, Tokyo;;184-0004;Tokyo</t>
  </si>
  <si>
    <t>JP0414</t>
  </si>
  <si>
    <t>H&amp;M Rasora Sapporo</t>
  </si>
  <si>
    <t>1 Chomen 1-1, Higashi Sapporo 3 Jo, Shiraishi Ku, Hokkaido</t>
  </si>
  <si>
    <t>1 Chomen 1-1, Higashi Sapporo 3 Jo, Shiraishi Ku, Hokkaido;;003-0003;Hokkaido</t>
  </si>
  <si>
    <t>JP0416</t>
  </si>
  <si>
    <t>H&amp;M Aeonmall Tottori</t>
  </si>
  <si>
    <t>Tottori</t>
  </si>
  <si>
    <t>348, Okute, Tottori, Tottori</t>
  </si>
  <si>
    <t>348, Okute, Tottori, Tottori;;680-0904;Tottori</t>
  </si>
  <si>
    <t>JP0420</t>
  </si>
  <si>
    <t>H&amp;M æœ‰æ˜Žã‚¬ãƒ¼ãƒ‡ãƒ³</t>
  </si>
  <si>
    <t>æ±äº¬éƒ½æ±Ÿæ±åŒºæœ‰æ˜Žï¼’ä¸ç›®ï¼‘-ï¼˜</t>
  </si>
  <si>
    <t>æ±äº¬éƒ½æ±Ÿæ±åŒºæœ‰æ˜Žï¼’ä¸ç›®ï¼‘-ï¼˜;;ã€’135-0063;æ±äº¬</t>
  </si>
  <si>
    <t>JP0421</t>
  </si>
  <si>
    <t>H&amp;M Aeon Mall Kochi</t>
  </si>
  <si>
    <t>Kochi</t>
  </si>
  <si>
    <t>1-4-8, Hadaminamimachi, Kochi</t>
  </si>
  <si>
    <t>1-4-8, Hadaminamimachi, Kochi;;780-0026;Kochi</t>
  </si>
  <si>
    <t>JP0423</t>
  </si>
  <si>
    <t>H&amp;M Akita OPA</t>
  </si>
  <si>
    <t>Akita</t>
  </si>
  <si>
    <t>4-2, Senshukubotamachi, Akita Shi, Akita</t>
  </si>
  <si>
    <t>4-2, Senshukubotamachi, Akita Shi, Akita;;010-0874;Akita</t>
  </si>
  <si>
    <t>JP0424</t>
  </si>
  <si>
    <t>H&amp;M Aeon Shin Urayasu</t>
  </si>
  <si>
    <t>1-4-1, Irifune, Urayasu Shi, Chiba</t>
  </si>
  <si>
    <t>1-4-1, Irifune, Urayasu Shi, Chiba;;279-0012;Chiba</t>
  </si>
  <si>
    <t>JP0425</t>
  </si>
  <si>
    <t>H&amp;M Sendai Parco</t>
  </si>
  <si>
    <t>3-7-5, chuo, Aoba-ku, Sendai, Miyagi</t>
  </si>
  <si>
    <t>3-7-5, chuo, Aoba-ku, Sendai, Miyagi;;980-8450;Miyagi</t>
  </si>
  <si>
    <t>JP0428</t>
  </si>
  <si>
    <t>H&amp;M Coaska Bayside</t>
  </si>
  <si>
    <t>Yokosuka</t>
  </si>
  <si>
    <t>2-1-12, Honcho, Yokosuka Shi</t>
  </si>
  <si>
    <t>2-1-12, Honcho, Yokosuka Shi;;238-0041;Kanagawa</t>
  </si>
  <si>
    <t>JP0430</t>
  </si>
  <si>
    <t>H&amp;M Kishiwada CanCan bayside Mall</t>
  </si>
  <si>
    <t>Kishiwada</t>
  </si>
  <si>
    <t>2-1, Minato Midori-machi, Osaka</t>
  </si>
  <si>
    <t>2-1, Minato Midori-machi, Osaka;;596-0014;Osaka</t>
  </si>
  <si>
    <t>JP0431</t>
  </si>
  <si>
    <t>H&amp;M Lalaport Aichi Togocho</t>
  </si>
  <si>
    <t>Aichi</t>
  </si>
  <si>
    <t>Togocho oaza haruki hoka, Aichigun, Aichi</t>
  </si>
  <si>
    <t>Togocho oaza haruki hoka, Aichigun, Aichi;;470-0161;Aichi</t>
  </si>
  <si>
    <t>JP0432</t>
  </si>
  <si>
    <t>H&amp;M Aeon Mall Uki</t>
  </si>
  <si>
    <t>Uki</t>
  </si>
  <si>
    <t>1-1, Gounoe, Ogawamachi, Uki, Kumamoto</t>
  </si>
  <si>
    <t>1-1, Gounoe, Ogawamachi, Uki, Kumamoto;;869-0606;Kumamoto</t>
  </si>
  <si>
    <t>JP0438</t>
  </si>
  <si>
    <t>H&amp;M Mosaic Mall Kohoku</t>
  </si>
  <si>
    <t>1-31-1, Nakagawa Chuou, Tsuzuki Ku, Yokohama, Kanagawa</t>
  </si>
  <si>
    <t>1-31-1, Nakagawa Chuou, Tsuzuki Ku, Yokohama, Kanagawa;;224-0001;Kanagawa</t>
  </si>
  <si>
    <t>JP0439</t>
  </si>
  <si>
    <t>H&amp;M Aeonmall Rifu</t>
  </si>
  <si>
    <t>Rifushinnakamichi, Rifucho, Miyagigun, Miyagi ken</t>
  </si>
  <si>
    <t>Rifushinnakamichi, Rifucho, Miyagigun, Miyagi ken;;981-0100;Miyagi</t>
  </si>
  <si>
    <t>JP0443</t>
  </si>
  <si>
    <t>H&amp;M Aeonmall Hiroshima Fuchu</t>
  </si>
  <si>
    <t>Hiroshima, Akigun, Fuchupcho, 2-1-1</t>
  </si>
  <si>
    <t>Hiroshima, Akigun, Fuchupcho, 2-1-1;;735-8588;Hiroshima</t>
  </si>
  <si>
    <t>JP0445</t>
  </si>
  <si>
    <t>Diwahouse Kasugai</t>
  </si>
  <si>
    <t>Tokyu-22 Rokkenyacho, Kasugai</t>
  </si>
  <si>
    <t>Tokyu-22 Rokkenyacho, Kasugai;;486-0842;Aichi</t>
  </si>
  <si>
    <t>JP0447</t>
  </si>
  <si>
    <t>ALPARK HIROSHIMA</t>
  </si>
  <si>
    <t>2-chome-26-1 Kusatsushinmachi Nishi-ku</t>
  </si>
  <si>
    <t>2-chome-26-1 Kusatsushinmachi Nishi-ku;;733-0834;Hiroshima</t>
  </si>
  <si>
    <t>KR0002</t>
  </si>
  <si>
    <t>Myeongdong Junganggil Store</t>
  </si>
  <si>
    <t>Seoul</t>
  </si>
  <si>
    <t>Korea, Republic of</t>
  </si>
  <si>
    <t>KR</t>
  </si>
  <si>
    <t>B1F-4F, 3, Myeongdong 8-gil, Jung-gu</t>
  </si>
  <si>
    <t>B1F-4F, 3, Myeongdong 8-gil, Jung-gu;;04536;Seoul</t>
  </si>
  <si>
    <t>KR0005</t>
  </si>
  <si>
    <t>Cheonan Shinsegae Store</t>
  </si>
  <si>
    <t>Cheonan</t>
  </si>
  <si>
    <t>10:30-21:30</t>
  </si>
  <si>
    <t>1F-2F, 43, Mannam-ro, Dongnam-gu, Cheonan-si</t>
  </si>
  <si>
    <t>1F-2F, 43, Mannam-ro, Dongnam-gu, Cheonan-si;;31120;Chungcheongnam-do</t>
  </si>
  <si>
    <t>KR0006</t>
  </si>
  <si>
    <t>Sindorim Hyundai D-cube Store</t>
  </si>
  <si>
    <t>B1F-2F, 662, Gyeongin-ro, Guro-gu</t>
  </si>
  <si>
    <t>B1F-2F, 662, Gyeongin-ro, Guro-gu;;08209;Seoul</t>
  </si>
  <si>
    <t>KR0008</t>
  </si>
  <si>
    <t>Gimpo Airport Lotte mall store</t>
  </si>
  <si>
    <t>10:30-21:00</t>
  </si>
  <si>
    <t>B1F-1F, 38, Haneul-gil, Gangseo-gu</t>
  </si>
  <si>
    <t>B1F-1F, 38, Haneul-gil, Gangseo-gu;;07505;Seoul</t>
  </si>
  <si>
    <t>KR0009</t>
  </si>
  <si>
    <t>Busan Centum City Shinsegae Store</t>
  </si>
  <si>
    <t>Busan</t>
  </si>
  <si>
    <t>10:30-20:00</t>
  </si>
  <si>
    <t>10:30-20:30</t>
  </si>
  <si>
    <t>3F-4F, 35, Centum nam-daero, Haeundae-gu</t>
  </si>
  <si>
    <t>3F-4F, 35, Centum nam-daero, Haeundae-gu;;48058;Busan</t>
  </si>
  <si>
    <t>KR0010</t>
  </si>
  <si>
    <t>Ilsan Onemount Mall Store</t>
  </si>
  <si>
    <t>Goyang</t>
  </si>
  <si>
    <t>1F-2F, 300 Hallyu world-ro, Iisanseo-gu, Goyang-si</t>
  </si>
  <si>
    <t>1F-2F, 300 Hallyu world-ro, Iisanseo-gu, Goyang-si;;10392;Gyeonggi-do</t>
  </si>
  <si>
    <t>KR0011</t>
  </si>
  <si>
    <t>Incheon Square1 Store</t>
  </si>
  <si>
    <t>Incheon</t>
  </si>
  <si>
    <t>1F-2F, 210, Cheongneung-daero, Yeonsu-gu</t>
  </si>
  <si>
    <t>1F-2F, 210, Cheongneung-daero, Yeonsu-gu;;21975;Incheon</t>
  </si>
  <si>
    <t>KR0012</t>
  </si>
  <si>
    <t>Hongdae Store</t>
  </si>
  <si>
    <t>11:30-22:30</t>
  </si>
  <si>
    <t>11:30-23:00</t>
  </si>
  <si>
    <t>B1F-4F, 107, Eoulmadang-ro, Mapo-gu</t>
  </si>
  <si>
    <t>B1F-4F, 107, Eoulmadang-ro, Mapo-gu;;04050;Seoul</t>
  </si>
  <si>
    <t>KR0013</t>
  </si>
  <si>
    <t>Shinsa Garosu Store</t>
  </si>
  <si>
    <t>B1F-4F, 70, Garosu-gil, Gangnam-gu</t>
  </si>
  <si>
    <t>B1F-4F, 70, Garosu-gil, Gangnam-gu;;06029;Seoul</t>
  </si>
  <si>
    <t>KR0015</t>
  </si>
  <si>
    <t>Ulsan Up Square Mall Store</t>
  </si>
  <si>
    <t>Ulsan</t>
  </si>
  <si>
    <t>1F-3F, 185 Hwahapro, Nam-gu</t>
  </si>
  <si>
    <t>1F-3F, 185 Hwahapro, Nam-gu;;44705;Ulsan</t>
  </si>
  <si>
    <t>KR0016</t>
  </si>
  <si>
    <t>Gwangju Y'z Park Mall Store</t>
  </si>
  <si>
    <t>Gwangju</t>
  </si>
  <si>
    <t>B1F-3F, 72, Chungjang-ro, Dong-gu</t>
  </si>
  <si>
    <t>B1F-3F, 72, Chungjang-ro, Dong-gu;;61483;Gwangju</t>
  </si>
  <si>
    <t>KR0017</t>
  </si>
  <si>
    <t>Daegu Dongseongro Store</t>
  </si>
  <si>
    <t>Daegu</t>
  </si>
  <si>
    <t>1F-3F, 39, Dongseong-ro, Jung-gu</t>
  </si>
  <si>
    <t>1F-3F, 39, Dongseong-ro, Jung-gu;;41937;Daegu</t>
  </si>
  <si>
    <t>KR0018</t>
  </si>
  <si>
    <t>Cheongju G-Well City Mall Store</t>
  </si>
  <si>
    <t>Cheongju</t>
  </si>
  <si>
    <t>1F-2F, 43, Daenong-ro, Heungduk-gu, Cheongju-si</t>
  </si>
  <si>
    <t>1F-2F, 43, Daenong-ro, Heungduk-gu, Cheongju-si;;28424;Chungcheongbuk-do</t>
  </si>
  <si>
    <t>KR0019</t>
  </si>
  <si>
    <t>Jamsil Lotte World Mall Store</t>
  </si>
  <si>
    <t>B1F-2F, 300, Olympic-ro, Songpa-gu</t>
  </si>
  <si>
    <t>B1F-2F, 300, Olympic-ro, Songpa-gu;;05551;Seoul</t>
  </si>
  <si>
    <t>KR0020</t>
  </si>
  <si>
    <t>Yongsan Iparkmall Store</t>
  </si>
  <si>
    <t>1F, 55, Hangang-daero 23-gil, Yongsan-gu</t>
  </si>
  <si>
    <t>1F, 55, Hangang-daero 23-gil, Yongsan-gu;;04377;Seoul</t>
  </si>
  <si>
    <t>KR0021</t>
  </si>
  <si>
    <t>Yeongdeungpo Time Square Mall Store</t>
  </si>
  <si>
    <t>1F, 15, Yeongjung-ro, Yeongdeungpo-gu</t>
  </si>
  <si>
    <t>1F, 15, Yeongjung-ro, Yeongdeungpo-gu;;07305;Seoul</t>
  </si>
  <si>
    <t>KR0023</t>
  </si>
  <si>
    <t>Pangyo Hyundai Store</t>
  </si>
  <si>
    <t>Seongnam</t>
  </si>
  <si>
    <t>3F, 20, Pangyoyeok-ro 146beon-gil, Bundang-gu, Seongnam-si</t>
  </si>
  <si>
    <t>3F, 20, Pangyoyeok-ro 146beon-gil, Bundang-gu, Seongnam-si;;13529;Gyeonggi-do</t>
  </si>
  <si>
    <t>KR0024</t>
  </si>
  <si>
    <t>Busan Seomyeon NC Store</t>
  </si>
  <si>
    <t>1F-2F, 92, Dongcheon-ro, Busanjin-gu</t>
  </si>
  <si>
    <t>1F-2F, 92, Dongcheon-ro, Busanjin-gu;;47293;Busan</t>
  </si>
  <si>
    <t>KR0026</t>
  </si>
  <si>
    <t>Gangseo NC</t>
  </si>
  <si>
    <t>1F-2F, 17, Gangseo-ro 56-gil, Gangseo-gu</t>
  </si>
  <si>
    <t>1F-2F, 17, Gangseo-ro 56-gil, Gangseo-gu;;07584;Seoul</t>
  </si>
  <si>
    <t>KR0027</t>
  </si>
  <si>
    <t>Busan Univ. NC Store</t>
  </si>
  <si>
    <t>1F-2F, 2, Busandaehak-ro 63beon-gil, Geumjeong-gu</t>
  </si>
  <si>
    <t>1F-2F, 2, Busandaehak-ro 63beon-gil, Geumjeong-gu;;46241;Busan</t>
  </si>
  <si>
    <t>KR0028</t>
  </si>
  <si>
    <t>Starfield Hanam Store</t>
  </si>
  <si>
    <t>Hanam</t>
  </si>
  <si>
    <t>1F, 750, Misa-daero, Hanam-si</t>
  </si>
  <si>
    <t>1F, 750, Misa-daero, Hanam-si;;12942;Gyeonggi-do</t>
  </si>
  <si>
    <t>KR0029</t>
  </si>
  <si>
    <t>Songdo Triple Street</t>
  </si>
  <si>
    <t>1F-2F, 33-1, Songdogwahak-ro 16beon-gil, Yeonsu-gu</t>
  </si>
  <si>
    <t>1F-2F, 33-1, Songdogwahak-ro 16beon-gil, Yeonsu-gu;;21984;Incheon</t>
  </si>
  <si>
    <t>KR0030</t>
  </si>
  <si>
    <t>Starfield Goyang Store</t>
  </si>
  <si>
    <t>1F, 1955 Goyang-daero, Deokyang-gu, Goyang-si</t>
  </si>
  <si>
    <t>1F, 1955 Goyang-daero, Deokyang-gu, Goyang-si;;10595;Gyeonggi-do</t>
  </si>
  <si>
    <t>KR0031</t>
  </si>
  <si>
    <t>Starfield COEX Store</t>
  </si>
  <si>
    <t>B1F, 513, Yeongdong-daero, Gangnam-gu</t>
  </si>
  <si>
    <t>B1F, 513, Yeongdong-daero, Gangnam-gu;;06164;Seoul</t>
  </si>
  <si>
    <t>KR0033</t>
  </si>
  <si>
    <t>Daejeon Dunsan Store</t>
  </si>
  <si>
    <t>Daejeon</t>
  </si>
  <si>
    <t>B1F-1F, 216, Daedeok-daero, Seo-gu</t>
  </si>
  <si>
    <t>B1F-1F, 216, Daedeok-daero, Seo-gu;;35233;Daejeon</t>
  </si>
  <si>
    <t>KR0035</t>
  </si>
  <si>
    <t>AK&amp; Sejong Store</t>
  </si>
  <si>
    <t>Sejong</t>
  </si>
  <si>
    <t>1-2F, 411, Hannuri-daero</t>
  </si>
  <si>
    <t>1-2F, 411, Hannuri-daero;;339012;Sejong</t>
  </si>
  <si>
    <t>KR0038</t>
  </si>
  <si>
    <t>Bucheon Sangdong Homeplus Store</t>
  </si>
  <si>
    <t>Bucheon</t>
  </si>
  <si>
    <t>2F, 118, Gilju-ro Bucheon-si</t>
  </si>
  <si>
    <t>2F, 118, Gilju-ro Bucheon-si;;14545;Gyeonggi-do</t>
  </si>
  <si>
    <t>KR0040</t>
  </si>
  <si>
    <t>Shinsegae Simon Paju</t>
  </si>
  <si>
    <t>Paju</t>
  </si>
  <si>
    <t>200 Pilseung-ro Tanhyeon-myeon Paju-si</t>
  </si>
  <si>
    <t>200 Pilseung-ro Tanhyeon-myeon Paju-si;;10862;Gyeonggi-do</t>
  </si>
  <si>
    <t>KR0041</t>
  </si>
  <si>
    <t>Gangnam Shinsegae Store</t>
  </si>
  <si>
    <t>B1F, Famille Street, 176 Shinbanpo-ro, Seocho-gu</t>
  </si>
  <si>
    <t>B1F, Famille Street, 176 Shinbanpo-ro, Seocho-gu;;06546;Seoul</t>
  </si>
  <si>
    <t>KR0042</t>
  </si>
  <si>
    <t>Suji Lotte Mall Store</t>
  </si>
  <si>
    <t>Yongin</t>
  </si>
  <si>
    <t>B1F, 38, Seongbok2-ro, Suji-gu, Yongin-si</t>
  </si>
  <si>
    <t>B1F, 38, Seongbok2-ro, Suji-gu, Yongin-si;;16847;Gyeonggi-do</t>
  </si>
  <si>
    <t>KR0046</t>
  </si>
  <si>
    <t>Changwon City7 Mall</t>
  </si>
  <si>
    <t>Changwon</t>
  </si>
  <si>
    <t>the City Seven Mall, 320 Woni-daero, Uichang-gu, Changwon-si</t>
  </si>
  <si>
    <t>the City Seven Mall, 320 Woni-daero, Uichang-gu, Changwon-si;;51408;Gyeongsangnam-do</t>
  </si>
  <si>
    <t>KR0047</t>
  </si>
  <si>
    <t>Bucheon Starfield city store</t>
  </si>
  <si>
    <t>768, Okgil-dong, Bucheon-si</t>
  </si>
  <si>
    <t>768, Okgil-dong, Bucheon-si;;14297;Gyeonggido</t>
  </si>
  <si>
    <t>KR0048</t>
  </si>
  <si>
    <t>Busan Myeongji Starfield city</t>
  </si>
  <si>
    <t>2F, 3438, Myeongji-dong, Gangseo-gu</t>
  </si>
  <si>
    <t>2F, 3438, Myeongji-dong, Gangseo-gu;;618-200;Busan</t>
  </si>
  <si>
    <t>KR0050</t>
  </si>
  <si>
    <t>H&amp;M Anseong Starfield</t>
  </si>
  <si>
    <t>Anseong</t>
  </si>
  <si>
    <t>1F-2F, 5-6 Jinsa-ri, Gongdo-eup, Anseong-si</t>
  </si>
  <si>
    <t>1F-2F, 5-6 Jinsa-ri, Gongdo-eup, Anseong-si;;456-826;Gyeonggi-do</t>
  </si>
  <si>
    <t>KR0056</t>
  </si>
  <si>
    <t>Suwon AK Town Store</t>
  </si>
  <si>
    <t>Suwon</t>
  </si>
  <si>
    <t>924, Deokyoungdae-ro, Paldal-gu, Suwon-si</t>
  </si>
  <si>
    <t>924, Deokyoungdae-ro, Paldal-gu, Suwon-si;;16622;Gyeonggi-do</t>
  </si>
  <si>
    <t>KW0119</t>
  </si>
  <si>
    <t>Marina Mall</t>
  </si>
  <si>
    <t>Kuwait City</t>
  </si>
  <si>
    <t>Kuwait</t>
  </si>
  <si>
    <t>KW</t>
  </si>
  <si>
    <t>Salem Al- Mubarak Street</t>
  </si>
  <si>
    <t>Marina Mall;Salem Al- Mubarak Street;Salmiya;Kuwait</t>
  </si>
  <si>
    <t>KW0306</t>
  </si>
  <si>
    <t>Souk Sharq</t>
  </si>
  <si>
    <t>Sharq</t>
  </si>
  <si>
    <t>Souk Sharq;Sharq;-</t>
  </si>
  <si>
    <t>KW0360</t>
  </si>
  <si>
    <t>Awtad Mall</t>
  </si>
  <si>
    <t>Awtad Mall;;Jahra;Jahra</t>
  </si>
  <si>
    <t>KW0404</t>
  </si>
  <si>
    <t>Grand Avenues - The Avenues</t>
  </si>
  <si>
    <t>5th Ring Road</t>
  </si>
  <si>
    <t>Grand Avenues - The Avenues;5th Ring Road;Shuwaikh;Shuwaikh</t>
  </si>
  <si>
    <t>KW0578</t>
  </si>
  <si>
    <t>Gate Mall, Road 104 Block 5</t>
  </si>
  <si>
    <t>Street 250</t>
  </si>
  <si>
    <t>Gate Mall, Road 104 Block 5;Street 250;51001;Egaila - 21739</t>
  </si>
  <si>
    <t>KW0602</t>
  </si>
  <si>
    <t>Al Bairaq Mall</t>
  </si>
  <si>
    <t>Al Bairaq Mall;;Fintas;Fintas</t>
  </si>
  <si>
    <t>KW0981</t>
  </si>
  <si>
    <t>Salmiya High Street</t>
  </si>
  <si>
    <t>Salem Al Mubarak</t>
  </si>
  <si>
    <t>Salmiya High Street;Salem Al Mubarak;Salmiya;Salem Al Mubarak</t>
  </si>
  <si>
    <t>KW0991</t>
  </si>
  <si>
    <t>Street 54</t>
  </si>
  <si>
    <t>Street 54;;X</t>
  </si>
  <si>
    <t>KW1023</t>
  </si>
  <si>
    <t>Al Kout Mall</t>
  </si>
  <si>
    <t>Fahaheel</t>
  </si>
  <si>
    <t>Al Kout Mall;;XXX</t>
  </si>
  <si>
    <t>KW1052</t>
  </si>
  <si>
    <t>Safat 13052</t>
  </si>
  <si>
    <t>5th Ring Road;Safat 13052;Al Rai;5132</t>
  </si>
  <si>
    <t>KW1058</t>
  </si>
  <si>
    <t>5th Ring Road;;XXX</t>
  </si>
  <si>
    <t>KW1429</t>
  </si>
  <si>
    <t>Qadsiya Area</t>
  </si>
  <si>
    <t>Qadsiya Area;;00000</t>
  </si>
  <si>
    <t>KW1473</t>
  </si>
  <si>
    <t>The Avenues Mall</t>
  </si>
  <si>
    <t>Ghazali Street, Al-Rai- 5th Ring RoadØŒ Kuwait</t>
  </si>
  <si>
    <t>The Avenues Mall;Ghazali Street, Al-Rai- 5th Ring RoadØŒ Kuwait;x</t>
  </si>
  <si>
    <t>KZ0001</t>
  </si>
  <si>
    <t>Mega 2</t>
  </si>
  <si>
    <t>Almaty</t>
  </si>
  <si>
    <t>Kazakhstan</t>
  </si>
  <si>
    <t>KZ</t>
  </si>
  <si>
    <t>247 Rozybakiyev Str.</t>
  </si>
  <si>
    <t>Mega 2;247 Rozybakiyev Str.;050060;Almaty;Almaty</t>
  </si>
  <si>
    <t>KZ0002</t>
  </si>
  <si>
    <t>Mega Silk Way</t>
  </si>
  <si>
    <t>Astana</t>
  </si>
  <si>
    <t>Kabanbay Batira avenue, 62</t>
  </si>
  <si>
    <t>Mega Silk Way;Kabanbay Batira avenue, 62;010000;Astana</t>
  </si>
  <si>
    <t>KZ0003</t>
  </si>
  <si>
    <t>Mega Park</t>
  </si>
  <si>
    <t>Mukagali Makataev Street 127</t>
  </si>
  <si>
    <t>Mega Park;Mukagali Makataev Street 127;050000;Almaty;Almaty</t>
  </si>
  <si>
    <t>KZ0006</t>
  </si>
  <si>
    <t>SEC Aport</t>
  </si>
  <si>
    <t>Prospekt Rayimbeka</t>
  </si>
  <si>
    <t>SEC Aport;Prospekt Rayimbeka;050002;Almaty;Almaty</t>
  </si>
  <si>
    <t>KZ0007</t>
  </si>
  <si>
    <t>Forum Mall</t>
  </si>
  <si>
    <t>617 Seifullin str.</t>
  </si>
  <si>
    <t>Forum Mall;617 Seifullin str.;050000;Almaty;Almaty</t>
  </si>
  <si>
    <t>KZ0009</t>
  </si>
  <si>
    <t>Mart Taraz</t>
  </si>
  <si>
    <t>Taraz</t>
  </si>
  <si>
    <t>Tole bi street 27</t>
  </si>
  <si>
    <t>Mart Taraz;Tole bi street 27;080000;Taraz;Taraz</t>
  </si>
  <si>
    <t>LB0390</t>
  </si>
  <si>
    <t>Beirut city center</t>
  </si>
  <si>
    <t>Beirut</t>
  </si>
  <si>
    <t>Lebanon</t>
  </si>
  <si>
    <t>LB</t>
  </si>
  <si>
    <t>Hazmieh Highway</t>
  </si>
  <si>
    <t>Beirut city center;Hazmieh Highway;Beirut;Beirut</t>
  </si>
  <si>
    <t>LB0571</t>
  </si>
  <si>
    <t>The Spot Chouifat Mall</t>
  </si>
  <si>
    <t>The Spot Chouifat Mall;;x</t>
  </si>
  <si>
    <t>LT0501</t>
  </si>
  <si>
    <t>PC AKROPOLIS</t>
  </si>
  <si>
    <t>Vilnius</t>
  </si>
  <si>
    <t>Lithuania</t>
  </si>
  <si>
    <t>LT</t>
  </si>
  <si>
    <t>Ozo g. 25</t>
  </si>
  <si>
    <t>PC AKROPOLIS;Ozo g. 25;LT-07150;Vilnius</t>
  </si>
  <si>
    <t>LT0502</t>
  </si>
  <si>
    <t>Klaipeda</t>
  </si>
  <si>
    <t>Taikos av. 61</t>
  </si>
  <si>
    <t>PC AKROPOLIS;Taikos av. 61;LT-91182;Klaipeda</t>
  </si>
  <si>
    <t>LT0504</t>
  </si>
  <si>
    <t>PC PANORAMA</t>
  </si>
  <si>
    <t>SaltoniÅ¡iÅ³ g. 9</t>
  </si>
  <si>
    <t>PC PANORAMA;SaltoniÅ¡iÅ³ g. 9;LT-08105;Vilnius</t>
  </si>
  <si>
    <t>LT0505</t>
  </si>
  <si>
    <t>PPC OZAS</t>
  </si>
  <si>
    <t>Ozo st. 18</t>
  </si>
  <si>
    <t>PPC OZAS;Ozo st. 18;LT-08248;Vilnius</t>
  </si>
  <si>
    <t>LT0506</t>
  </si>
  <si>
    <t>Siauliai</t>
  </si>
  <si>
    <t>Aido St. 8</t>
  </si>
  <si>
    <t>PC AKROPOLIS;Aido St. 8;LT-78322;Siauliai</t>
  </si>
  <si>
    <t>LT0507</t>
  </si>
  <si>
    <t>PC GO9</t>
  </si>
  <si>
    <t>Gedimino av. 9</t>
  </si>
  <si>
    <t>PC GO9;Gedimino av. 9;LT-01103;Vilnius</t>
  </si>
  <si>
    <t>LT0508</t>
  </si>
  <si>
    <t>PC RYO</t>
  </si>
  <si>
    <t>Panevezys</t>
  </si>
  <si>
    <t>Savitiskio st. 61</t>
  </si>
  <si>
    <t>PC RYO;Savitiskio st. 61;LT-37189;Panevezys</t>
  </si>
  <si>
    <t>LT0509</t>
  </si>
  <si>
    <t>PLC MEGA</t>
  </si>
  <si>
    <t>Kaunas</t>
  </si>
  <si>
    <t>Islandijos pl. 32, Kaunas</t>
  </si>
  <si>
    <t>PLC MEGA;Islandijos pl. 32, Kaunas;LT-47019;Kaunas</t>
  </si>
  <si>
    <t>LT0510</t>
  </si>
  <si>
    <t>PC MOLAS</t>
  </si>
  <si>
    <t>K.Barsausko g. 66A</t>
  </si>
  <si>
    <t>PC MOLAS;K.Barsausko g. 66A;LT-51436;Kaunas</t>
  </si>
  <si>
    <t>LU0231</t>
  </si>
  <si>
    <t>Centre Rosenstiel</t>
  </si>
  <si>
    <t>Luxembourg, Weekday</t>
  </si>
  <si>
    <t>Luxembourg</t>
  </si>
  <si>
    <t>LU</t>
  </si>
  <si>
    <t>Grand Rue 83</t>
  </si>
  <si>
    <t>Area 5</t>
  </si>
  <si>
    <t>Grand Rue 83;Grand Rue 83;2340;Luxembourg;Area 5</t>
  </si>
  <si>
    <t>LU0249</t>
  </si>
  <si>
    <t>H&amp;M CC Auchan Kirchberg, Lxbg</t>
  </si>
  <si>
    <t>Rue Alphonse Weicker 5</t>
  </si>
  <si>
    <t>Rue Alphonse Weicker 5;;2721;Luxembourg;Area 5</t>
  </si>
  <si>
    <t>LU0252</t>
  </si>
  <si>
    <t>Rue de l'Alzette 19</t>
  </si>
  <si>
    <t>Esch-sur-Alzette</t>
  </si>
  <si>
    <t>Rue de l'Alzette 19;;4011;Esch-sur-Alzette;Area 5</t>
  </si>
  <si>
    <t>LU0606</t>
  </si>
  <si>
    <t>Schmiede Knauf Shopping Center</t>
  </si>
  <si>
    <t>Huldange</t>
  </si>
  <si>
    <t>10:30-18:30</t>
  </si>
  <si>
    <t>Op d'SchmÃ«tt 3</t>
  </si>
  <si>
    <t>Knauf Shopping Center Schmiede</t>
  </si>
  <si>
    <t>Op d'SchmÃ«tt 3;Knauf Shopping Center Schmiede;9964;Schmiede / Huldange;Area 5</t>
  </si>
  <si>
    <t>LU0615</t>
  </si>
  <si>
    <t>Belval Plaza I Shopping Center NÂ°0.58</t>
  </si>
  <si>
    <t>7, avenue de Rock n'Roll</t>
  </si>
  <si>
    <t>7, avenue de Rock n'Roll;7, avenue de Rock n'Roll;4361;Esch sur Alzette;Area 5</t>
  </si>
  <si>
    <t>LU0630</t>
  </si>
  <si>
    <t>La Belle Etoile Shopping Center</t>
  </si>
  <si>
    <t>Bertrange</t>
  </si>
  <si>
    <t>Route d'Arlon</t>
  </si>
  <si>
    <t>Route d'Arlon;Route d'Arlon;8500;Bertrange;Area 5</t>
  </si>
  <si>
    <t>LU0634</t>
  </si>
  <si>
    <t>Pommerloch Knauf Shopping Center</t>
  </si>
  <si>
    <t>Pommerloch</t>
  </si>
  <si>
    <t>route de bastogne 18</t>
  </si>
  <si>
    <t>route de bastogne 18;;9638;Pommerloch;Area 5</t>
  </si>
  <si>
    <t>LU0670</t>
  </si>
  <si>
    <t>Centre Commercial La Cloche d'Or</t>
  </si>
  <si>
    <t>Boulevard F.W. Raiffeisen 25</t>
  </si>
  <si>
    <t>Boulevard F.W. Raiffeisen 25;;2411;Luxembourg;Area 5</t>
  </si>
  <si>
    <t>LV0301</t>
  </si>
  <si>
    <t>Galerija Centrs</t>
  </si>
  <si>
    <t>Riga</t>
  </si>
  <si>
    <t>Latvia</t>
  </si>
  <si>
    <t>LV</t>
  </si>
  <si>
    <t>Audeju st. 16</t>
  </si>
  <si>
    <t>Galerija Centrs;Audeju st. 16;LV-1050;Riga</t>
  </si>
  <si>
    <t>LV0302</t>
  </si>
  <si>
    <t>Alfa</t>
  </si>
  <si>
    <t>Brivibas av. 372</t>
  </si>
  <si>
    <t>Alfa;Brivibas av. 372;Lv-1006;Riga</t>
  </si>
  <si>
    <t>LV0303</t>
  </si>
  <si>
    <t>Spice</t>
  </si>
  <si>
    <t>Lielirbes st.29</t>
  </si>
  <si>
    <t>Spice;Lielirbes st.29;LV-1046;Riga</t>
  </si>
  <si>
    <t>LV0304</t>
  </si>
  <si>
    <t>Mols</t>
  </si>
  <si>
    <t>Krasta st. 46</t>
  </si>
  <si>
    <t>Mols;Krasta st. 46;LV-1003;Riga</t>
  </si>
  <si>
    <t>LV0305</t>
  </si>
  <si>
    <t>Riga Plaza</t>
  </si>
  <si>
    <t>Mukusalas st. 71</t>
  </si>
  <si>
    <t>Riga Plaza;Mukusalas st. 71;LV-1004;Riga</t>
  </si>
  <si>
    <t>LV0306</t>
  </si>
  <si>
    <t>Domina</t>
  </si>
  <si>
    <t>IeriÄ·u st. 3</t>
  </si>
  <si>
    <t>Domina;IeriÄ·u st. 3;LV-1084;Riga</t>
  </si>
  <si>
    <t>LV0308</t>
  </si>
  <si>
    <t>Galleria Riga</t>
  </si>
  <si>
    <t>Dzirnavu st. 67</t>
  </si>
  <si>
    <t>Galleria Riga;Dzirnavu st. 67;LV-1011;Riga</t>
  </si>
  <si>
    <t>MA0231</t>
  </si>
  <si>
    <t>Marocco Mall</t>
  </si>
  <si>
    <t>Casablanca</t>
  </si>
  <si>
    <t>Morocco</t>
  </si>
  <si>
    <t>MA</t>
  </si>
  <si>
    <t>Atlantic Ocean Street</t>
  </si>
  <si>
    <t>Marocco Mall;Atlantic Ocean Street;Casablanca;Casablanca</t>
  </si>
  <si>
    <t>MA0253</t>
  </si>
  <si>
    <t>Marrakesh</t>
  </si>
  <si>
    <t>Marrakesh;;47963</t>
  </si>
  <si>
    <t>MA0263</t>
  </si>
  <si>
    <t>Boulevard El Massira El Khadra</t>
  </si>
  <si>
    <t>Boulevard El Massira El Khadra;;X</t>
  </si>
  <si>
    <t>MA0873</t>
  </si>
  <si>
    <t>Avenue Inaouin, Rabat, Morocco</t>
  </si>
  <si>
    <t>Rabat</t>
  </si>
  <si>
    <t>Avenue Inaouin, Rabat, Morocco;;X</t>
  </si>
  <si>
    <t>MO0902</t>
  </si>
  <si>
    <t>H&amp;M The Venetian Macau Store</t>
  </si>
  <si>
    <t>Macao</t>
  </si>
  <si>
    <t>Macao SAR</t>
  </si>
  <si>
    <t>MO</t>
  </si>
  <si>
    <t>Shop 205, Lion Street, The VenetianÂ® Macao-Resort-Hotel</t>
  </si>
  <si>
    <t>H&amp;M The Venetian Macau Store;Shop 205, Lion Street, The VenetianÂ® Macao-Resort-Hotel;-;Taipa</t>
  </si>
  <si>
    <t>MX0001</t>
  </si>
  <si>
    <t>Centro Santa Fe</t>
  </si>
  <si>
    <t>Ciudad de MÃ©xico</t>
  </si>
  <si>
    <t>Mexico</t>
  </si>
  <si>
    <t>MX</t>
  </si>
  <si>
    <t>Av. Vasco de Quiroga 3800, Cuajimalpa de Morelos</t>
  </si>
  <si>
    <t>D.F.</t>
  </si>
  <si>
    <t>Centro Santa Fe;Av. Vasco de Quiroga 3800, Cuajimalpa de Morelos;01219;Ciudad de Mexico;D.F.</t>
  </si>
  <si>
    <t>MX0002</t>
  </si>
  <si>
    <t>Centro Comercial Galerias Guadalajara</t>
  </si>
  <si>
    <t>Av. Rafael Sanzio 150  Local S7, Colonia La Estancia</t>
  </si>
  <si>
    <t>Jalisco</t>
  </si>
  <si>
    <t>Centro Comercial Galerias Guadalajara;Av. Rafael Sanzio 150  Local S7, Colonia La Estancia;45030;Municipio de Zapopan;Jalisco</t>
  </si>
  <si>
    <t>MX0003</t>
  </si>
  <si>
    <t>Antea Life Style Center</t>
  </si>
  <si>
    <t>QuerÃ©taro, QA</t>
  </si>
  <si>
    <t>Carretera QuerÃ©taro-San Luis PotosÃ­ 12401, Ejido el Salitre</t>
  </si>
  <si>
    <t>QuerÃ©taro</t>
  </si>
  <si>
    <t>Antea Life Style Center;Carretera QuerÃ©taro-San Luis PotosÃ­ 12401, Ejido el Salitre;76100;Del. Felix Osores Montemayor;QuerÃ©taro</t>
  </si>
  <si>
    <t>MX0004</t>
  </si>
  <si>
    <t>Centro Comercial Altacia Leon Sur</t>
  </si>
  <si>
    <t>Leon</t>
  </si>
  <si>
    <t>Blvd. Aeropuerto #104 Local L-1002</t>
  </si>
  <si>
    <t>Guanajuato</t>
  </si>
  <si>
    <t>Centro Comercial Altacia Leon Sur;Blvd. Aeropuerto #104 Local L-1002;37530;Leon;Guanajuato</t>
  </si>
  <si>
    <t>MX0006</t>
  </si>
  <si>
    <t>Via Vallejo</t>
  </si>
  <si>
    <t>Calz Vallejo S/N Colonia Sta Cruz de las Salinas</t>
  </si>
  <si>
    <t>MÃ©xico, D.F.</t>
  </si>
  <si>
    <t>Via Vallejo;Calz Vallejo S/N Colonia Sta Cruz de las Salinas;02300;Azcapotzalco;MÃ©xico, D.F.</t>
  </si>
  <si>
    <t>MX0007</t>
  </si>
  <si>
    <t>Paseo Altozano, Av. MontaÃ±a Monarca Norte #1000</t>
  </si>
  <si>
    <t>Morelia</t>
  </si>
  <si>
    <t>Col. Desarrollo MontaÃ±a Monarca</t>
  </si>
  <si>
    <t>Michoacan</t>
  </si>
  <si>
    <t>Paseo Altozano, Av. MontaÃ±a Monarca Norte #1000;Col. Desarrollo MontaÃ±a Monarca;58350;Morelia;Michoacan</t>
  </si>
  <si>
    <t>MX0008</t>
  </si>
  <si>
    <t>Parque Comercial Toreo</t>
  </si>
  <si>
    <t>MÃ©xico</t>
  </si>
  <si>
    <t>Blvd Manuel Ãvila Camacho #5, Local L106</t>
  </si>
  <si>
    <t>Parque Comercial Toreo;Blvd Manuel Ãvila Camacho #5, Local L106;53390;Col. Lomas de Sotelo, Naucalpan;D.F.</t>
  </si>
  <si>
    <t>MX0009</t>
  </si>
  <si>
    <t>H&amp;M Fashion Drive / Plaza Fiesta San AgustÃ­n</t>
  </si>
  <si>
    <t>Monterrey</t>
  </si>
  <si>
    <t>BatallÃ³n de San Patricio 1000, Col. Residencial San AgustÃ­n</t>
  </si>
  <si>
    <t>Nuevo LeÃ³n</t>
  </si>
  <si>
    <t>H&amp;M Fashion Drive / Plaza Fiesta San AgustÃ­n;BatallÃ³n de San Patricio 1000, Col. Residencial San AgustÃ­n;66260;Monterrey;Nuevo LeÃ³n</t>
  </si>
  <si>
    <t>MX0010</t>
  </si>
  <si>
    <t>Calle Francisco I. Madero #26 &amp; #28</t>
  </si>
  <si>
    <t>Col. Centro, DelecgaciÃ³n Cuauhtemoc</t>
  </si>
  <si>
    <t>Calle Francisco I. Madero #26 &amp; #28;Col. Centro, DelecgaciÃ³n Cuauhtemoc;06000;MÃ©xico;D.F.</t>
  </si>
  <si>
    <t>MX0011</t>
  </si>
  <si>
    <t>Comercial Downtown Playa</t>
  </si>
  <si>
    <t>Playa del Carmen</t>
  </si>
  <si>
    <t>5a Avenida #238 esq con Calle 12, Colonia Centro</t>
  </si>
  <si>
    <t>Quintana Roo</t>
  </si>
  <si>
    <t>Comercial Downtown Playa;5a Avenida #238 esq con Calle 12, Colonia Centro;77710;Playa del Carmen;Quintana Roo</t>
  </si>
  <si>
    <t>MX0012</t>
  </si>
  <si>
    <t>Blvd. Puerta de Hierro 4965</t>
  </si>
  <si>
    <t>Col. Puerta de Hierro</t>
  </si>
  <si>
    <t>Blvd. Puerta de Hierro 4965;Col. Puerta de Hierro;45116;Municipio de Zapopan;Jalisco</t>
  </si>
  <si>
    <t>MX0013</t>
  </si>
  <si>
    <t>Galerias SerdÃ¡n</t>
  </si>
  <si>
    <t>Puebla</t>
  </si>
  <si>
    <t>Blvd Hermanos SerdÃ¡n 270, Colonia Posadas</t>
  </si>
  <si>
    <t>Galerias SerdÃ¡n;Blvd Hermanos SerdÃ¡n 270, Colonia Posadas;72062;Puebla;Puebla</t>
  </si>
  <si>
    <t>MX0014</t>
  </si>
  <si>
    <t>Paseo Tollocan</t>
  </si>
  <si>
    <t>Toluca</t>
  </si>
  <si>
    <t>Calle Roberto Fulton, Del Santa Ana Tlapaltitlan, Toluca</t>
  </si>
  <si>
    <t>Paseo Tollocan;Calle Roberto Fulton, Del Santa Ana Tlapaltitlan, Toluca;50160;MÃ©xico</t>
  </si>
  <si>
    <t>MX0015</t>
  </si>
  <si>
    <t>Andamar</t>
  </si>
  <si>
    <t>Veracruz</t>
  </si>
  <si>
    <t>Blvd Adolfo RuÃ­z Cortines 4300, Colonia Playa de Oro</t>
  </si>
  <si>
    <t>Andamar;Blvd Adolfo RuÃ­z Cortines 4300, Colonia Playa de Oro;94290;Boca del Rio;Veracruz</t>
  </si>
  <si>
    <t>MX0016</t>
  </si>
  <si>
    <t>El Dorado</t>
  </si>
  <si>
    <t>Carretera Boca del Rio - Anton Lizardo #4405, Col. El Estero</t>
  </si>
  <si>
    <t>El Dorado;Carretera Boca del Rio - Anton Lizardo #4405, Col. El Estero;94286;Boca del Rio;Veracruz</t>
  </si>
  <si>
    <t>MX0017</t>
  </si>
  <si>
    <t>Galerias Mazatlan</t>
  </si>
  <si>
    <t>Mazatlan</t>
  </si>
  <si>
    <t>Avenida del Delfin 64, Fracc La Marina</t>
  </si>
  <si>
    <t>Sinaloa</t>
  </si>
  <si>
    <t>Galerias Mazatlan;Avenida del Delfin 64, Fracc La Marina;82100;Mazatlan;Sinaloa</t>
  </si>
  <si>
    <t>MX0018</t>
  </si>
  <si>
    <t>Sor Juana InÃ©s de La Cruz #232 &amp; 280</t>
  </si>
  <si>
    <t>Colonia San Lorenzo, Municipio de Tlalnepantla de Baz</t>
  </si>
  <si>
    <t>Sor Juana InÃ©s de La Cruz #232 &amp; 280;Colonia San Lorenzo, Municipio de Tlalnepantla de Baz;54033;MÃ©xico</t>
  </si>
  <si>
    <t>MX0019</t>
  </si>
  <si>
    <t>Cosmopol</t>
  </si>
  <si>
    <t>Via Jose Lopez Portillo #1</t>
  </si>
  <si>
    <t>Col. San Francisco Coacalco, Cocalco de Berriozabal</t>
  </si>
  <si>
    <t>Via Jose Lopez Portillo #1;Col. San Francisco Coacalco, Cocalco de Berriozabal;55712;MÃ©xico</t>
  </si>
  <si>
    <t>MX0020</t>
  </si>
  <si>
    <t>H&amp;M Puerto Cancun</t>
  </si>
  <si>
    <t>CancÃºn</t>
  </si>
  <si>
    <t>Avenida Bonampak Z.T. Locales A28 y B23, Benito Juarez</t>
  </si>
  <si>
    <t>H&amp;M Puerto Cancun;Avenida Bonampak Z.T. Locales A28 y B23, Benito Juarez;77500;CancÃºn;Quintana Roo</t>
  </si>
  <si>
    <t>MX0021</t>
  </si>
  <si>
    <t>H&amp;M Mundo E Blvd Manuel Avila Camacho</t>
  </si>
  <si>
    <t>Tlalnepantla de Baz</t>
  </si>
  <si>
    <t>No. 1007, Col. San Lucas Tepetlacalco</t>
  </si>
  <si>
    <t>H&amp;M Mundo E Blvd Manuel Avila Camacho;No. 1007, Col. San Lucas Tepetlacalco;54055;Tlalnepantla De Baz;MÃ©xico</t>
  </si>
  <si>
    <t>MX0023</t>
  </si>
  <si>
    <t>Fashion Mall Tuxtla - Local SA-02</t>
  </si>
  <si>
    <t>Tuxtla GutiÃ©rrez</t>
  </si>
  <si>
    <t>Carretera Tuxtla Chiapa de Corzo #651</t>
  </si>
  <si>
    <t>Chiapas</t>
  </si>
  <si>
    <t>Fashion Mall Tuxtla - Local SA-02;Carretera Tuxtla Chiapa de Corzo #651;29000;Tuxtla GutiÃ©rrez;Chiapas</t>
  </si>
  <si>
    <t>MX0024</t>
  </si>
  <si>
    <t>Esfera City Center</t>
  </si>
  <si>
    <t>San Pedro Garza GarcÃ­a</t>
  </si>
  <si>
    <t>Carretera Nacional Monterrey - Cd. Victoria km 268</t>
  </si>
  <si>
    <t>Esfera City Center;Carretera Nacional Monterrey - Cd. Victoria km 268;64984;Colonia La Rioja, Monterrey;Nuevo LeÃ³n</t>
  </si>
  <si>
    <t>MX0025</t>
  </si>
  <si>
    <t>Barranca del Muerto</t>
  </si>
  <si>
    <t>Avenida Revolucion 1267, Colonia Campestre, Delegacion Alvar</t>
  </si>
  <si>
    <t>Barranca del Muerto;Avenida Revolucion 1267, Colonia Campestre, Delegacion Alvar;01040;MÃ©xico;D.F.</t>
  </si>
  <si>
    <t>MX0026</t>
  </si>
  <si>
    <t>Centro Comercial Plaza Mayor</t>
  </si>
  <si>
    <t>Blvd. Juan Alonso de Torres #2002</t>
  </si>
  <si>
    <t>Centro Comercial Plaza Mayor;Blvd. Juan Alonso de Torres #2002;37150;LeÃ³n;Guanajuato</t>
  </si>
  <si>
    <t>MX0027</t>
  </si>
  <si>
    <t>Las Plazas Outlet Lerma - Local L99</t>
  </si>
  <si>
    <t>Carretera MÃ©xico-Toluca kÃ­lometro 48.5 Colonia la Isla Lerma</t>
  </si>
  <si>
    <t>Las Plazas Outlet Lerma - Local L99;Carretera MÃ©xico-Toluca kÃ­lometro 48.5 Colonia la Isla Lerma;52000;Lerma;MÃ©xico</t>
  </si>
  <si>
    <t>MX0028</t>
  </si>
  <si>
    <t>Plaza Cibeles</t>
  </si>
  <si>
    <t>Irapuato</t>
  </si>
  <si>
    <t>Blvd. A Villas de Irapuato #1443,Col. Ejido Irapuato</t>
  </si>
  <si>
    <t>Plaza Cibeles;Blvd. A Villas de Irapuato #1443,Col. Ejido Irapuato;C.P. 36643;Irapuato;Guanajuato</t>
  </si>
  <si>
    <t>MX0029</t>
  </si>
  <si>
    <t>Parque Tezontle</t>
  </si>
  <si>
    <t>Av Canal de Tezontle 1512, Iztapalapa, Alfonso Ortiz Tirado</t>
  </si>
  <si>
    <t>Parque Tezontle;Av Canal de Tezontle 1512, Iztapalapa, Alfonso Ortiz Tirado;09020;Ciudad de MÃ©xico;D.F.</t>
  </si>
  <si>
    <t>MX0030</t>
  </si>
  <si>
    <t>Perisur</t>
  </si>
  <si>
    <t>Anillo PerifÃ©rico Sur, NÃºmero 4690, LOCAL 248,</t>
  </si>
  <si>
    <t>Perisur;Anillo PerifÃ©rico Sur, NÃºmero 4690, LOCAL 248,;04500;Ciudad de Mexico;D.F.</t>
  </si>
  <si>
    <t>MX0031</t>
  </si>
  <si>
    <t>Manacar</t>
  </si>
  <si>
    <t>Insurgentes Sur 1457</t>
  </si>
  <si>
    <t>Manacar;Insurgentes Sur 1457;03920;MÃ©xico;D.F.</t>
  </si>
  <si>
    <t>MX0032</t>
  </si>
  <si>
    <t>Punto La Victoria</t>
  </si>
  <si>
    <t>Avenida Constituyentes #40, Colonia Centro Historico</t>
  </si>
  <si>
    <t>Punto La Victoria;Avenida Constituyentes #40, Colonia Centro Historico;76046;QuerÃ©taro;QuerÃ©taro</t>
  </si>
  <si>
    <t>MX0033</t>
  </si>
  <si>
    <t>La Isla CancÃºn</t>
  </si>
  <si>
    <t>Lote 18-10, Manzana 52, SecciÃ³n A, Boulevard Kukulkan</t>
  </si>
  <si>
    <t>La Isla CancÃºn;Lote 18-10, Manzana 52, SecciÃ³n A, Boulevard Kukulkan;77500;CancÃºn;Quintana Roo</t>
  </si>
  <si>
    <t>MX0035</t>
  </si>
  <si>
    <t>Paseo Interlomas</t>
  </si>
  <si>
    <t>Calle Privada Retorno 7 #1, Col Conjunto Urbano Green House</t>
  </si>
  <si>
    <t>Paseo Interlomas;Calle Privada Retorno 7 #1, Col Conjunto Urbano Green House;52787;Muniipio Huixquilucan;MÃ©xico</t>
  </si>
  <si>
    <t>MX0036</t>
  </si>
  <si>
    <t>Averanda</t>
  </si>
  <si>
    <t>Cuernavaca</t>
  </si>
  <si>
    <t>Libramiento Km 87.5 y retorno Fabricas #102, Col Chapultepec</t>
  </si>
  <si>
    <t>Morelos</t>
  </si>
  <si>
    <t>Averanda;Libramiento Km 87.5 y retorno Fabricas #102, Col Chapultepec;62370;Cuernavaca;Morelos</t>
  </si>
  <si>
    <t>MX0037</t>
  </si>
  <si>
    <t>H&amp;M Galerias Atizapan</t>
  </si>
  <si>
    <t>AtizapÃ¡n de Zaragoza</t>
  </si>
  <si>
    <t>Av. Ruiz Cortines #255, Colonia Lomas de Atizapan</t>
  </si>
  <si>
    <t>H&amp;M Galerias Atizapan;Av. Ruiz Cortines #255, Colonia Lomas de Atizapan;529277;Atizapan de Zaragoza;MÃ©xico</t>
  </si>
  <si>
    <t>MX0038</t>
  </si>
  <si>
    <t>Centro Comercial Paseo La Fe</t>
  </si>
  <si>
    <t>Av Miguel Aleman #200 Col Talaverna San Nicolas de los Garza</t>
  </si>
  <si>
    <t>Centro Comercial Paseo La Fe;Av Miguel Aleman #200 Col Talaverna San Nicolas de los Garza;66470;Monterrey;Nuevo LeÃ³n</t>
  </si>
  <si>
    <t>MX0039</t>
  </si>
  <si>
    <t>Galerias Valle Oriente</t>
  </si>
  <si>
    <t>Av. Lazaro Cardenas #1000, Col Valle del Mirador</t>
  </si>
  <si>
    <t>Galerias Valle Oriente;Av. Lazaro Cardenas #1000, Col Valle del Mirador;64750;San Pedro Garza Garcia, Monterrey;Nuevo LeÃ³n</t>
  </si>
  <si>
    <t>MX0040</t>
  </si>
  <si>
    <t>Parque Delta</t>
  </si>
  <si>
    <t>Benito JuÃ¡rez Narvarte</t>
  </si>
  <si>
    <t>Parque Delta Av. CuauhtÃ©moc No. 462</t>
  </si>
  <si>
    <t>Col. Narvarte, DelegaciÃ³n Benito JuÃ¡rez</t>
  </si>
  <si>
    <t>Parque Delta Av. CuauhtÃ©moc No. 462;Col. Narvarte, DelegaciÃ³n Benito JuÃ¡rez;03020;MÃ©xico;D.F.</t>
  </si>
  <si>
    <t>MX0041</t>
  </si>
  <si>
    <t>Boulevard Francisco Medina Ascencio,</t>
  </si>
  <si>
    <t>Puerto Vallarta</t>
  </si>
  <si>
    <t>Colonia Zona Hotelera Norte,No. 2479</t>
  </si>
  <si>
    <t>Boulevard Francisco Medina Ascencio,;Colonia Zona Hotelera Norte,No. 2479;48300;Puerto Vallarta;Jalisco</t>
  </si>
  <si>
    <t>MX0042</t>
  </si>
  <si>
    <t>GalerÃ­as Saltillo</t>
  </si>
  <si>
    <t>Saltillo</t>
  </si>
  <si>
    <t>Blvd NAZARIO ORTIZ GARZA NUMBER 2345 COLONIA TANQUE DE PEÃ‘A</t>
  </si>
  <si>
    <t>Coahuila</t>
  </si>
  <si>
    <t>GalerÃ­as Saltillo;Blvd NAZARIO ORTIZ GARZA NUMBER 2345 COLONIA TANQUE DE PEÃ‘A;25279;Saltillo;Coahuila</t>
  </si>
  <si>
    <t>MX0043</t>
  </si>
  <si>
    <t>GalerÃ­as Pachuca</t>
  </si>
  <si>
    <t>Pachuca</t>
  </si>
  <si>
    <t>CAMINO REAL DE LA PLATA #102, LOCAL SUBANCLA</t>
  </si>
  <si>
    <t>Hidalgo</t>
  </si>
  <si>
    <t>GalerÃ­as Pachuca;CAMINO REAL DE LA PLATA #102, LOCAL SUBANCLA;42083;Pachuca;Hidalgo</t>
  </si>
  <si>
    <t>MX0044</t>
  </si>
  <si>
    <t>GalerÃ­as MÃ©rida</t>
  </si>
  <si>
    <t>MÃ©rida</t>
  </si>
  <si>
    <t>THREE STREET, NUMBER 218-Ã‘, INTERIOR (LOCAL) 401</t>
  </si>
  <si>
    <t>Yucatan</t>
  </si>
  <si>
    <t>GalerÃ­as MÃ©rida;THREE STREET, NUMBER 218-Ã‘, INTERIOR (LOCAL) 401;97110;COLONIA XCUMPICH,MÃ©rida;Yucatan</t>
  </si>
  <si>
    <t>MX0045</t>
  </si>
  <si>
    <t>GalerÃ­as Santa Anita</t>
  </si>
  <si>
    <t>GalerÃ­as Santa Anita;;45645;Guadalajara;Jalisco</t>
  </si>
  <si>
    <t>MX0046</t>
  </si>
  <si>
    <t>Plaza Cumbres</t>
  </si>
  <si>
    <t>hacienda penguillas #6771, Colonia Cumbres</t>
  </si>
  <si>
    <t>Plaza Cumbres;hacienda penguillas #6771, Colonia Cumbres;65619;Monterrey;Nuevo LeÃ³n</t>
  </si>
  <si>
    <t>MX0047</t>
  </si>
  <si>
    <t>Malecon Cancun</t>
  </si>
  <si>
    <t>TULUM SUR AVENUE MANZANA 4 Y 9 SUPERMANZANA 7 LOCAL A01</t>
  </si>
  <si>
    <t>Malecon Cancun;TULUM SUR AVENUE MANZANA 4 Y 9 SUPERMANZANA 7 LOCAL A01;77500;Cancun;Quintana Roo</t>
  </si>
  <si>
    <t>MX0049</t>
  </si>
  <si>
    <t>La Perla,AVENIDA MARIANO OTERO, NO. 3000, LOCAL E-109,</t>
  </si>
  <si>
    <t>Municipio de Zapopan</t>
  </si>
  <si>
    <t>COL. JARDINES DEL SOL</t>
  </si>
  <si>
    <t>La Perla,AVENIDA MARIANO OTERO, NO. 3000, LOCAL E-109,;COL. JARDINES DEL SOL;45050;Municipio de Zapopan;Jalisco</t>
  </si>
  <si>
    <t>MX0052</t>
  </si>
  <si>
    <t>Canal de Garay No. 3276, Del. Iztapalapa, Distrito Federal</t>
  </si>
  <si>
    <t>Iztapalapa</t>
  </si>
  <si>
    <t>Canal de Garay No. 3276, Del. Iztapalapa, Distrito Federal;;09919;Del. Iztapalapa;MÃ©xico, D.F.</t>
  </si>
  <si>
    <t>MX0053</t>
  </si>
  <si>
    <t>Parque Puebla</t>
  </si>
  <si>
    <t>CALZADA IGNACIO ZARAGOZA, NO. 410, LOCAL 156-158D</t>
  </si>
  <si>
    <t>Parque Puebla;CALZADA IGNACIO ZARAGOZA, NO. 410, LOCAL 156-158D;72220;la cienega,LA CIUDAD DE PUEBLA;Puebla</t>
  </si>
  <si>
    <t>MX0054</t>
  </si>
  <si>
    <t>GalerÃ­as Laguna</t>
  </si>
  <si>
    <t>Torreon</t>
  </si>
  <si>
    <t>PERIFERICO RAÃšL LÃ“PEZ SÃNCHEZ NO. 6000 , LOCAL 300</t>
  </si>
  <si>
    <t>GalerÃ­as Laguna;PERIFERICO RAÃšL LÃ“PEZ SÃNCHEZ NO. 6000 , LOCAL 300;27018;TorreÃ³n;Coahuila</t>
  </si>
  <si>
    <t>MX0055</t>
  </si>
  <si>
    <t>Anillo Vial Fray Junipero Serra No. 7901,</t>
  </si>
  <si>
    <t>LC. PB-16, Colonia La Purisima,</t>
  </si>
  <si>
    <t>Anillo Vial Fray Junipero Serra No. 7901,;LC. PB-16, Colonia La Purisima,;76144;QuerÃ©taro;QuerÃ©taro</t>
  </si>
  <si>
    <t>MX0056</t>
  </si>
  <si>
    <t>Alejandra 512 Local A-01a, San Pedro Cholula</t>
  </si>
  <si>
    <t>Alejandra 512 Local A-01a, San Pedro Cholula;;72775;Puebla;Puebla</t>
  </si>
  <si>
    <t>MX0057</t>
  </si>
  <si>
    <t>Jacarandas 103</t>
  </si>
  <si>
    <t>Paseo de Los Ficus</t>
  </si>
  <si>
    <t>Jacarandas 103;Paseo de Los Ficus;62370;Cuernavaca;Morelos</t>
  </si>
  <si>
    <t>MX0058</t>
  </si>
  <si>
    <t>Calle 88 # 608 Plaza la Isla Cabo</t>
  </si>
  <si>
    <t>Calle 88 # 608 Plaza la Isla Cabo;;97143;Merida;Yucatan</t>
  </si>
  <si>
    <t>MX0059</t>
  </si>
  <si>
    <t>Avenida Ejercito Mexicano 706</t>
  </si>
  <si>
    <t>Tampico</t>
  </si>
  <si>
    <t>Tamaulipas</t>
  </si>
  <si>
    <t>Avenida Ejercito Mexicano 706;;89130;Colonias Primavera, Tampico;Tamaulipas</t>
  </si>
  <si>
    <t>MX0060</t>
  </si>
  <si>
    <t>Midtown Jalisco</t>
  </si>
  <si>
    <t>Calle de Colomos #2339</t>
  </si>
  <si>
    <t>Midtown Jalisco;Calle de Colomos #2339;44648;Colonia Providencia, Guadalajara;Jalisco</t>
  </si>
  <si>
    <t>MX0061</t>
  </si>
  <si>
    <t>Boulevard Zacatecas Norte #849</t>
  </si>
  <si>
    <t>Aguascalientes</t>
  </si>
  <si>
    <t>Boulevard Zacatecas Norte #849;;20126;Aguas Calientes;Aguascalientes</t>
  </si>
  <si>
    <t>MX0062</t>
  </si>
  <si>
    <t>Fashion Mall Chihuahua</t>
  </si>
  <si>
    <t>Chihuahua</t>
  </si>
  <si>
    <t>Periferico de la Juventud 3400, Plaza del Sol</t>
  </si>
  <si>
    <t>Fashion Mall Chihuahua;Periferico de la Juventud 3400, Plaza del Sol;31410;Chihuahua;Chihuahua</t>
  </si>
  <si>
    <t>MX0063</t>
  </si>
  <si>
    <t>OceanÃ­a</t>
  </si>
  <si>
    <t>Calle Ote., No. 158 389</t>
  </si>
  <si>
    <t>Calle Ote., No. 158 389;;15530;MÃ©xico, D.F.</t>
  </si>
  <si>
    <t>MX0065</t>
  </si>
  <si>
    <t>Galerias Monterrey</t>
  </si>
  <si>
    <t>Av Insurgentes 2500, Sin Nombre de Col 31</t>
  </si>
  <si>
    <t>Galerias Monterrey;Av Insurgentes 2500, Sin Nombre de Col 31;64620;Monterrey;Nuevo LeÃ³n</t>
  </si>
  <si>
    <t>MY0801</t>
  </si>
  <si>
    <t>Lot 10</t>
  </si>
  <si>
    <t>Kuala Lumpur</t>
  </si>
  <si>
    <t>Malaysia</t>
  </si>
  <si>
    <t>MY</t>
  </si>
  <si>
    <t>50 Jalan Sultan Ismail</t>
  </si>
  <si>
    <t>C-17, UC-10, G-1, Lot 10 Shopping Mall</t>
  </si>
  <si>
    <t>50 Jalan Sultan Ismail;C-17, UC-10, G-1, Lot 10 Shopping Mall;55100;Kuala Lumpur</t>
  </si>
  <si>
    <t>MY0802</t>
  </si>
  <si>
    <t>Setia City Mall</t>
  </si>
  <si>
    <t>No. 7, Persiaran Setia Dagang, Shah Alam Seksyen U13</t>
  </si>
  <si>
    <t>UG-MM03, 04, Setia City Mall</t>
  </si>
  <si>
    <t>No. 7, Persiaran Setia Dagang, Shah Alam Seksyen U13;UG-MM03, 04, Setia City Mall;40170;Sek U13 Shah Alam</t>
  </si>
  <si>
    <t>MY0803</t>
  </si>
  <si>
    <t>Paradigm Mall</t>
  </si>
  <si>
    <t>No. 1 Jalan SS 7/26A</t>
  </si>
  <si>
    <t>Unit UG-01, Paradigm Mall, Kelana Jaya</t>
  </si>
  <si>
    <t>No. 1 Jalan SS 7/26A;Unit UG-01, Paradigm Mall, Kelana Jaya;47301;Petaling Jaya</t>
  </si>
  <si>
    <t>MY0804</t>
  </si>
  <si>
    <t>One Utama</t>
  </si>
  <si>
    <t>1, Lebuh Bandar Utama</t>
  </si>
  <si>
    <t>G303, 1 Utama Shopping C., City Centre No. 1, Bandar Utama</t>
  </si>
  <si>
    <t>1, Lebuh Bandar Utama;G303, 1 Utama Shopping C., City Centre No. 1, Bandar Utama;47800;-</t>
  </si>
  <si>
    <t>MY0805</t>
  </si>
  <si>
    <t>Gurney Paragon</t>
  </si>
  <si>
    <t>Penang</t>
  </si>
  <si>
    <t>163-D, Persiaran Gurney</t>
  </si>
  <si>
    <t>L1-11 &amp; 12 &amp; 13, Gurney Paragon Mall</t>
  </si>
  <si>
    <t>163-D, Persiaran Gurney;L1-11 &amp; 12 &amp; 13, Gurney Paragon Mall;10250;-</t>
  </si>
  <si>
    <t>MY0806</t>
  </si>
  <si>
    <t>Avenue K</t>
  </si>
  <si>
    <t>156 Jalan Ampang</t>
  </si>
  <si>
    <t>Lot C-17, UC-10, G-1 Avenue K Shopping Mall</t>
  </si>
  <si>
    <t>156 Jalan Ampang;Lot C-17, UC-10, G-1 Avenue K Shopping Mall;50450;-</t>
  </si>
  <si>
    <t>MY0807</t>
  </si>
  <si>
    <t>First Avenue</t>
  </si>
  <si>
    <t>182 Jalan Magazine, Penang.</t>
  </si>
  <si>
    <t>LG-32 to LG 56,LG-58,LG-59,LG-70,G-18 to G 23, 1st Avenue</t>
  </si>
  <si>
    <t>182 Jalan Magazine, Penang.;LG-32 to LG 56,LG-58,LG-59,LG-70,G-18 to G 23, 1st Avenue;10300;Penang</t>
  </si>
  <si>
    <t>MY0808</t>
  </si>
  <si>
    <t>Sunway Pyramid</t>
  </si>
  <si>
    <t>No 3, Jalan PJS 11/15, Bandar Sunway</t>
  </si>
  <si>
    <t>OB5.G.1, Oasis Boulevard, G. Floor, Sunway Pyramid S. M.</t>
  </si>
  <si>
    <t>No 3, Jalan PJS 11/15, Bandar Sunway;OB5.G.1, Oasis Boulevard, G. Floor, Sunway Pyramid S. M.;46150;Petaling Jaya, Selangor</t>
  </si>
  <si>
    <t>MY0809</t>
  </si>
  <si>
    <t>IOI City Mall</t>
  </si>
  <si>
    <t>G10</t>
  </si>
  <si>
    <t>IOI City Mall;G10;62502;IOI Resort City, Putrajaya</t>
  </si>
  <si>
    <t>MY0810</t>
  </si>
  <si>
    <t>1 Mont Kiara</t>
  </si>
  <si>
    <t>No. 1, Jalan Kiara</t>
  </si>
  <si>
    <t>Unit G22, G23, G23B, 1 Mont Kiara</t>
  </si>
  <si>
    <t>No. 1, Jalan Kiara;Unit G22, G23, G23B, 1 Mont Kiara;50480;Mont Kiara</t>
  </si>
  <si>
    <t>MY0811</t>
  </si>
  <si>
    <t>Hatten Square</t>
  </si>
  <si>
    <t>Melaka</t>
  </si>
  <si>
    <t>Jalan Merdeka, Bandar Hilir</t>
  </si>
  <si>
    <t>No. G-008, Hatten Square</t>
  </si>
  <si>
    <t>Jalan Merdeka, Bandar Hilir;No. G-008, Hatten Square;75000;Melaka</t>
  </si>
  <si>
    <t>MY0812</t>
  </si>
  <si>
    <t>Johor Bahru City Square</t>
  </si>
  <si>
    <t>Johor Bahru</t>
  </si>
  <si>
    <t>106-108, Jalan Wong Ah Fook</t>
  </si>
  <si>
    <t>Lot M1-14 &amp; M1-25 Johor Bahru City Square</t>
  </si>
  <si>
    <t>106-108, Jalan Wong Ah Fook;Lot M1-14 &amp; M1-25 Johor Bahru City Square;80000;Johor Bahru</t>
  </si>
  <si>
    <t>MY0813</t>
  </si>
  <si>
    <t>The Spring</t>
  </si>
  <si>
    <t>Kuching</t>
  </si>
  <si>
    <t>Persiaran Spring</t>
  </si>
  <si>
    <t>G27 - R5A, The Spring Kuching</t>
  </si>
  <si>
    <t>Persiaran Spring;G27 - R5A, The Spring Kuching;93300;Kuching, Sarawak</t>
  </si>
  <si>
    <t>MY0814</t>
  </si>
  <si>
    <t>Nu Sentral</t>
  </si>
  <si>
    <t>Jalan Tun Sambathan</t>
  </si>
  <si>
    <t>Lot No. 23, Nu Sentral, No. 201, Brickfields</t>
  </si>
  <si>
    <t>Jalan Tun Sambathan;Lot No. 23, Nu Sentral, No. 201, Brickfields;50470;Kuala Lumpur</t>
  </si>
  <si>
    <t>MY0815</t>
  </si>
  <si>
    <t>Imago Shopping Mall</t>
  </si>
  <si>
    <t>Kota Kinabalu</t>
  </si>
  <si>
    <t>KK Times Square , Phase II</t>
  </si>
  <si>
    <t>G66-68 Imago Shopping Mall</t>
  </si>
  <si>
    <t>KK Times Square , Phase II;G66-68 Imago Shopping Mall;88100;Kota Kinabalu, Sabah</t>
  </si>
  <si>
    <t>MY0816</t>
  </si>
  <si>
    <t>Quill City Mall</t>
  </si>
  <si>
    <t>No. 1018 Jalan Sultan Ismail</t>
  </si>
  <si>
    <t>Lots G-13A &amp; 1-13A,Quill City Mall</t>
  </si>
  <si>
    <t>No. 1018 Jalan Sultan Ismail;Lots G-13A &amp; 1-13A,Quill City Mall;50250;Wilayah Persekutuan Kuala Lumpur</t>
  </si>
  <si>
    <t>MY0819</t>
  </si>
  <si>
    <t>Aman Central</t>
  </si>
  <si>
    <t>Kedah</t>
  </si>
  <si>
    <t>Lot PT 6480, Lebuhraya Darul Aman,</t>
  </si>
  <si>
    <t>Unit G -23 &amp; 1-25</t>
  </si>
  <si>
    <t>Lot PT 6480, Lebuhraya Darul Aman,;Unit G -23 &amp; 1-25;05100;Alor Setar, Kedah</t>
  </si>
  <si>
    <t>MY0821</t>
  </si>
  <si>
    <t>MyTOWN Shopping Centre</t>
  </si>
  <si>
    <t>No. 6 Jalan Cochranne,Section 90</t>
  </si>
  <si>
    <t>Lot No,G-046 &amp; L1-042, Ground Floor &amp; Level 1,Mytown</t>
  </si>
  <si>
    <t>No. 6 Jalan Cochranne,Section 90;Lot No,G-046 &amp; L1-042, Ground Floor &amp; Level 1,Mytown;55100;Kuala Lumpur</t>
  </si>
  <si>
    <t>MY0822</t>
  </si>
  <si>
    <t>Jonker Building</t>
  </si>
  <si>
    <t>Lorong Hang Jebat</t>
  </si>
  <si>
    <t>No. 6, 8, 10 &amp; 12, Jonker Building</t>
  </si>
  <si>
    <t>Lorong Hang Jebat;No. 6, 8, 10 &amp; 12, Jonker Building;75200;Melaka</t>
  </si>
  <si>
    <t>MY0823</t>
  </si>
  <si>
    <t>AEON Mall Ipoh Klebang</t>
  </si>
  <si>
    <t>Ipoh</t>
  </si>
  <si>
    <t>Jalan Kuala Kangsar</t>
  </si>
  <si>
    <t>Lot G01, Aeon Mall Ipoh Klebang</t>
  </si>
  <si>
    <t>Jalan Kuala Kangsar;Lot G01, Aeon Mall Ipoh Klebang;31200;Chemor, Ipoh</t>
  </si>
  <si>
    <t>MY0825</t>
  </si>
  <si>
    <t>Plaza Merdeka</t>
  </si>
  <si>
    <t>88, Pearl Street</t>
  </si>
  <si>
    <t>G-24 TO G-30, L1-37 TO L1-46, Plaza Merdeka S. C.</t>
  </si>
  <si>
    <t>88, Pearl Street;G-24 TO G-30, L1-37 TO L1-46, Plaza Merdeka S. C.;93000;Kuching, Sarawak</t>
  </si>
  <si>
    <t>MY0826</t>
  </si>
  <si>
    <t>Kluang Mall</t>
  </si>
  <si>
    <t>Kluang, Johor</t>
  </si>
  <si>
    <t>Jalan Rambutan, Bandar Kluang</t>
  </si>
  <si>
    <t>Lot G-18 &amp; G-20A Kluang Mall</t>
  </si>
  <si>
    <t>Jalan Rambutan, Bandar Kluang;Lot G-18 &amp; G-20A Kluang Mall;86000;Kluang, Johor Darul Takzim</t>
  </si>
  <si>
    <t>MY0828</t>
  </si>
  <si>
    <t>AEON Mall Shah Alam</t>
  </si>
  <si>
    <t>Jln Akuatik 13/64, Seksyen 13</t>
  </si>
  <si>
    <t>G29 &amp; F25, AEON Shah Alam</t>
  </si>
  <si>
    <t>Jln Akuatik 13/64, Seksyen 13;G29 &amp; F25, AEON Shah Alam;40100;Shah Alam, Selangor Darul Ehsan</t>
  </si>
  <si>
    <t>MY0829</t>
  </si>
  <si>
    <t>AEON Mall Kota Bharu</t>
  </si>
  <si>
    <t>Kota Bharu</t>
  </si>
  <si>
    <t>Kampung Sireh, Jalan Jambatan Sultan Yahya Petra</t>
  </si>
  <si>
    <t>G22, AEON Kota Bahru</t>
  </si>
  <si>
    <t>Kampung Sireh, Jalan Jambatan Sultan Yahya Petra;G22, AEON Kota Bahru;15050;Kota Bharu, Kelantan</t>
  </si>
  <si>
    <t>MY0830</t>
  </si>
  <si>
    <t>Setapak Central</t>
  </si>
  <si>
    <t>67, Jalan Taman Ibu Kota, Taman Danau Kota</t>
  </si>
  <si>
    <t>G51, G52, G55, G56 &amp; F40, F40A, F41, F42, Setapak Central</t>
  </si>
  <si>
    <t>67, Jalan Taman Ibu Kota, Taman Danau Kota;G51, G52, G55, G56 &amp; F40, F40A, F41, F42, Setapak Central;53300;Taman Danau Kota, Setapak</t>
  </si>
  <si>
    <t>MY0831</t>
  </si>
  <si>
    <t>Sunway Putra Mall</t>
  </si>
  <si>
    <t>100 Jalan Putra, Chow Kit</t>
  </si>
  <si>
    <t>Unit No 1-1, 1-42 &amp; 1-43</t>
  </si>
  <si>
    <t>100 Jalan Putra, Chow Kit;Unit No 1-1, 1-42 &amp; 1-43;50350;Kuala Lumpur</t>
  </si>
  <si>
    <t>MY0832</t>
  </si>
  <si>
    <t>Gateway@KLIA2</t>
  </si>
  <si>
    <t>09:00-23:00</t>
  </si>
  <si>
    <t>Jalan KLIA 2/1</t>
  </si>
  <si>
    <t>L2-69 TO 71,77 TO 84, Gateway@KLIA2, Terminal KLIA2</t>
  </si>
  <si>
    <t>Jalan KLIA 2/1;L2-69 TO 71,77 TO 84, Gateway@KLIA2, Terminal KLIA2;64000;KLIA, Sepang</t>
  </si>
  <si>
    <t>MY0833</t>
  </si>
  <si>
    <t>AEON Mall Tebrau City</t>
  </si>
  <si>
    <t>1 Jalan Desa Tebrau</t>
  </si>
  <si>
    <t>Lot G105 AEON Mall Tebrau City1</t>
  </si>
  <si>
    <t>1 Jalan Desa Tebrau;Lot G105 AEON Mall Tebrau City1;81100;Johor Bahru</t>
  </si>
  <si>
    <t>MY0834</t>
  </si>
  <si>
    <t>KL Gateway Mall</t>
  </si>
  <si>
    <t>2 Jalan Kerinchi, Kampung Kerinchi</t>
  </si>
  <si>
    <t>Ground &amp; Upper Ground,KL Gateway</t>
  </si>
  <si>
    <t>2 Jalan Kerinchi, Kampung Kerinchi;Ground &amp; Upper Ground,KL Gateway;59200;Kuala Lumpur</t>
  </si>
  <si>
    <t>MY0835</t>
  </si>
  <si>
    <t>Sunway Velocity</t>
  </si>
  <si>
    <t>Lingkaran SV, Sunway Velocity</t>
  </si>
  <si>
    <t>V02-G-02 &amp; 03,</t>
  </si>
  <si>
    <t>Lingkaran SV, Sunway Velocity;V02-G-02 &amp; 03,;55100;Kuala Lumpur</t>
  </si>
  <si>
    <t>MY0837</t>
  </si>
  <si>
    <t>Paradigm Mall Johor Bahru</t>
  </si>
  <si>
    <t>Jalan Skudai</t>
  </si>
  <si>
    <t>GF-12, Paradigm Mall Johor Bahru</t>
  </si>
  <si>
    <t>Jalan Skudai;GF-12, Paradigm Mall Johor Bahru;81200;Johor Bahru</t>
  </si>
  <si>
    <t>MY0838</t>
  </si>
  <si>
    <t>Sky Avenue</t>
  </si>
  <si>
    <t>Pahang</t>
  </si>
  <si>
    <t>Genting Highlands Resort</t>
  </si>
  <si>
    <t>Lot 60, Level T2A / Lot 58 Level T2B, Sky Avenue Complex</t>
  </si>
  <si>
    <t>Genting Highlands Resort;Lot 60, Level T2A / Lot 58 Level T2B, Sky Avenue Complex;69000;Pahang Darul Makmur</t>
  </si>
  <si>
    <t>MY0839</t>
  </si>
  <si>
    <t>AEON Mall Bandar Dato' Onn</t>
  </si>
  <si>
    <t>No.3, Jalan Datoâ€™ Onn 3, Bandar Datoâ€™ Onn</t>
  </si>
  <si>
    <t>Lot G43 , AEON Mall Kempas (Bandar Datoâ€™ Onn)</t>
  </si>
  <si>
    <t>No.3, Jalan Datoâ€™ Onn 3, Bandar Datoâ€™ Onn;Lot G43 , AEON Mall Kempas (Bandar Datoâ€™ Onn);81100</t>
  </si>
  <si>
    <t>MY0840</t>
  </si>
  <si>
    <t>Bintang Megamall</t>
  </si>
  <si>
    <t>Miri</t>
  </si>
  <si>
    <t>Jalan Miri Pujut, Bintang Jaya</t>
  </si>
  <si>
    <t>Lot G.16-18, Bintang Megamall</t>
  </si>
  <si>
    <t>Jalan Miri Pujut, Bintang Jaya;Lot G.16-18, Bintang Megamall;98000;Pujut Road, Miri Sarawak</t>
  </si>
  <si>
    <t>MY0841</t>
  </si>
  <si>
    <t>The Spring Bintulu</t>
  </si>
  <si>
    <t>Bintulu</t>
  </si>
  <si>
    <t>Jalan Tun Abdul Razak</t>
  </si>
  <si>
    <t>G01, The Spring Bintulu</t>
  </si>
  <si>
    <t>Jalan Tun Abdul Razak;G01, The Spring Bintulu;98000;Bintulu, Sarawak</t>
  </si>
  <si>
    <t>MY0843</t>
  </si>
  <si>
    <t>IPC Damansara</t>
  </si>
  <si>
    <t>No. 1 Jalan PJU 7/2</t>
  </si>
  <si>
    <t>Lot G-01, IPC Shopping Centre No 2</t>
  </si>
  <si>
    <t>No. 1 Jalan PJU 7/2;Lot G-01, IPC Shopping Centre No 2;47800;Petaling Jaya, Selangor Darul Ehsan</t>
  </si>
  <si>
    <t>MY0844</t>
  </si>
  <si>
    <t>EkoCheras Mall</t>
  </si>
  <si>
    <t>5, Jln Cheras</t>
  </si>
  <si>
    <t>Lot  G59 and G60, Ekocheras Mall</t>
  </si>
  <si>
    <t>5, Jln Cheras;Lot  G59 and G60, Ekocheras Mall;56000;Kuala Lumpur</t>
  </si>
  <si>
    <t>MY0845</t>
  </si>
  <si>
    <t>Palm Mall</t>
  </si>
  <si>
    <t>Lebuhraya Seremban - Bukit Nenas</t>
  </si>
  <si>
    <t>Lot UG-2, 3B, 9, 10A &amp; 10B, Palm Mall</t>
  </si>
  <si>
    <t>Lebuhraya Seremban - Bukit Nenas;Lot UG-2, 3B, 9, 10A &amp; 10B, Palm Mall;70200;Negeri Sembilan</t>
  </si>
  <si>
    <t>MY0852</t>
  </si>
  <si>
    <t>AEON Mall Nilai</t>
  </si>
  <si>
    <t>Nilai, Negeri Sembilan</t>
  </si>
  <si>
    <t>Lot No. G12, Ground Floor, AEON Mall Nilai</t>
  </si>
  <si>
    <t>Lot No. G12, Ground Floor, AEON Mall Nilai;Lot No. G12, Ground Floor, AEON Mall Nilai;71800;Nilai, Negeri Sembilan Darul Khusus</t>
  </si>
  <si>
    <t>MY0854</t>
  </si>
  <si>
    <t>Tropicana Gardens Mall</t>
  </si>
  <si>
    <t>No. 2A, Persiaran Surian</t>
  </si>
  <si>
    <t>Lot G-16, Tropicana Gardens Mall</t>
  </si>
  <si>
    <t>No. 2A, Persiaran Surian;Lot G-16, Tropicana Gardens Mall;47810;Petaling Jaya, Selangor</t>
  </si>
  <si>
    <t>MY0867</t>
  </si>
  <si>
    <t>KL East Mall</t>
  </si>
  <si>
    <t>Jln Lingkaran Tengah 2, KL Timur</t>
  </si>
  <si>
    <t>G1-01, KL East Mall</t>
  </si>
  <si>
    <t>Jln Lingkaran Tengah 2, KL Timur;G1-01, KL East Mall;53100</t>
  </si>
  <si>
    <t>NL0003</t>
  </si>
  <si>
    <t>H&amp;M Middelburg</t>
  </si>
  <si>
    <t>Middelburg</t>
  </si>
  <si>
    <t>Netherlands</t>
  </si>
  <si>
    <t>NL</t>
  </si>
  <si>
    <t>Lange Delft 10</t>
  </si>
  <si>
    <t>Lange Delft 10;;4331 AN;Middelburg</t>
  </si>
  <si>
    <t>NL0009</t>
  </si>
  <si>
    <t>H&amp;M Alphen a/d Rijn</t>
  </si>
  <si>
    <t>Alphen a/d Rijn</t>
  </si>
  <si>
    <t>Rijnplein 11</t>
  </si>
  <si>
    <t>Rijnplein 11;;2405 DB;Alphen a/d Rijn</t>
  </si>
  <si>
    <t>NL0010</t>
  </si>
  <si>
    <t>H&amp;M Enschede</t>
  </si>
  <si>
    <t>Enschede</t>
  </si>
  <si>
    <t>Klanderij 98</t>
  </si>
  <si>
    <t>Klanderij 98;;7511 HS;Enschede</t>
  </si>
  <si>
    <t>NL0011</t>
  </si>
  <si>
    <t>H&amp;M Rotterdam Zuidplein</t>
  </si>
  <si>
    <t>Rotterdam</t>
  </si>
  <si>
    <t>Zuidpleinhoog 622</t>
  </si>
  <si>
    <t>Winkelcentrum Zuidplein</t>
  </si>
  <si>
    <t>Zuidpleinhoog 622;Winkelcentrum Zuidplein;3083 BN;Rotterdam</t>
  </si>
  <si>
    <t>NL0012</t>
  </si>
  <si>
    <t>H&amp;M Alkmaar</t>
  </si>
  <si>
    <t>Alkmaar</t>
  </si>
  <si>
    <t>Langestraat 64a</t>
  </si>
  <si>
    <t>Langestraat 64a;;1811 JJ;Alkmaar</t>
  </si>
  <si>
    <t>NL0014</t>
  </si>
  <si>
    <t>H&amp;M Rotterdam Alexandrium</t>
  </si>
  <si>
    <t>Poolsterstraat 42</t>
  </si>
  <si>
    <t>Winkelcentrum Alexandrium</t>
  </si>
  <si>
    <t>Poolsterstraat 42;Winkelcentrum Alexandrium;3067 LX;Rotterdam</t>
  </si>
  <si>
    <t>NL0016</t>
  </si>
  <si>
    <t>H&amp;M Dordrecht</t>
  </si>
  <si>
    <t>Dordrecht</t>
  </si>
  <si>
    <t>Statenplein 66-68</t>
  </si>
  <si>
    <t>Statenplein 66-68;;3311 NH;Dordrecht</t>
  </si>
  <si>
    <t>NL0022</t>
  </si>
  <si>
    <t>H&amp;M Veenendaal</t>
  </si>
  <si>
    <t>Veenendaal</t>
  </si>
  <si>
    <t>Hoofdstraat 39-42</t>
  </si>
  <si>
    <t>Hoofdstraat 39-42;;3901 AT;Veenendaal</t>
  </si>
  <si>
    <t>NL0024</t>
  </si>
  <si>
    <t>H&amp;M Den Haag</t>
  </si>
  <si>
    <t>Den Haag</t>
  </si>
  <si>
    <t>Weversplaats 1</t>
  </si>
  <si>
    <t>Weversplaats 1;;2511 PA;Den Haag</t>
  </si>
  <si>
    <t>NL0025</t>
  </si>
  <si>
    <t>H&amp;M Amersfoort</t>
  </si>
  <si>
    <t>Amersfoort</t>
  </si>
  <si>
    <t>Sint Jorisplein 27</t>
  </si>
  <si>
    <t>Sint Jorisplein 27;;3811 DC;Amersfoort</t>
  </si>
  <si>
    <t>NL0031</t>
  </si>
  <si>
    <t>H&amp;M Amstelveen</t>
  </si>
  <si>
    <t>Amstelveen</t>
  </si>
  <si>
    <t>Rembrandthof 9</t>
  </si>
  <si>
    <t>Winkelcentrum Stadshart</t>
  </si>
  <si>
    <t>Rembrandthof 9;Winkelcentrum Stadshart;1181 ZL;Amstelveen</t>
  </si>
  <si>
    <t>NL0032</t>
  </si>
  <si>
    <t>H&amp;M Den Bosch</t>
  </si>
  <si>
    <t>Den Bosch</t>
  </si>
  <si>
    <t>Arena 101</t>
  </si>
  <si>
    <t>Winkelcentrum Arena</t>
  </si>
  <si>
    <t>Arena 101;Winkelcentrum Arena;5211 XT;Den Bosch</t>
  </si>
  <si>
    <t>NL0033</t>
  </si>
  <si>
    <t>H&amp;M Hengelo</t>
  </si>
  <si>
    <t>Hengelo</t>
  </si>
  <si>
    <t>Brink 180</t>
  </si>
  <si>
    <t>Brink 180;;7551 JE;Hengelo</t>
  </si>
  <si>
    <t>NL0035</t>
  </si>
  <si>
    <t>H&amp;M Eindhoven Heuvel</t>
  </si>
  <si>
    <t>Eindhoven</t>
  </si>
  <si>
    <t>Heuvel Galerie 160</t>
  </si>
  <si>
    <t>Winkelcentrum Heuvel Galerie</t>
  </si>
  <si>
    <t>Heuvel Galerie 160;Winkelcentrum Heuvel Galerie;5611 DK;Eindhoven</t>
  </si>
  <si>
    <t>NL0038</t>
  </si>
  <si>
    <t>H&amp;M Amsterdam Noord</t>
  </si>
  <si>
    <t>Amsterdam</t>
  </si>
  <si>
    <t>Buikslotermeerplein 123-b</t>
  </si>
  <si>
    <t>Winkelcentrum Boven 't IJ</t>
  </si>
  <si>
    <t>Buikslotermeerplein 123-b;Winkelcentrum Boven 't IJ;1025 ET;Amsterdam</t>
  </si>
  <si>
    <t>NL0042</t>
  </si>
  <si>
    <t>H&amp;M Eindhoven Piazza</t>
  </si>
  <si>
    <t>Piazza 38</t>
  </si>
  <si>
    <t>Winkelcentrum Piazza</t>
  </si>
  <si>
    <t>Piazza 38;Winkelcentrum Piazza;5611 AE;Eindhoven</t>
  </si>
  <si>
    <t>NL0048</t>
  </si>
  <si>
    <t>H&amp;M Bergen op Zoom</t>
  </si>
  <si>
    <t>Bergen op Zoom</t>
  </si>
  <si>
    <t>Voetboog 5</t>
  </si>
  <si>
    <t>Voetboog 5;;4611 ML;Bergen op Zoom</t>
  </si>
  <si>
    <t>NL0049</t>
  </si>
  <si>
    <t>H&amp;M Delft</t>
  </si>
  <si>
    <t>Delft</t>
  </si>
  <si>
    <t>Bastiaansplein 1</t>
  </si>
  <si>
    <t>Winkelcentrum Zuidpoort</t>
  </si>
  <si>
    <t>Bastiaansplein 1;Winkelcentrum Zuidpoort;2611 DC;Delft</t>
  </si>
  <si>
    <t>NL0050</t>
  </si>
  <si>
    <t>H&amp;M Nijmegen</t>
  </si>
  <si>
    <t>Nijmegen</t>
  </si>
  <si>
    <t>Burchtstraat 1</t>
  </si>
  <si>
    <t>Burchtstraat 1;;6511 RA;Nijmegen</t>
  </si>
  <si>
    <t>NL0051</t>
  </si>
  <si>
    <t>H&amp;M Maastricht</t>
  </si>
  <si>
    <t>Maastricht</t>
  </si>
  <si>
    <t>Mosae Forum 99</t>
  </si>
  <si>
    <t>Winkelcentrum Mosae Forum</t>
  </si>
  <si>
    <t>Mosae Forum 99;Winkelcentrum Mosae Forum;6211 DT;Maastricht</t>
  </si>
  <si>
    <t>NL0054</t>
  </si>
  <si>
    <t>H&amp;M Almelo</t>
  </si>
  <si>
    <t>Almelo</t>
  </si>
  <si>
    <t>Galerij 1</t>
  </si>
  <si>
    <t>Galerij 1;;7607 HR;Almelo</t>
  </si>
  <si>
    <t>NL0056</t>
  </si>
  <si>
    <t>H&amp;M Arnhem Kronenburg</t>
  </si>
  <si>
    <t>Arnhem</t>
  </si>
  <si>
    <t>Kronenburgpassage 98-100</t>
  </si>
  <si>
    <t>Winkelcentrum Kronenburg</t>
  </si>
  <si>
    <t>Kronenburgpassage 98-100;Winkelcentrum Kronenburg;6831 ES;Arnhem</t>
  </si>
  <si>
    <t>NL0058</t>
  </si>
  <si>
    <t>H&amp;M Eindhoven Woensel</t>
  </si>
  <si>
    <t>Woensel 276</t>
  </si>
  <si>
    <t>Winkelcentrum WoensXL</t>
  </si>
  <si>
    <t>Woensel 276;Winkelcentrum WoensXL;5625 AG;Eindhoven</t>
  </si>
  <si>
    <t>NL0059</t>
  </si>
  <si>
    <t>H&amp;M Vlissingen</t>
  </si>
  <si>
    <t>Vlissingen</t>
  </si>
  <si>
    <t>Walstraat 108</t>
  </si>
  <si>
    <t>Walstraat 108;;4381 GS;Vlissingen</t>
  </si>
  <si>
    <t>NL0061</t>
  </si>
  <si>
    <t>H&amp;M Roosendaal</t>
  </si>
  <si>
    <t>Roosendaal</t>
  </si>
  <si>
    <t>Nieuwe Markt 3</t>
  </si>
  <si>
    <t>Nieuwe Markt 3;;4701 AA;Roosendaal</t>
  </si>
  <si>
    <t>NL0062</t>
  </si>
  <si>
    <t>H&amp;M Haarlem</t>
  </si>
  <si>
    <t>Haarlem</t>
  </si>
  <si>
    <t>Grote Houtstraat 95</t>
  </si>
  <si>
    <t>Grote Houtstraat 95;;2011 SH;Haarlem</t>
  </si>
  <si>
    <t>NL0064</t>
  </si>
  <si>
    <t>H&amp;M Rotterdam Lijnbaan</t>
  </si>
  <si>
    <t>Lijnbaan 173</t>
  </si>
  <si>
    <t>Lijnbaan 173;;3012 EN;Rotterdam</t>
  </si>
  <si>
    <t>NL0071</t>
  </si>
  <si>
    <t>H&amp;M Heerenveen</t>
  </si>
  <si>
    <t>Heerenveen</t>
  </si>
  <si>
    <t>Dracht 46</t>
  </si>
  <si>
    <t>Dracht 46;;8442 BR;Heerenveen</t>
  </si>
  <si>
    <t>NL0072</t>
  </si>
  <si>
    <t>H&amp;M Schiedam</t>
  </si>
  <si>
    <t>Schiedam</t>
  </si>
  <si>
    <t>Nieuwe Passage 46</t>
  </si>
  <si>
    <t>Passage Schiedam</t>
  </si>
  <si>
    <t>Nieuwe Passage 46;Passage Schiedam;3111 EG;Schiedam</t>
  </si>
  <si>
    <t>NL0075</t>
  </si>
  <si>
    <t>H&amp;M Tilburg</t>
  </si>
  <si>
    <t>Tilburg</t>
  </si>
  <si>
    <t>Heuvelstraat 75</t>
  </si>
  <si>
    <t>Heuvelstraat 75;;5038 AC;Tilburg</t>
  </si>
  <si>
    <t>NL0076</t>
  </si>
  <si>
    <t>H&amp;M Arnhem</t>
  </si>
  <si>
    <t>Vijzelstraat 26-27</t>
  </si>
  <si>
    <t>Vijzelstraat 26-27;;6811 ET;Arnhem</t>
  </si>
  <si>
    <t>NL0078</t>
  </si>
  <si>
    <t>H&amp;M Rotterdam Beursplein</t>
  </si>
  <si>
    <t>Beurstraverse 38</t>
  </si>
  <si>
    <t>Beurstraverse 38;;3011 AM;Rotterdam</t>
  </si>
  <si>
    <t>NL0079</t>
  </si>
  <si>
    <t>H&amp;M Emmen</t>
  </si>
  <si>
    <t>Emmen</t>
  </si>
  <si>
    <t>Mondriaanplein 6</t>
  </si>
  <si>
    <t>Mondriaanplein 6;;7811 DH;Emmen</t>
  </si>
  <si>
    <t>NL0080</t>
  </si>
  <si>
    <t>H&amp;M Almere</t>
  </si>
  <si>
    <t>Almere</t>
  </si>
  <si>
    <t>Citadel 95</t>
  </si>
  <si>
    <t>Citadel 95;;1315 VN;Almere</t>
  </si>
  <si>
    <t>NL0082</t>
  </si>
  <si>
    <t>H&amp;M Leeuwarden</t>
  </si>
  <si>
    <t>Leeuwarden</t>
  </si>
  <si>
    <t>Nieuwestad 162-166</t>
  </si>
  <si>
    <t>Nieuwestad 162-166;;8911 DB;Leeuwarden</t>
  </si>
  <si>
    <t>NL0084</t>
  </si>
  <si>
    <t>H&amp;M Vlaardingen</t>
  </si>
  <si>
    <t>Vlaardingen</t>
  </si>
  <si>
    <t>Liesveld 159</t>
  </si>
  <si>
    <t>Liesveld 159;;3131 CK;Vlaardingen</t>
  </si>
  <si>
    <t>NL0087</t>
  </si>
  <si>
    <t>H&amp;M Ede</t>
  </si>
  <si>
    <t>Ede</t>
  </si>
  <si>
    <t>Grotestraat 31</t>
  </si>
  <si>
    <t>Grotestraat 31;;6711 AH;Ede</t>
  </si>
  <si>
    <t>NL0094</t>
  </si>
  <si>
    <t>H&amp;M Heerhugowaard</t>
  </si>
  <si>
    <t>Heerhugowaard</t>
  </si>
  <si>
    <t>Middenwaard 135</t>
  </si>
  <si>
    <t>Middenwaard 135;;1703 SC;Heerhugowaard</t>
  </si>
  <si>
    <t>NL0095</t>
  </si>
  <si>
    <t>H&amp;M Amsterdam Leidseplein</t>
  </si>
  <si>
    <t>Leidseplein 1-3</t>
  </si>
  <si>
    <t>Leidseplein 1-3;;1017 PR;Amsterdam</t>
  </si>
  <si>
    <t>NL0102</t>
  </si>
  <si>
    <t>H&amp;M Venlo</t>
  </si>
  <si>
    <t>Venlo</t>
  </si>
  <si>
    <t>Wijngaardstraat 9</t>
  </si>
  <si>
    <t>Maasboulevard</t>
  </si>
  <si>
    <t>Wijngaardstraat 9;Maasboulevard;5911 HM;Venlo</t>
  </si>
  <si>
    <t>NL0103</t>
  </si>
  <si>
    <t>H&amp;M Drachten</t>
  </si>
  <si>
    <t>Drachten</t>
  </si>
  <si>
    <t>Noorderbuurt 7a</t>
  </si>
  <si>
    <t>Noorderbuurt 7a;;9203 AK;Drachten</t>
  </si>
  <si>
    <t>NL0105</t>
  </si>
  <si>
    <t>Barteljorisstraat 15-17</t>
  </si>
  <si>
    <t>Barteljorisstraat 15-17;;2011 RA;Haarlem</t>
  </si>
  <si>
    <t>NL0106</t>
  </si>
  <si>
    <t>H&amp;M Hoogeveen</t>
  </si>
  <si>
    <t>Hoogeveen</t>
  </si>
  <si>
    <t>Hoofdstraat 234-236</t>
  </si>
  <si>
    <t>Hoofdstraat 234-236;;7901 JZ;Hoogeveen</t>
  </si>
  <si>
    <t>NL0109</t>
  </si>
  <si>
    <t>H&amp;M Goes</t>
  </si>
  <si>
    <t>Goes</t>
  </si>
  <si>
    <t>Lange Vorststraat 98-100</t>
  </si>
  <si>
    <t>Lange Vorststraat 98-100;;4461 JR;Goes</t>
  </si>
  <si>
    <t>NL0110</t>
  </si>
  <si>
    <t>H&amp;M Groningen Men</t>
  </si>
  <si>
    <t>Groningen</t>
  </si>
  <si>
    <t>Grote Markt 9</t>
  </si>
  <si>
    <t>Grote Markt 9;;9712 HP;Groningen</t>
  </si>
  <si>
    <t>NL0111</t>
  </si>
  <si>
    <t>H&amp;M Naaldwijk</t>
  </si>
  <si>
    <t>Naaldwijk (zh)</t>
  </si>
  <si>
    <t>De Tuinen 80</t>
  </si>
  <si>
    <t>De Tuinen 80;;2671 NX;Naaldwijk</t>
  </si>
  <si>
    <t>NL0113</t>
  </si>
  <si>
    <t>H&amp;M Venray</t>
  </si>
  <si>
    <t>Venray</t>
  </si>
  <si>
    <t>Grotestraat 68</t>
  </si>
  <si>
    <t>Grotestraat 68;;5801 BH;Venray</t>
  </si>
  <si>
    <t>NL0114</t>
  </si>
  <si>
    <t>H&amp;M Hoogvliet</t>
  </si>
  <si>
    <t>Hoogvliet</t>
  </si>
  <si>
    <t>Binnenban 13</t>
  </si>
  <si>
    <t>Binnenban 13;;3191 CA;Hoogvliet</t>
  </si>
  <si>
    <t>NL0115</t>
  </si>
  <si>
    <t>H&amp;M Zwolle</t>
  </si>
  <si>
    <t>Zwolle</t>
  </si>
  <si>
    <t>Diezerstraat 97-99</t>
  </si>
  <si>
    <t>Diezerstraat 97-99;;8011 RD;Zwolle</t>
  </si>
  <si>
    <t>NL0116</t>
  </si>
  <si>
    <t>H&amp;M Amsterdam Zuidoost</t>
  </si>
  <si>
    <t>Bijlmerplein 148</t>
  </si>
  <si>
    <t>Winkelcentrum Amsterdamse Poort</t>
  </si>
  <si>
    <t>Bijlmerplein 148;Winkelcentrum Amsterdamse Poort;1102 DB;Amsterdam</t>
  </si>
  <si>
    <t>NL0117</t>
  </si>
  <si>
    <t>H&amp;M Hoofddorp</t>
  </si>
  <si>
    <t>Hoofddorp</t>
  </si>
  <si>
    <t>Marktplein 248</t>
  </si>
  <si>
    <t>Marktplein 248;;2132 CX;Hoofddorp</t>
  </si>
  <si>
    <t>NL0120</t>
  </si>
  <si>
    <t>H&amp;M Gouda</t>
  </si>
  <si>
    <t>Gouda</t>
  </si>
  <si>
    <t>Kleiweg 27-31</t>
  </si>
  <si>
    <t>Kleiweg 27-31;;2801 GB;Gouda</t>
  </si>
  <si>
    <t>NL0122</t>
  </si>
  <si>
    <t>H&amp;M Zeist</t>
  </si>
  <si>
    <t>Zeist</t>
  </si>
  <si>
    <t>Emmaplein 21</t>
  </si>
  <si>
    <t>Emmaplein 21;;3701 DK;Zeist</t>
  </si>
  <si>
    <t>NL0124</t>
  </si>
  <si>
    <t>H&amp;M amsterdam Oostpoort</t>
  </si>
  <si>
    <t>Waldenlaan 10</t>
  </si>
  <si>
    <t>Winkelcentrum Oostpoort</t>
  </si>
  <si>
    <t>Waldenlaan 10;Winkelcentrum Oostpoort;1093NH;Amsterdam</t>
  </si>
  <si>
    <t>NL0125</t>
  </si>
  <si>
    <t>H&amp;M Amsterdam</t>
  </si>
  <si>
    <t>Dam 4</t>
  </si>
  <si>
    <t>Dam 4;;1012 NP;Amsterdam</t>
  </si>
  <si>
    <t>NL0126</t>
  </si>
  <si>
    <t>H&amp;M Capelle a/d IJssel</t>
  </si>
  <si>
    <t>Capelle A/D IJssel</t>
  </si>
  <si>
    <t>Koperwiek 44</t>
  </si>
  <si>
    <t>Koperwiek 44;;2903 AE;Capelle a/d IJssel</t>
  </si>
  <si>
    <t>NL0127</t>
  </si>
  <si>
    <t>H&amp;M Etten-Leur</t>
  </si>
  <si>
    <t>Etten Leur</t>
  </si>
  <si>
    <t>Winkelcentrum 30</t>
  </si>
  <si>
    <t>Winkelcentrum 30;;4873 AB;Etten-Leur</t>
  </si>
  <si>
    <t>NL0129</t>
  </si>
  <si>
    <t>H&amp;M Nijmegen Men</t>
  </si>
  <si>
    <t>Broerstraat 16</t>
  </si>
  <si>
    <t>Broerstraat 16;;6511 KN;Nijmegen</t>
  </si>
  <si>
    <t>NL0131</t>
  </si>
  <si>
    <t>H&amp;M Tiel</t>
  </si>
  <si>
    <t>Tiel</t>
  </si>
  <si>
    <t>Voorstad 11-13</t>
  </si>
  <si>
    <t>Voorstad 11-13;;4001 LS;Tiel</t>
  </si>
  <si>
    <t>NL0132</t>
  </si>
  <si>
    <t>H&amp;M Rotterdam Zuidplein Kids</t>
  </si>
  <si>
    <t>Zuidplein Hoog 932</t>
  </si>
  <si>
    <t>Zuidplein Hoog 932;Winkelcentrum Zuidplein;3083BS;Rotterdam</t>
  </si>
  <si>
    <t>NL0134</t>
  </si>
  <si>
    <t>H&amp;M Winterswijk</t>
  </si>
  <si>
    <t>Winterswijk</t>
  </si>
  <si>
    <t>Wooldstraat 33-35</t>
  </si>
  <si>
    <t>Wooldstraat 33-35;;7101 NM;Winterswijk</t>
  </si>
  <si>
    <t>NL0135</t>
  </si>
  <si>
    <t>H&amp;M Zoetermeer</t>
  </si>
  <si>
    <t>Zoetermeer</t>
  </si>
  <si>
    <t>Promenade 143-144</t>
  </si>
  <si>
    <t>Promenade 143-144;;2711 AN;Zoetermeer</t>
  </si>
  <si>
    <t>NL0136</t>
  </si>
  <si>
    <t>H&amp;M Zutphen</t>
  </si>
  <si>
    <t>Zutphen</t>
  </si>
  <si>
    <t>Schupstoel 12</t>
  </si>
  <si>
    <t>Schupstoel 12;;7201 CZ;Zutphen</t>
  </si>
  <si>
    <t>NL0137</t>
  </si>
  <si>
    <t>H&amp;M Assen</t>
  </si>
  <si>
    <t>Assen</t>
  </si>
  <si>
    <t>Mercuriusplein 80-82</t>
  </si>
  <si>
    <t>Mercuriusplein 80-82;;9401 DM;Assen</t>
  </si>
  <si>
    <t>NL0138</t>
  </si>
  <si>
    <t>H&amp;M Helmond</t>
  </si>
  <si>
    <t>Helmond</t>
  </si>
  <si>
    <t>Markt 17</t>
  </si>
  <si>
    <t>Markt 17;;5701 RH;Helmond</t>
  </si>
  <si>
    <t>NL0139</t>
  </si>
  <si>
    <t>H&amp;M Waalwijk</t>
  </si>
  <si>
    <t>Waalwijk</t>
  </si>
  <si>
    <t>De Els 66</t>
  </si>
  <si>
    <t>De Els 66;;5141 HN;Waalwijk</t>
  </si>
  <si>
    <t>NL0140</t>
  </si>
  <si>
    <t>H&amp;M Meppel</t>
  </si>
  <si>
    <t>Meppel</t>
  </si>
  <si>
    <t>Hoofdstraat 87</t>
  </si>
  <si>
    <t>Hoofdstraat 87;;7941 AE;Meppel</t>
  </si>
  <si>
    <t>NL0141</t>
  </si>
  <si>
    <t>H&amp;M Uden</t>
  </si>
  <si>
    <t>Uden</t>
  </si>
  <si>
    <t>Promenade 62</t>
  </si>
  <si>
    <t>Promenade 62;;5401 GM;Uden</t>
  </si>
  <si>
    <t>NL0142</t>
  </si>
  <si>
    <t>H&amp;M Purmerend</t>
  </si>
  <si>
    <t>Purmerend</t>
  </si>
  <si>
    <t>Willem Eggertstraat 45</t>
  </si>
  <si>
    <t>Willem Eggertstraat 45;;1441 CH;Purmerend</t>
  </si>
  <si>
    <t>NL0143</t>
  </si>
  <si>
    <t>H&amp;M Utrecht Hoog Catharijne</t>
  </si>
  <si>
    <t>Utrecht</t>
  </si>
  <si>
    <t>Boven Vredenburg passage 108</t>
  </si>
  <si>
    <t>Winkelcentrum Hoog Catharijne</t>
  </si>
  <si>
    <t>Boven Vredenburg passage 108;Winkelcentrum Hoog Catharijne;3511WR;Utrecht</t>
  </si>
  <si>
    <t>NL0144</t>
  </si>
  <si>
    <t>H&amp;M Den Haag Maison de Bonneterie</t>
  </si>
  <si>
    <t>Gravenstraat 2</t>
  </si>
  <si>
    <t>Gravenstraat 2;;2513 AK;Den Haag</t>
  </si>
  <si>
    <t>NL0145</t>
  </si>
  <si>
    <t>H&amp;M Amsterdam Flagship store</t>
  </si>
  <si>
    <t>Kalverstraat 181-183</t>
  </si>
  <si>
    <t>Rokin 140-142</t>
  </si>
  <si>
    <t>Kalverstraat 181-183;Rokin 140-142;1012XC;Amsterdam</t>
  </si>
  <si>
    <t>NL0146</t>
  </si>
  <si>
    <t>H&amp;M Nieuwegein</t>
  </si>
  <si>
    <t>Nieuwegein</t>
  </si>
  <si>
    <t>Raadstede 31</t>
  </si>
  <si>
    <t>Winkelcentrum City Plaza</t>
  </si>
  <si>
    <t>Raadstede 31;Winkelcentrum City Plaza;3431 HA;Nieuwegein</t>
  </si>
  <si>
    <t>NL0147</t>
  </si>
  <si>
    <t>H&amp;M Oosterhout</t>
  </si>
  <si>
    <t>Oosterhout</t>
  </si>
  <si>
    <t>Arendshof 295</t>
  </si>
  <si>
    <t>Arendshof 295;;4901 NE;Oosterhout</t>
  </si>
  <si>
    <t>NL0148</t>
  </si>
  <si>
    <t>H&amp;M Hilversum</t>
  </si>
  <si>
    <t>Hilversum</t>
  </si>
  <si>
    <t>Hilvertshof 10</t>
  </si>
  <si>
    <t>Hilvertshof 10;;1211 ER;Hilversum</t>
  </si>
  <si>
    <t>NL0149</t>
  </si>
  <si>
    <t>H&amp;M Leiden</t>
  </si>
  <si>
    <t>Leiden</t>
  </si>
  <si>
    <t>Aalmarkt 17</t>
  </si>
  <si>
    <t>Aalmarkt 17;;2311 EC;Leiden</t>
  </si>
  <si>
    <t>NL0150</t>
  </si>
  <si>
    <t>H&amp;M Roermond</t>
  </si>
  <si>
    <t>Roermond</t>
  </si>
  <si>
    <t>Varkensmarkt 1</t>
  </si>
  <si>
    <t>Varkensmarkt 1;;6041 ET;Roermond</t>
  </si>
  <si>
    <t>NL0151</t>
  </si>
  <si>
    <t>H&amp;M Deventer</t>
  </si>
  <si>
    <t>Deventer</t>
  </si>
  <si>
    <t>Brink 101</t>
  </si>
  <si>
    <t>Brink 101;;7411 BZ;Deventer</t>
  </si>
  <si>
    <t>NL0152</t>
  </si>
  <si>
    <t>H&amp;M Apeldoorn</t>
  </si>
  <si>
    <t>Apeldoorn</t>
  </si>
  <si>
    <t>Hoofdstraat 92-94</t>
  </si>
  <si>
    <t>Hoofdstraat 92-94;;7311 KG;Apeldoorn</t>
  </si>
  <si>
    <t>NL0153</t>
  </si>
  <si>
    <t>H&amp;M Breda</t>
  </si>
  <si>
    <t>Breda</t>
  </si>
  <si>
    <t>Ginnekenstraat 30-32</t>
  </si>
  <si>
    <t>Ginnekenstraat 30-32;;4811 JH;Breda</t>
  </si>
  <si>
    <t>NL0154</t>
  </si>
  <si>
    <t>H&amp;M Utrecht Leidsche Rijn</t>
  </si>
  <si>
    <t>Wenenpromenade 136-138</t>
  </si>
  <si>
    <t>Wenenpromenade 136-138;;3541 DG;Utrecht</t>
  </si>
  <si>
    <t>NL0156</t>
  </si>
  <si>
    <t>H&amp;M Sittard</t>
  </si>
  <si>
    <t>Sittard</t>
  </si>
  <si>
    <t>Paradijsstraat 2-18</t>
  </si>
  <si>
    <t>Paradijsstraat 2-18;;6131 JB;Sittard</t>
  </si>
  <si>
    <t>NL0157</t>
  </si>
  <si>
    <t>H&amp;M Hellevoetsluis</t>
  </si>
  <si>
    <t>Hellevoetsluis</t>
  </si>
  <si>
    <t>Struytse Hoeck 63</t>
  </si>
  <si>
    <t>Struytse Hoeck 63;;3224 HA;Hellevoetsluis</t>
  </si>
  <si>
    <t>NL0160</t>
  </si>
  <si>
    <t>H&amp;M Heerlen</t>
  </si>
  <si>
    <t>Heerlen</t>
  </si>
  <si>
    <t>Promenade 2</t>
  </si>
  <si>
    <t>Promenade 2;;6411 JK;Heerlen</t>
  </si>
  <si>
    <t>NL0161</t>
  </si>
  <si>
    <t>H&amp;M Beverwijk</t>
  </si>
  <si>
    <t>Beverwijk</t>
  </si>
  <si>
    <t>Breestraat 60</t>
  </si>
  <si>
    <t>Breestraat 60;;1941 EK;Beverwijk</t>
  </si>
  <si>
    <t>NL0164</t>
  </si>
  <si>
    <t>H&amp;M Doetinchem</t>
  </si>
  <si>
    <t>Doetinchem</t>
  </si>
  <si>
    <t>Hamburgerstraat 49</t>
  </si>
  <si>
    <t>Hamburgerstraat 49;;7001 AH;Doetinchem</t>
  </si>
  <si>
    <t>NL0165</t>
  </si>
  <si>
    <t>H&amp;M Weert</t>
  </si>
  <si>
    <t>Weert</t>
  </si>
  <si>
    <t>Muntpassage 34</t>
  </si>
  <si>
    <t>Muntpassage 34;;6001 GM;Weert</t>
  </si>
  <si>
    <t>NL0166</t>
  </si>
  <si>
    <t>H&amp;M Westfield Mall of the Netherlsnds</t>
  </si>
  <si>
    <t>Leidschendam</t>
  </si>
  <si>
    <t>Duindoorn 20</t>
  </si>
  <si>
    <t>Winkelcentrum Westfield Mall of the Netherlands</t>
  </si>
  <si>
    <t>Duindoorn 20;Winkelcentrum Westfield Mall of the Netherlands;2262 AR;Leidschendam</t>
  </si>
  <si>
    <t>NL0167</t>
  </si>
  <si>
    <t>H&amp;M Amsterdam Osdorp</t>
  </si>
  <si>
    <t>Osdorpplein 137-140</t>
  </si>
  <si>
    <t>Osdorpplein 137-140;;1068SR;Amsterdam</t>
  </si>
  <si>
    <t>NL0168</t>
  </si>
  <si>
    <t>H&amp;M Groningen</t>
  </si>
  <si>
    <t>Herestraat 83</t>
  </si>
  <si>
    <t>Herestraat 83;;9711LD;Groningen</t>
  </si>
  <si>
    <t>NL0173</t>
  </si>
  <si>
    <t>H&amp;M Zaandam</t>
  </si>
  <si>
    <t>Zaandam</t>
  </si>
  <si>
    <t>Gedempte gracht 69</t>
  </si>
  <si>
    <t>Gedempte gracht 69;;1506 CC;Zaandam</t>
  </si>
  <si>
    <t>NL0550</t>
  </si>
  <si>
    <t>H&amp;M HOME Amsterdam</t>
  </si>
  <si>
    <t>Kalverstraat 122</t>
  </si>
  <si>
    <t>Kalverstraat 122;;1012 PK;Amsterdam</t>
  </si>
  <si>
    <t>NL0551</t>
  </si>
  <si>
    <t>H&amp;M HOME Mall of the Netherlands</t>
  </si>
  <si>
    <t>Berkenhove 6</t>
  </si>
  <si>
    <t>Berkenhove 6;Winkelcentrum Westfield Mall of the Netherlands;2262 AK;Leidschendam</t>
  </si>
  <si>
    <t>NO0700</t>
  </si>
  <si>
    <t>Nygata 6</t>
  </si>
  <si>
    <t>Oslo</t>
  </si>
  <si>
    <t>Norway</t>
  </si>
  <si>
    <t>NO</t>
  </si>
  <si>
    <t>Nygata 6;;0184;Oslo</t>
  </si>
  <si>
    <t>NO0711</t>
  </si>
  <si>
    <t>Vinterbro Senter</t>
  </si>
  <si>
    <t>Vinterbro</t>
  </si>
  <si>
    <t>SjÃ¸skogenveien 7</t>
  </si>
  <si>
    <t>SjÃ¸skogenveien 7;;1407;Vinterbro</t>
  </si>
  <si>
    <t>NO0712</t>
  </si>
  <si>
    <t>Aker Brygge</t>
  </si>
  <si>
    <t>Holmens gate 2</t>
  </si>
  <si>
    <t>Holmens gate 2;;0250;Oslo</t>
  </si>
  <si>
    <t>NO0714</t>
  </si>
  <si>
    <t>LillestrÃ¸m Torv</t>
  </si>
  <si>
    <t>LillestrÃ¸m</t>
  </si>
  <si>
    <t>Teatergata 14</t>
  </si>
  <si>
    <t>Teatergata 14;;2000;LillestrÃ¸m</t>
  </si>
  <si>
    <t>NO0716</t>
  </si>
  <si>
    <t>Bryn Senter</t>
  </si>
  <si>
    <t>Ã˜stensjÃ¸veien 79</t>
  </si>
  <si>
    <t>Ã˜stensjÃ¸veien 79;;0667;Oslo</t>
  </si>
  <si>
    <t>NO0718</t>
  </si>
  <si>
    <t>Storo Storsenter</t>
  </si>
  <si>
    <t>Vitaminveien 7-9</t>
  </si>
  <si>
    <t>Vitaminveien 7-9;;0485;Oslo</t>
  </si>
  <si>
    <t>NO0719</t>
  </si>
  <si>
    <t>StrÃ¸mmen Storsenter</t>
  </si>
  <si>
    <t>StrÃ¸mmen</t>
  </si>
  <si>
    <t>StÃ¸periveien 5</t>
  </si>
  <si>
    <t>StÃ¸periveien 5;;2010;StrÃ¸mmen</t>
  </si>
  <si>
    <t>NO0722</t>
  </si>
  <si>
    <t>Oslo City</t>
  </si>
  <si>
    <t>Stenersgata 1</t>
  </si>
  <si>
    <t>Stenersgata 1;;0050;Oslo</t>
  </si>
  <si>
    <t>NO0724</t>
  </si>
  <si>
    <t>Sandvika Storsenter</t>
  </si>
  <si>
    <t>Sandvika</t>
  </si>
  <si>
    <t>Brodtkorpsgate 7</t>
  </si>
  <si>
    <t>Brodtkorpsgate 7;;1338;Sandvika</t>
  </si>
  <si>
    <t>NO0725</t>
  </si>
  <si>
    <t>Ski Storsenter</t>
  </si>
  <si>
    <t>Ski</t>
  </si>
  <si>
    <t>Jembanesvingen 6</t>
  </si>
  <si>
    <t>Jembanesvingen 6;;1400;Ski</t>
  </si>
  <si>
    <t>NO0726</t>
  </si>
  <si>
    <t>Trondheim Torg</t>
  </si>
  <si>
    <t>Trondheim</t>
  </si>
  <si>
    <t>Kongens Gate 11</t>
  </si>
  <si>
    <t>Kongens Gate 11;;7013;Trondheim</t>
  </si>
  <si>
    <t>NO0728</t>
  </si>
  <si>
    <t>Amfi Pyramiden</t>
  </si>
  <si>
    <t>TromsÃ¸</t>
  </si>
  <si>
    <t>Solstrandvegen 47</t>
  </si>
  <si>
    <t>Solstrandvegen 47;;9286;TromsÃ¸</t>
  </si>
  <si>
    <t>NO0732</t>
  </si>
  <si>
    <t>City Syd</t>
  </si>
  <si>
    <t>Ã˜stre Rosten 28</t>
  </si>
  <si>
    <t>Ã˜stre Rosten 28;;7075;Tiller</t>
  </si>
  <si>
    <t>NO0735</t>
  </si>
  <si>
    <t>Stovner Senter</t>
  </si>
  <si>
    <t>Stovner Senter 3</t>
  </si>
  <si>
    <t>Stovner Senter 3;;0985;Oslo</t>
  </si>
  <si>
    <t>NO0737</t>
  </si>
  <si>
    <t>Kvadrat KjÃ¸pesenter</t>
  </si>
  <si>
    <t>Sandnes</t>
  </si>
  <si>
    <t>Stokkaveien 1</t>
  </si>
  <si>
    <t>Stokkaveien 1;;4313;Sandnes</t>
  </si>
  <si>
    <t>NO0738</t>
  </si>
  <si>
    <t>Storbyen</t>
  </si>
  <si>
    <t>Sarpsborg</t>
  </si>
  <si>
    <t>Roald Amundsens gate 36</t>
  </si>
  <si>
    <t>Roald Amundsens gate 36;;1704;Sarpsborg</t>
  </si>
  <si>
    <t>NO0739</t>
  </si>
  <si>
    <t>City Nord</t>
  </si>
  <si>
    <t>BodÃ¸</t>
  </si>
  <si>
    <t>Stormyrveien 20</t>
  </si>
  <si>
    <t>Stormyrveien 20;;8008;BodÃ¸</t>
  </si>
  <si>
    <t>NO0740</t>
  </si>
  <si>
    <t>Nordbyen KjÃ¸pesenter</t>
  </si>
  <si>
    <t>Larvik</t>
  </si>
  <si>
    <t>YttersÃ¸veien 2</t>
  </si>
  <si>
    <t>YttersÃ¸veien 2;;3274;Larvik</t>
  </si>
  <si>
    <t>NO0742</t>
  </si>
  <si>
    <t>Ã…lesund Storsenter</t>
  </si>
  <si>
    <t>Ã…lesund</t>
  </si>
  <si>
    <t>Grimmergata 1</t>
  </si>
  <si>
    <t>Grimmergata 1;;6002;Ã…lesund</t>
  </si>
  <si>
    <t>NO0743</t>
  </si>
  <si>
    <t>Farmandstredet</t>
  </si>
  <si>
    <t>TÃ¸nsberg</t>
  </si>
  <si>
    <t>Stoltenbergsgate 1</t>
  </si>
  <si>
    <t>Stoltenbergsgate 1;;3110;TÃ¸nsberg</t>
  </si>
  <si>
    <t>NO0744</t>
  </si>
  <si>
    <t>SÃ¸rlandssenteret</t>
  </si>
  <si>
    <t>Kristiansand</t>
  </si>
  <si>
    <t>BarstÃ¸lveien 35</t>
  </si>
  <si>
    <t>BarstÃ¸lveien 35;;4636;Kristiansand</t>
  </si>
  <si>
    <t>NO0746</t>
  </si>
  <si>
    <t>Markedet</t>
  </si>
  <si>
    <t>Haugesund</t>
  </si>
  <si>
    <t>SkÃ¥regata 92</t>
  </si>
  <si>
    <t>SkÃ¥regata 92;;5528;Haugesund</t>
  </si>
  <si>
    <t>NO0747</t>
  </si>
  <si>
    <t>Bergen</t>
  </si>
  <si>
    <t>Olav Kyrres Gate 1</t>
  </si>
  <si>
    <t>Olav Kyrres Gate 1;;5014;Bergen</t>
  </si>
  <si>
    <t>NO0749</t>
  </si>
  <si>
    <t>Mosseporten</t>
  </si>
  <si>
    <t>Moss</t>
  </si>
  <si>
    <t>PatterÃ¸dveien 2</t>
  </si>
  <si>
    <t>PatterÃ¸dveien 2;;1599;Moss</t>
  </si>
  <si>
    <t>NO0750</t>
  </si>
  <si>
    <t>Torvbyen</t>
  </si>
  <si>
    <t>Fredrikstad</t>
  </si>
  <si>
    <t>Brochs gate 8</t>
  </si>
  <si>
    <t>Brochs gate 8;;1607;Fredrikstad</t>
  </si>
  <si>
    <t>NO0751</t>
  </si>
  <si>
    <t>Hvaltorvet</t>
  </si>
  <si>
    <t>Sandefjord</t>
  </si>
  <si>
    <t>Torget 7</t>
  </si>
  <si>
    <t>Torget 7;;3201;Sandefjord</t>
  </si>
  <si>
    <t>NO0752</t>
  </si>
  <si>
    <t>Gulskogen Senter</t>
  </si>
  <si>
    <t>Drammen</t>
  </si>
  <si>
    <t>Guldlisten 35</t>
  </si>
  <si>
    <t>Guldlisten 35;;3048;Drammen</t>
  </si>
  <si>
    <t>NO0753</t>
  </si>
  <si>
    <t>Amfi Roseby</t>
  </si>
  <si>
    <t>Molde</t>
  </si>
  <si>
    <t>Lingedalsvegen 10</t>
  </si>
  <si>
    <t>Lingedalsvegen 10;;6415;Molde</t>
  </si>
  <si>
    <t>NO0754</t>
  </si>
  <si>
    <t>Ã˜stfoldhallen</t>
  </si>
  <si>
    <t>Dikeveien 28</t>
  </si>
  <si>
    <t>Dikeveien 28;;1661;RolvsÃ¸y</t>
  </si>
  <si>
    <t>NO0756</t>
  </si>
  <si>
    <t>Liertoppen Senter</t>
  </si>
  <si>
    <t>Lierskogen</t>
  </si>
  <si>
    <t>Drammensveien 201</t>
  </si>
  <si>
    <t>Drammensveien 201;;3420;Lierskogen</t>
  </si>
  <si>
    <t>NO0757</t>
  </si>
  <si>
    <t>Vestkanten Senter</t>
  </si>
  <si>
    <t>Loddefjordveien 2</t>
  </si>
  <si>
    <t>Loddefjordveien 2;;5881;Bergen</t>
  </si>
  <si>
    <t>NO0761</t>
  </si>
  <si>
    <t>Amfi Moa</t>
  </si>
  <si>
    <t>Langelandsvegen 51</t>
  </si>
  <si>
    <t>Langelandsvegen 51;;6010;Ã…lesund</t>
  </si>
  <si>
    <t>NO0762</t>
  </si>
  <si>
    <t>Buskerud Storsenter</t>
  </si>
  <si>
    <t>Krokstadelva</t>
  </si>
  <si>
    <t>Sandsgata 20</t>
  </si>
  <si>
    <t>Sandsgata 20;;3055;Krokstadelva</t>
  </si>
  <si>
    <t>NO0763</t>
  </si>
  <si>
    <t>Amanda Storsenter</t>
  </si>
  <si>
    <t>Longhammarvegen 27</t>
  </si>
  <si>
    <t>Longhammarvegen 27;;5536;Haugesund</t>
  </si>
  <si>
    <t>NO0765</t>
  </si>
  <si>
    <t>Alti FÃ¸rde</t>
  </si>
  <si>
    <t>FÃ¸rde</t>
  </si>
  <si>
    <t>Naustdalsvegen 4</t>
  </si>
  <si>
    <t>Naustdalsvegen 4;;6800;FÃ¸rde</t>
  </si>
  <si>
    <t>NO0767</t>
  </si>
  <si>
    <t>Nerstranda Senter</t>
  </si>
  <si>
    <t>Nerstranda 9</t>
  </si>
  <si>
    <t>Nerstranda 9;;9008;TromsÃ¸</t>
  </si>
  <si>
    <t>NO0768</t>
  </si>
  <si>
    <t>Amfi Narvik</t>
  </si>
  <si>
    <t>Narvik</t>
  </si>
  <si>
    <t>Bolagsgata 15</t>
  </si>
  <si>
    <t>Bolagsgata 15;;8514;Narvik</t>
  </si>
  <si>
    <t>NO0769</t>
  </si>
  <si>
    <t>Oasen Storsenter</t>
  </si>
  <si>
    <t>Karmsund</t>
  </si>
  <si>
    <t>AustbÃ¸vegen 16</t>
  </si>
  <si>
    <t>AustbÃ¸vegen 16;;5542;Karmsund</t>
  </si>
  <si>
    <t>NO0770</t>
  </si>
  <si>
    <t>CC GjÃ¸vik</t>
  </si>
  <si>
    <t>GjÃ¸vik</t>
  </si>
  <si>
    <t>Jernbanesvingen 6</t>
  </si>
  <si>
    <t>Jernbanesvingen 6;;2821;GjÃ¸vik</t>
  </si>
  <si>
    <t>NO0771</t>
  </si>
  <si>
    <t>Amfi Steinkjer</t>
  </si>
  <si>
    <t>Steinkjer</t>
  </si>
  <si>
    <t>SjÃ¸fartsgata 2</t>
  </si>
  <si>
    <t>SjÃ¸fartsgata 2;;7714;Steinkjer</t>
  </si>
  <si>
    <t>NO0772</t>
  </si>
  <si>
    <t>Strandtorget</t>
  </si>
  <si>
    <t>Lillehammer</t>
  </si>
  <si>
    <t>Sliperivegen 2</t>
  </si>
  <si>
    <t>Sliperivegen 2;;2609;Lillehammer</t>
  </si>
  <si>
    <t>NO0775</t>
  </si>
  <si>
    <t>Kongssenteret</t>
  </si>
  <si>
    <t>Kongsvinger</t>
  </si>
  <si>
    <t>Brugata 15</t>
  </si>
  <si>
    <t>Brugata 15;;2212;Kongsvinger</t>
  </si>
  <si>
    <t>NO0776</t>
  </si>
  <si>
    <t>Trekanten Senter</t>
  </si>
  <si>
    <t>Asker</t>
  </si>
  <si>
    <t>Knud Askers vei 26</t>
  </si>
  <si>
    <t>Knud Askers vei 26;;1383;Asker</t>
  </si>
  <si>
    <t>NO0777</t>
  </si>
  <si>
    <t>Koch KjÃ¸pesenter</t>
  </si>
  <si>
    <t>Storgata 5</t>
  </si>
  <si>
    <t>Storgata 5;;8006;BodÃ¸</t>
  </si>
  <si>
    <t>NO0778</t>
  </si>
  <si>
    <t>Arkaden</t>
  </si>
  <si>
    <t>Stavanger</t>
  </si>
  <si>
    <t>Klubbgata 5</t>
  </si>
  <si>
    <t>Klubbgata 5;;4013;Stavanger</t>
  </si>
  <si>
    <t>NO0779</t>
  </si>
  <si>
    <t>Lagunen Storsenter</t>
  </si>
  <si>
    <t>Laguneveien 1</t>
  </si>
  <si>
    <t>Laguneveien 1;;5239;RÃ¥dal</t>
  </si>
  <si>
    <t>NO0830</t>
  </si>
  <si>
    <t>Namsos Storsenter</t>
  </si>
  <si>
    <t>Namsos</t>
  </si>
  <si>
    <t>Verftsgata 4</t>
  </si>
  <si>
    <t>Verftsgata 4;;7800;Namsos</t>
  </si>
  <si>
    <t>NO0831</t>
  </si>
  <si>
    <t>Sartor Storsenter</t>
  </si>
  <si>
    <t>Sartorvegen 12</t>
  </si>
  <si>
    <t>Sartorvegen 12;;5353;Straume</t>
  </si>
  <si>
    <t>NO0832</t>
  </si>
  <si>
    <t>Sortland Storsenter</t>
  </si>
  <si>
    <t>Sortland</t>
  </si>
  <si>
    <t>Strandgata 24</t>
  </si>
  <si>
    <t>Strandgata 24;;8400;Sortland</t>
  </si>
  <si>
    <t>NO0833</t>
  </si>
  <si>
    <t>Jessheim Storsenter</t>
  </si>
  <si>
    <t>Jessheim</t>
  </si>
  <si>
    <t>Ringvegen 4</t>
  </si>
  <si>
    <t>Ringvegen 4;;2050;Jessheim</t>
  </si>
  <si>
    <t>NO0834</t>
  </si>
  <si>
    <t>Solsiden KjÃ¸pesenter</t>
  </si>
  <si>
    <t>Trenerys gate 2</t>
  </si>
  <si>
    <t>Trenerys gate 2;;7042;Trondheim</t>
  </si>
  <si>
    <t>NO0835</t>
  </si>
  <si>
    <t>CC Vest</t>
  </si>
  <si>
    <t>Lilleakerveien 16</t>
  </si>
  <si>
    <t>Lilleakerveien 16;;0283;Oslo</t>
  </si>
  <si>
    <t>NO0836</t>
  </si>
  <si>
    <t>City Lade</t>
  </si>
  <si>
    <t>Haakon VII`s gate 9</t>
  </si>
  <si>
    <t>Haakon VII`s gate 9;;7041;Trondheim</t>
  </si>
  <si>
    <t>NO0837</t>
  </si>
  <si>
    <t>Kremmertorget</t>
  </si>
  <si>
    <t>Elverum</t>
  </si>
  <si>
    <t>Kirkevegen 4</t>
  </si>
  <si>
    <t>Kirkevegen 4;;2414;Elverum</t>
  </si>
  <si>
    <t>NO0838</t>
  </si>
  <si>
    <t>Kuben HÃ¸nefoss</t>
  </si>
  <si>
    <t>HÃ¸nefoss</t>
  </si>
  <si>
    <t>Kong Rings gate 1</t>
  </si>
  <si>
    <t>Kong Rings gate 1;;3510;HÃ¸nefoss</t>
  </si>
  <si>
    <t>NO0840</t>
  </si>
  <si>
    <t>Alti Storkaia</t>
  </si>
  <si>
    <t>Kristiansund</t>
  </si>
  <si>
    <t>Storkaia 7</t>
  </si>
  <si>
    <t>Storkaia 7;;6509;Kristiansund</t>
  </si>
  <si>
    <t>NO0842</t>
  </si>
  <si>
    <t>Down Town KjÃ¸pesenter</t>
  </si>
  <si>
    <t>Porsgrunn</t>
  </si>
  <si>
    <t>Kulltangvegen 70</t>
  </si>
  <si>
    <t>Kulltangvegen 70;;3921;Porsgrunn</t>
  </si>
  <si>
    <t>NO0843</t>
  </si>
  <si>
    <t>ALTI Arendal</t>
  </si>
  <si>
    <t>Arendal</t>
  </si>
  <si>
    <t>Vesterveien 4</t>
  </si>
  <si>
    <t>Vesterveien 4;;4836;Arendal</t>
  </si>
  <si>
    <t>NO0844</t>
  </si>
  <si>
    <t>Kilden KjÃ¸pesenter</t>
  </si>
  <si>
    <t>Gartnerveien 16</t>
  </si>
  <si>
    <t>Gartnerveien 16;;4016;Stavanger</t>
  </si>
  <si>
    <t>NO0845</t>
  </si>
  <si>
    <t>Amfi Moss</t>
  </si>
  <si>
    <t>Dronningens gate 3a</t>
  </si>
  <si>
    <t>Dronningens gate 3a;;1530;Moss</t>
  </si>
  <si>
    <t>NO0846</t>
  </si>
  <si>
    <t>Stortorvet Senter</t>
  </si>
  <si>
    <t>Kongsberg</t>
  </si>
  <si>
    <t>Karsches gate 3</t>
  </si>
  <si>
    <t>Karsches gate 3;;3611;Kongsberg</t>
  </si>
  <si>
    <t>NO0847</t>
  </si>
  <si>
    <t>Tasta Senter</t>
  </si>
  <si>
    <t>Tastatunet 1-3</t>
  </si>
  <si>
    <t>Tastatunet 1-3;;4027;Stavanger</t>
  </si>
  <si>
    <t>NO0848</t>
  </si>
  <si>
    <t>Herkules</t>
  </si>
  <si>
    <t>Skien</t>
  </si>
  <si>
    <t>Ulefossvegen 32</t>
  </si>
  <si>
    <t>Ulefossvegen 32;;3730;Skien</t>
  </si>
  <si>
    <t>NO0849</t>
  </si>
  <si>
    <t>Ã…sane Storsenter</t>
  </si>
  <si>
    <t>Ã…sane Storsenter 42</t>
  </si>
  <si>
    <t>Ã…sane Storsenter 42;;5116;Ulset</t>
  </si>
  <si>
    <t>NO0850</t>
  </si>
  <si>
    <t>Amfi Alta</t>
  </si>
  <si>
    <t>Alta</t>
  </si>
  <si>
    <t>Markedsgata 21-25</t>
  </si>
  <si>
    <t>Markedsgata 21-25;;9510;Alta</t>
  </si>
  <si>
    <t>NO0851</t>
  </si>
  <si>
    <t>M44 Bryne</t>
  </si>
  <si>
    <t>Bryne</t>
  </si>
  <si>
    <t>Jupitervegen 2</t>
  </si>
  <si>
    <t>Jupitervegen 2;;4340;Bryne</t>
  </si>
  <si>
    <t>NO0853</t>
  </si>
  <si>
    <t>Sandens Senter</t>
  </si>
  <si>
    <t>Tollbodgata 14</t>
  </si>
  <si>
    <t>Tollbodgata 14;;4611;Kristiansand</t>
  </si>
  <si>
    <t>NO0854</t>
  </si>
  <si>
    <t>Folke Bernadottes vei 52</t>
  </si>
  <si>
    <t>Folke Bernadottes vei 52;;5147;Fyllingsdalen</t>
  </si>
  <si>
    <t>NO0856</t>
  </si>
  <si>
    <t>Magneten KjÃ¸pesenter</t>
  </si>
  <si>
    <t>Levanger</t>
  </si>
  <si>
    <t>MoafjÃ¦ra 14</t>
  </si>
  <si>
    <t>MoafjÃ¦ra 14;;7606;Levanger</t>
  </si>
  <si>
    <t>NO0858</t>
  </si>
  <si>
    <t>Sogningen Storsenter</t>
  </si>
  <si>
    <t>Sogndal</t>
  </si>
  <si>
    <t>Hovevegen 6</t>
  </si>
  <si>
    <t>Hovevegen 6;;6856;Sogndal</t>
  </si>
  <si>
    <t>NO0859</t>
  </si>
  <si>
    <t>Emil Jensen GÃ¥rden</t>
  </si>
  <si>
    <t>Bragernes Torg 12</t>
  </si>
  <si>
    <t>Bragernes Torg 12;;3017;Drammen</t>
  </si>
  <si>
    <t>NO0860</t>
  </si>
  <si>
    <t>H&amp;M GÃ¥rden</t>
  </si>
  <si>
    <t>Bogstadveien 11</t>
  </si>
  <si>
    <t>Bogstadveien 11;;0355;Oslo</t>
  </si>
  <si>
    <t>NO0861</t>
  </si>
  <si>
    <t>Lambertseter Senter</t>
  </si>
  <si>
    <t>Cecilie Thoresens vei 17</t>
  </si>
  <si>
    <t>Cecilie Thoresens vei 17;;1153;Oslo</t>
  </si>
  <si>
    <t>NO0862</t>
  </si>
  <si>
    <t>UllevÃ¥l Stadion</t>
  </si>
  <si>
    <t>Songsveien 75 J</t>
  </si>
  <si>
    <t>Songsveien 75 J;;0855;Oslo</t>
  </si>
  <si>
    <t>NO0863</t>
  </si>
  <si>
    <t>Byporten Mo i Rana</t>
  </si>
  <si>
    <t>Mo i Rana</t>
  </si>
  <si>
    <t>Terminalveien 1</t>
  </si>
  <si>
    <t>Terminalveien 1;;8624;Mo i Rana</t>
  </si>
  <si>
    <t>NO0864</t>
  </si>
  <si>
    <t>Jekta Storsenter</t>
  </si>
  <si>
    <t>KarlsÃ¸yvegen 12</t>
  </si>
  <si>
    <t>KarlsÃ¸yvegen 12;;9015;TromsÃ¸</t>
  </si>
  <si>
    <t>NO0865</t>
  </si>
  <si>
    <t>Amfi Stord</t>
  </si>
  <si>
    <t>Stord</t>
  </si>
  <si>
    <t>Hamnegata 11</t>
  </si>
  <si>
    <t>Hamnegata 11;;5411;Stord</t>
  </si>
  <si>
    <t>NO0866</t>
  </si>
  <si>
    <t>Sirkus Shopping</t>
  </si>
  <si>
    <t>Falkenborgvegen 1</t>
  </si>
  <si>
    <t>Falkenborgvegen 1;;7044;Trondheim</t>
  </si>
  <si>
    <t>NO0867</t>
  </si>
  <si>
    <t>ALTI Brotorvet</t>
  </si>
  <si>
    <t>Gangveien 10</t>
  </si>
  <si>
    <t>Gangveien 10;;3960;Stathelle</t>
  </si>
  <si>
    <t>NO0868</t>
  </si>
  <si>
    <t>Metro Senter</t>
  </si>
  <si>
    <t>LÃ¸renskog</t>
  </si>
  <si>
    <t>Bibliotekgata 30</t>
  </si>
  <si>
    <t>Bibliotekgata 30;;1473;LÃ¸renskog</t>
  </si>
  <si>
    <t>NO0869</t>
  </si>
  <si>
    <t>Holmen Senter</t>
  </si>
  <si>
    <t>Vogellund 6</t>
  </si>
  <si>
    <t>Vogellund 6;;1394;Nesbru</t>
  </si>
  <si>
    <t>NO0872</t>
  </si>
  <si>
    <t>Tista Senter</t>
  </si>
  <si>
    <t>Halden</t>
  </si>
  <si>
    <t>Walkers gate 4</t>
  </si>
  <si>
    <t>Walkers gate 4;;1771;Halden</t>
  </si>
  <si>
    <t>NO0873</t>
  </si>
  <si>
    <t>Askimtorget</t>
  </si>
  <si>
    <t>Askim</t>
  </si>
  <si>
    <t>RÃ¥dhusgata 6</t>
  </si>
  <si>
    <t>RÃ¥dhusgata 6;;1830;Askim</t>
  </si>
  <si>
    <t>NO0874</t>
  </si>
  <si>
    <t>CC Hamar</t>
  </si>
  <si>
    <t>Hamar</t>
  </si>
  <si>
    <t>Vangsvegen 100</t>
  </si>
  <si>
    <t>Vangsvegen 100;;2318;Hamar</t>
  </si>
  <si>
    <t>NO0875</t>
  </si>
  <si>
    <t>Amfi Orkanger</t>
  </si>
  <si>
    <t>Orkanger</t>
  </si>
  <si>
    <t>Orkdalsveien 113</t>
  </si>
  <si>
    <t>Orkdalsveien 113;;7300;Orkanger</t>
  </si>
  <si>
    <t>NO0876</t>
  </si>
  <si>
    <t>ALTI Mandal</t>
  </si>
  <si>
    <t>Mandal</t>
  </si>
  <si>
    <t>SkarvÃ¸yveien 55</t>
  </si>
  <si>
    <t>SkarvÃ¸yveien 55;;4517;Mandal</t>
  </si>
  <si>
    <t>NO0879</t>
  </si>
  <si>
    <t>Horisont Senter</t>
  </si>
  <si>
    <t>Myrdalsvegen 2</t>
  </si>
  <si>
    <t>Myrdalsvegen 2;;5130;Nyborg</t>
  </si>
  <si>
    <t>NO0880</t>
  </si>
  <si>
    <t>Linderud senter</t>
  </si>
  <si>
    <t>Erich MogensÃ¸ns vei 38</t>
  </si>
  <si>
    <t>Erich MogensÃ¸ns vei 38;;0594;Oslo</t>
  </si>
  <si>
    <t>NO0881</t>
  </si>
  <si>
    <t>Amfi Voss</t>
  </si>
  <si>
    <t>Voss</t>
  </si>
  <si>
    <t>Hardangervegen 25</t>
  </si>
  <si>
    <t>Hardangervegen 25;;5705;Voss</t>
  </si>
  <si>
    <t>NO0882</t>
  </si>
  <si>
    <t>Amfi Kanebogen</t>
  </si>
  <si>
    <t>Harstad</t>
  </si>
  <si>
    <t>Skilleveien 5</t>
  </si>
  <si>
    <t>Skilleveien 5;;9411;Harstad</t>
  </si>
  <si>
    <t>NO0884</t>
  </si>
  <si>
    <t>Torgkvartalet</t>
  </si>
  <si>
    <t>StjÃ¸rdal</t>
  </si>
  <si>
    <t>Stokmovegen 2</t>
  </si>
  <si>
    <t>Stokmovegen 2;;7500;StjÃ¸rdal</t>
  </si>
  <si>
    <t>NO0885</t>
  </si>
  <si>
    <t>KJ 14 H&amp;M</t>
  </si>
  <si>
    <t>Karl Johans gate 14</t>
  </si>
  <si>
    <t>Karl Johans gate 14;;0154;Oslo</t>
  </si>
  <si>
    <t>NO0886</t>
  </si>
  <si>
    <t>KJ 14 HOME</t>
  </si>
  <si>
    <t>NO0887</t>
  </si>
  <si>
    <t>Home Bogstadveien</t>
  </si>
  <si>
    <t>Bogstadveien 45</t>
  </si>
  <si>
    <t>Bogstadveien 45;;0366;Oslo</t>
  </si>
  <si>
    <t>NO0889</t>
  </si>
  <si>
    <t>H&amp;M HOME Trondheim</t>
  </si>
  <si>
    <t>Thomas Angells gate 20</t>
  </si>
  <si>
    <t>Thomas Angells gate 20;;7011;Trondheim</t>
  </si>
  <si>
    <t>NO0890</t>
  </si>
  <si>
    <t>Gamleveien 88</t>
  </si>
  <si>
    <t>Gamleveien 88;;1476;Rasta</t>
  </si>
  <si>
    <t>NZ0002</t>
  </si>
  <si>
    <t>Commercial Bay</t>
  </si>
  <si>
    <t>Auckland</t>
  </si>
  <si>
    <t>New Zealand</t>
  </si>
  <si>
    <t>NZ</t>
  </si>
  <si>
    <t>Tenancy 1, 21 Queen St</t>
  </si>
  <si>
    <t>North Island</t>
  </si>
  <si>
    <t>Tenancy 1, 21 Queen St;;1010;Auckland;North Island</t>
  </si>
  <si>
    <t>NZ0003</t>
  </si>
  <si>
    <t>Westfield Newmarket</t>
  </si>
  <si>
    <t>307 Broadway</t>
  </si>
  <si>
    <t>307 Broadway;307 Broadway;1023;Newmarket;North Island</t>
  </si>
  <si>
    <t>NZ0004</t>
  </si>
  <si>
    <t>Botany Town Centre</t>
  </si>
  <si>
    <t>588 Chapel Road</t>
  </si>
  <si>
    <t>588 Chapel Road;;2016;East Tamaki;North Island</t>
  </si>
  <si>
    <t>NZ0006</t>
  </si>
  <si>
    <t>Cashel Street</t>
  </si>
  <si>
    <t>Christchurch</t>
  </si>
  <si>
    <t>166 Cashel Street</t>
  </si>
  <si>
    <t>South Island</t>
  </si>
  <si>
    <t>166 Cashel Street;;8011;Christchurch;South Island</t>
  </si>
  <si>
    <t>NZ0008</t>
  </si>
  <si>
    <t>Queensgate</t>
  </si>
  <si>
    <t>Wellington</t>
  </si>
  <si>
    <t>Corner of Queens Drive &amp; Bunny Street</t>
  </si>
  <si>
    <t>Corner of Queens Drive &amp; Bunny Street;;5010;Lower Hutt;North Island</t>
  </si>
  <si>
    <t>NZ0009</t>
  </si>
  <si>
    <t>Westfield Riccarton</t>
  </si>
  <si>
    <t>129 Riccarton Road</t>
  </si>
  <si>
    <t>129 Riccarton Road;;8041;Riccarton;South Island</t>
  </si>
  <si>
    <t>NZ0010</t>
  </si>
  <si>
    <t>Crossing</t>
  </si>
  <si>
    <t>Tauranga</t>
  </si>
  <si>
    <t>1 Taurikura Drive</t>
  </si>
  <si>
    <t>1 Taurikura Drive;;3171;Tauranga;North Island</t>
  </si>
  <si>
    <t>NZ0012</t>
  </si>
  <si>
    <t>Chartwell</t>
  </si>
  <si>
    <t>201 Hukanui Road</t>
  </si>
  <si>
    <t>201 Hukanui Road;;3210;Hamilton;North Island</t>
  </si>
  <si>
    <t>NZ0013</t>
  </si>
  <si>
    <t>Sylvia Park</t>
  </si>
  <si>
    <t>286 Mt Wellington Highway</t>
  </si>
  <si>
    <t>286 Mt Wellington Highway;;1060;Mount Wellington;North Island</t>
  </si>
  <si>
    <t>OM0510</t>
  </si>
  <si>
    <t>Muscat City Center</t>
  </si>
  <si>
    <t>Muscat</t>
  </si>
  <si>
    <t>Oman</t>
  </si>
  <si>
    <t>OM</t>
  </si>
  <si>
    <t>Seeb</t>
  </si>
  <si>
    <t>Muscat City Center;Seeb;Muscat;Muscat</t>
  </si>
  <si>
    <t>OM0543</t>
  </si>
  <si>
    <t>The Avenue Mall</t>
  </si>
  <si>
    <t>The Avenue Mall;;0105</t>
  </si>
  <si>
    <t>OM1070</t>
  </si>
  <si>
    <t>Mall of Muscat</t>
  </si>
  <si>
    <t>Mall of Muscat;;Musacat</t>
  </si>
  <si>
    <t>PA0001</t>
  </si>
  <si>
    <t>Multiplaza Mall</t>
  </si>
  <si>
    <t>Panama City</t>
  </si>
  <si>
    <t>Panama</t>
  </si>
  <si>
    <t>PA</t>
  </si>
  <si>
    <t>VÃ­a Israel, Calle Isaac Hanono Missri. Local A-266-1 Level 0</t>
  </si>
  <si>
    <t>Multiplaza Mall;VÃ­a Israel, Calle Isaac Hanono Missri. Local A-266-1 Level 0;PanamÃ¡;PanamÃ¡ City</t>
  </si>
  <si>
    <t>PE0001</t>
  </si>
  <si>
    <t>Jockey Plaza</t>
  </si>
  <si>
    <t>Lima</t>
  </si>
  <si>
    <t>Peru</t>
  </si>
  <si>
    <t>Javier Prado Este 4200 Surco</t>
  </si>
  <si>
    <t>Javier Prado Este 4200 Surco;;130;Lima</t>
  </si>
  <si>
    <t>PE0002</t>
  </si>
  <si>
    <t>Larcomar</t>
  </si>
  <si>
    <t>Av MalecÃ³n de la Reserva 610, Miraflores</t>
  </si>
  <si>
    <t>Av MalecÃ³n de la Reserva 610, Miraflores;;00000;Av MalecÃ³n de la Reserva 610</t>
  </si>
  <si>
    <t>PE0003</t>
  </si>
  <si>
    <t>Mega plaza</t>
  </si>
  <si>
    <t>Av redo Mendiola 3698, Independencia</t>
  </si>
  <si>
    <t>Av redo Mendiola 3698, Independencia;;00000;Alfredo Mendiola 3698</t>
  </si>
  <si>
    <t>PE0004</t>
  </si>
  <si>
    <t>Plaza Norte</t>
  </si>
  <si>
    <t>Av. Alfredo Mendiola NÂ° 1400, Indepencencia</t>
  </si>
  <si>
    <t>Av. Alfredo Mendiola NÂ° 1400, Indepencencia;;28;51</t>
  </si>
  <si>
    <t>PE0005</t>
  </si>
  <si>
    <t>Mall del Sur</t>
  </si>
  <si>
    <t>Av Pedro Miotta 1011, Cercado de Lima 15801, Peru</t>
  </si>
  <si>
    <t>Av Pedro Miotta 1011, Cercado de Lima 15801, Peru;;00000;Av Los Lirios y Pedro Miota</t>
  </si>
  <si>
    <t>PE0006</t>
  </si>
  <si>
    <t>Real Plaza Trujillo</t>
  </si>
  <si>
    <t>Trujillo</t>
  </si>
  <si>
    <t>Av. Cesar Vallejo Oeste No.1345</t>
  </si>
  <si>
    <t>Av. Cesar Vallejo Oeste No.1345;;13008;Av Cesar Vallejo Oeste #1345</t>
  </si>
  <si>
    <t>PE0007</t>
  </si>
  <si>
    <t>Real Plaza Piura</t>
  </si>
  <si>
    <t>Piura</t>
  </si>
  <si>
    <t>Av SÃ¡nchez Cerro 234</t>
  </si>
  <si>
    <t>Av SÃ¡nchez Cerro 234;;Piura 200;Av SÃ¡nchez Cerro 234</t>
  </si>
  <si>
    <t>PE0008</t>
  </si>
  <si>
    <t>Real Plaza Puruchuco</t>
  </si>
  <si>
    <t>Calle Lisboa 100, Ate 15494, Peru</t>
  </si>
  <si>
    <t>Calle Lisboa 100, Ate 15494, Peru;;0000;Av. NicolÃ¡s AyllÃ³n 4770</t>
  </si>
  <si>
    <t>PE0009</t>
  </si>
  <si>
    <t>Real Plaza Cusco</t>
  </si>
  <si>
    <t>Cusco</t>
  </si>
  <si>
    <t>Av Collasuyo 2964, Cusco</t>
  </si>
  <si>
    <t>Av Collasuyo 2964, Cusco;;00000;Av Collasuyo 2964</t>
  </si>
  <si>
    <t>PE0011</t>
  </si>
  <si>
    <t>Real Plaza Arequipa</t>
  </si>
  <si>
    <t>Arequipa</t>
  </si>
  <si>
    <t>Av. Ejercito 1009, Cayma, Arequipa</t>
  </si>
  <si>
    <t>Av. Ejercito 1009, Cayma, Arequipa;;04000;Av. Ejercito 1009, Cayma, Arequipa</t>
  </si>
  <si>
    <t>PE0015</t>
  </si>
  <si>
    <t>Real Plaza Primavera</t>
  </si>
  <si>
    <t>Av. Angamos Este 2681</t>
  </si>
  <si>
    <t>Av. Aviacion 3620</t>
  </si>
  <si>
    <t>Av. Angamos Este 2681;Av. Aviacion 3620;Lima 41;Av. Angamos Este 2681</t>
  </si>
  <si>
    <t>PE0016</t>
  </si>
  <si>
    <t>Real Plaza Huancayo</t>
  </si>
  <si>
    <t>Huancayo</t>
  </si>
  <si>
    <t>Av. Ferrocarril 1035</t>
  </si>
  <si>
    <t>Av. Ferrocarril 1035;;12001;Av. Ferrocarril 1035</t>
  </si>
  <si>
    <t>PE0017</t>
  </si>
  <si>
    <t>El Quinde Cajamarca</t>
  </si>
  <si>
    <t>Cajamarca</t>
  </si>
  <si>
    <t>Sor Manuela Gil 571</t>
  </si>
  <si>
    <t>Sor Manuela Gil 571;;060101;Sor Manuela Gil 571</t>
  </si>
  <si>
    <t>PE0019</t>
  </si>
  <si>
    <t>Real Plaza Centro CÃ­vico</t>
  </si>
  <si>
    <t>Av. Inca Garcilaso de la Vega, No. 1337</t>
  </si>
  <si>
    <t>Av. Inca Garcilaso de la Vega, No. 1337;;15001;Lima;Lima</t>
  </si>
  <si>
    <t>PE0020</t>
  </si>
  <si>
    <t>Mall Aventura Santa Anita</t>
  </si>
  <si>
    <t>Carr. Central 51, Ate 15023, Peru</t>
  </si>
  <si>
    <t>Carr. Central 51, Ate 15023, Peru;;15008;15008</t>
  </si>
  <si>
    <t>PE0021</t>
  </si>
  <si>
    <t>Mall Aventura Porongoche</t>
  </si>
  <si>
    <t>Av. Porongoche 500, Paucarpata</t>
  </si>
  <si>
    <t>Av. Porongoche 500, Paucarpata;;04002;Av. Porongoche 500, Paucarpata</t>
  </si>
  <si>
    <t>PE0022</t>
  </si>
  <si>
    <t>Mall Aventura Chiclayo</t>
  </si>
  <si>
    <t>Chiclayo</t>
  </si>
  <si>
    <t>Panamericana Norte 37</t>
  </si>
  <si>
    <t>Panamericana Norte 37;;N/A;N/A</t>
  </si>
  <si>
    <t>PE0024</t>
  </si>
  <si>
    <t>Avenida Lurigancho 991, San Juan de Lurigancho</t>
  </si>
  <si>
    <t>Avenida Lurigancho 991, San Juan de Lurigancho;;N/A;N/A</t>
  </si>
  <si>
    <t>PE0026</t>
  </si>
  <si>
    <t>Minka</t>
  </si>
  <si>
    <t>Av. Argentina 3093</t>
  </si>
  <si>
    <t>Av. Argentina 3093;;07001;Av. Argentina 3093, Callao 07001</t>
  </si>
  <si>
    <t>PH0601</t>
  </si>
  <si>
    <t>H&amp;M Megamall</t>
  </si>
  <si>
    <t>Mandaluyong</t>
  </si>
  <si>
    <t>Philippines</t>
  </si>
  <si>
    <t>PH</t>
  </si>
  <si>
    <t>EDSA, corner DoÃ±a Julia Vargas Ave, Ortigas</t>
  </si>
  <si>
    <t>Ground Level SM Megamall, Mega Fashion Hall</t>
  </si>
  <si>
    <t>EDSA, corner DoÃ±a Julia Vargas Ave, Ortigas;Ground Level SM Megamall, Mega Fashion Hall;1555</t>
  </si>
  <si>
    <t>PH0602</t>
  </si>
  <si>
    <t>H&amp;M SM Makati</t>
  </si>
  <si>
    <t>Makati</t>
  </si>
  <si>
    <t>Ayala Center</t>
  </si>
  <si>
    <t>GF SM Makati</t>
  </si>
  <si>
    <t>Ayala Center;GF SM Makati;1223;Metro Manila</t>
  </si>
  <si>
    <t>PH0603</t>
  </si>
  <si>
    <t>H&amp;M Robinsons Ermita</t>
  </si>
  <si>
    <t>Manila</t>
  </si>
  <si>
    <t>Pedro Gil cor. Adriatico St.</t>
  </si>
  <si>
    <t>GF - 2F Robinsons Place Manila</t>
  </si>
  <si>
    <t>Pedro Gil cor. Adriatico St.;GF - 2F Robinsons Place Manila;1000;Manila</t>
  </si>
  <si>
    <t>PH0604</t>
  </si>
  <si>
    <t>H&amp;M Robinsons Magnolia</t>
  </si>
  <si>
    <t>Quezon City</t>
  </si>
  <si>
    <t>Aurora Blvd cor. DoÃ±a Hemady St.</t>
  </si>
  <si>
    <t>Upper Ground Level Robinson's Magnolia</t>
  </si>
  <si>
    <t>Aurora Blvd cor. DoÃ±a Hemady St.;Upper Ground Level Robinson's Magnolia;1111</t>
  </si>
  <si>
    <t>PH0605</t>
  </si>
  <si>
    <t>H&amp;M North Edsa</t>
  </si>
  <si>
    <t>North avenue cor EDSA</t>
  </si>
  <si>
    <t>The Block SM City North EDSA</t>
  </si>
  <si>
    <t>North avenue cor EDSA;The Block SM City North EDSA;1100</t>
  </si>
  <si>
    <t>PH0606</t>
  </si>
  <si>
    <t>H&amp;M Mall of Asia</t>
  </si>
  <si>
    <t>Pasay</t>
  </si>
  <si>
    <t>Ocean Drive</t>
  </si>
  <si>
    <t>GF -2F SM Mall of Asia</t>
  </si>
  <si>
    <t>Ocean Drive;GF -2F SM Mall of Asia;1300;Taguig</t>
  </si>
  <si>
    <t>PH0607</t>
  </si>
  <si>
    <t>H&amp;M Uptown BGC</t>
  </si>
  <si>
    <t>Bonifacio Global City</t>
  </si>
  <si>
    <t>9th Avenue cor 36th St. Taguig</t>
  </si>
  <si>
    <t>GF Tower 3 Uptown Mall BGC</t>
  </si>
  <si>
    <t>9th Avenue cor 36th St. Taguig;GF Tower 3 Uptown Mall BGC;1634;Taguig</t>
  </si>
  <si>
    <t>PH0608</t>
  </si>
  <si>
    <t>H&amp;M Fairview</t>
  </si>
  <si>
    <t>Regalado St.</t>
  </si>
  <si>
    <t>UGF SM Fairview</t>
  </si>
  <si>
    <t>Regalado St.;UGF SM Fairview;1118;Manila</t>
  </si>
  <si>
    <t>PH0609</t>
  </si>
  <si>
    <t>H&amp;M Southmall</t>
  </si>
  <si>
    <t>Muntinlupa</t>
  </si>
  <si>
    <t>Alabang -Zapote Rd.</t>
  </si>
  <si>
    <t>GF-2F SM Southmall</t>
  </si>
  <si>
    <t>Alabang -Zapote Rd.;GF-2F SM Southmall;1740</t>
  </si>
  <si>
    <t>PH0610</t>
  </si>
  <si>
    <t>H&amp;M Seaside Cebu</t>
  </si>
  <si>
    <t>Cebu</t>
  </si>
  <si>
    <t>South Road Properties</t>
  </si>
  <si>
    <t>GF-2F SM Seaside City</t>
  </si>
  <si>
    <t>South Road Properties;GF-2F SM Seaside City;6000</t>
  </si>
  <si>
    <t>PH0611</t>
  </si>
  <si>
    <t>H&amp;M Ayala Cebu</t>
  </si>
  <si>
    <t>Cebu Business Park</t>
  </si>
  <si>
    <t>LGF-2F Ayala Center Cebu</t>
  </si>
  <si>
    <t>Cebu Business Park;LGF-2F Ayala Center Cebu;6000</t>
  </si>
  <si>
    <t>PH0612</t>
  </si>
  <si>
    <t>H&amp;M Festival Mall</t>
  </si>
  <si>
    <t>Filinvest City</t>
  </si>
  <si>
    <t>2F-3F Festival Mall</t>
  </si>
  <si>
    <t>Filinvest City;2F-3F Festival Mall;1780;Muntilupa, Metro Manila</t>
  </si>
  <si>
    <t>PH0613</t>
  </si>
  <si>
    <t>H&amp;M SM DasmariÃ±as</t>
  </si>
  <si>
    <t>Cavite</t>
  </si>
  <si>
    <t>35 Governor's Drive</t>
  </si>
  <si>
    <t>GF SM DasmariÃ±as</t>
  </si>
  <si>
    <t>35 Governor's Drive;GF SM DasmariÃ±as;4114;DasmariÃ±as City</t>
  </si>
  <si>
    <t>PH0614</t>
  </si>
  <si>
    <t>H&amp;M Bacolod</t>
  </si>
  <si>
    <t>Bacolod</t>
  </si>
  <si>
    <t>Barangay 12</t>
  </si>
  <si>
    <t>GF SM Bacolod</t>
  </si>
  <si>
    <t>Barangay 12;GF SM Bacolod;6100</t>
  </si>
  <si>
    <t>PH0615</t>
  </si>
  <si>
    <t>H&amp;M Marquee Mall</t>
  </si>
  <si>
    <t>Angeles City</t>
  </si>
  <si>
    <t>Aniceto Guenco St.</t>
  </si>
  <si>
    <t>Space 1000, Level 1, MarQuee Mall</t>
  </si>
  <si>
    <t>Aniceto Guenco St.;Space 1000, Level 1, MarQuee Mall;2009</t>
  </si>
  <si>
    <t>PH0616</t>
  </si>
  <si>
    <t>H&amp;M Pampanga</t>
  </si>
  <si>
    <t>San Fernando, Pampanga</t>
  </si>
  <si>
    <t>Olongapo-Gapan Road</t>
  </si>
  <si>
    <t>Ground Level, SM City Pampanga</t>
  </si>
  <si>
    <t>Olongapo-Gapan Road;Ground Level, SM City Pampanga;2000</t>
  </si>
  <si>
    <t>PH0619</t>
  </si>
  <si>
    <t>H&amp;M Ayala UP Town Manila</t>
  </si>
  <si>
    <t>Katipunan Avenue, Diliman</t>
  </si>
  <si>
    <t>1st-2nd Level Ayala U.P. Town Center</t>
  </si>
  <si>
    <t>Katipunan Avenue, Diliman;1st-2nd Level Ayala U.P. Town Center;1108;Quezon City</t>
  </si>
  <si>
    <t>PH0621</t>
  </si>
  <si>
    <t>H&amp;M Gateway Mall</t>
  </si>
  <si>
    <t>General Roxas Avenue, Araneta Center Cubao</t>
  </si>
  <si>
    <t>2nd-3rd Level Gateway Mall</t>
  </si>
  <si>
    <t>General Roxas Avenue, Araneta Center Cubao;2nd-3rd Level Gateway Mall;1109;Quezon City</t>
  </si>
  <si>
    <t>PH0622</t>
  </si>
  <si>
    <t>H&amp;M Clark</t>
  </si>
  <si>
    <t>Manuel A. Roxas Hwy, Clark Freeport, Angeles,</t>
  </si>
  <si>
    <t>Ground -Second Level, SM City Clark</t>
  </si>
  <si>
    <t>Manuel A. Roxas Hwy, Clark Freeport, Angeles,;Ground -Second Level, SM City Clark;2009</t>
  </si>
  <si>
    <t>PH0623</t>
  </si>
  <si>
    <t>H&amp;M Ayala Abreeza</t>
  </si>
  <si>
    <t>Davao</t>
  </si>
  <si>
    <t>J.P. Laurel Ave, Poblacion District</t>
  </si>
  <si>
    <t>Ground Level, Abreeza Mall,</t>
  </si>
  <si>
    <t>J.P. Laurel Ave, Poblacion District;Ground Level, Abreeza Mall,;8000</t>
  </si>
  <si>
    <t>PH0624</t>
  </si>
  <si>
    <t>H&amp;M Cagayan De Oro</t>
  </si>
  <si>
    <t>Cagayan de Oro</t>
  </si>
  <si>
    <t>Claro M. Recto Avenue, Cagayan de Oro,</t>
  </si>
  <si>
    <t>2nd Level Centrio Mall</t>
  </si>
  <si>
    <t>Claro M. Recto Avenue, Cagayan de Oro,;2nd Level Centrio Mall;9000</t>
  </si>
  <si>
    <t>PH0625</t>
  </si>
  <si>
    <t>H&amp;M Robinsons Galleria</t>
  </si>
  <si>
    <t>EDSA cor Ortigas Avenue</t>
  </si>
  <si>
    <t>2nd Level Robinsons Galleria EDSA</t>
  </si>
  <si>
    <t>EDSA cor Ortigas Avenue;2nd Level Robinsons Galleria EDSA;1110</t>
  </si>
  <si>
    <t>PH0626</t>
  </si>
  <si>
    <t>H&amp;M Cebu</t>
  </si>
  <si>
    <t>North Reclamation Area</t>
  </si>
  <si>
    <t>UGF-LGF SM City Mabolo</t>
  </si>
  <si>
    <t>North Reclamation Area;UGF-LGF SM City Mabolo;6000</t>
  </si>
  <si>
    <t>PH0627</t>
  </si>
  <si>
    <t>H&amp;M Greenbelt</t>
  </si>
  <si>
    <t>San Lorenzo</t>
  </si>
  <si>
    <t>2F Greenbelt 4</t>
  </si>
  <si>
    <t>San Lorenzo;2F Greenbelt 4;1223;Makati</t>
  </si>
  <si>
    <t>PH0628</t>
  </si>
  <si>
    <t>H&amp;M Iloilo</t>
  </si>
  <si>
    <t>Iloilo</t>
  </si>
  <si>
    <t>Benigno Aquino Ave.</t>
  </si>
  <si>
    <t>UGF SM City Iloilo</t>
  </si>
  <si>
    <t>Benigno Aquino Ave.;UGF SM City Iloilo;5000</t>
  </si>
  <si>
    <t>PH0632</t>
  </si>
  <si>
    <t>H&amp;M Evia Vista Mall</t>
  </si>
  <si>
    <t>Daang Hari Road</t>
  </si>
  <si>
    <t>GF Evia Lifestyle Center</t>
  </si>
  <si>
    <t>Daang Hari Road;GF Evia Lifestyle Center;1750</t>
  </si>
  <si>
    <t>PH0633</t>
  </si>
  <si>
    <t>H&amp;M Ilocos Norte</t>
  </si>
  <si>
    <t>Ilocos Norte</t>
  </si>
  <si>
    <t>San Nicolas</t>
  </si>
  <si>
    <t>1st Level Robinsons Place Ilocos</t>
  </si>
  <si>
    <t>San Nicolas;1st Level Robinsons Place Ilocos;2901</t>
  </si>
  <si>
    <t>PH0637</t>
  </si>
  <si>
    <t>H&amp;M Bataan</t>
  </si>
  <si>
    <t>Balanga</t>
  </si>
  <si>
    <t>Bataan Provincial Hi-way</t>
  </si>
  <si>
    <t>Ground Level Vista Mall Bataan</t>
  </si>
  <si>
    <t>Bataan Provincial Hi-way;Ground Level Vista Mall Bataan;2100</t>
  </si>
  <si>
    <t>PH0638</t>
  </si>
  <si>
    <t>H&amp;M Sta Rosa</t>
  </si>
  <si>
    <t>Santa Rosa</t>
  </si>
  <si>
    <t>Sto. Domingo</t>
  </si>
  <si>
    <t>GF Vista Mall Santa Rosa</t>
  </si>
  <si>
    <t>Sto. Domingo;GF Vista Mall Santa Rosa;4026</t>
  </si>
  <si>
    <t>PH0639</t>
  </si>
  <si>
    <t>H&amp;M Ayala Vertis</t>
  </si>
  <si>
    <t>North Avenue Bagong Pag-asa</t>
  </si>
  <si>
    <t>Ground Level Bldg 2 Ayala Mall Vertis North</t>
  </si>
  <si>
    <t>North Avenue Bagong Pag-asa;Ground Level Bldg 2 Ayala Mall Vertis North;1105</t>
  </si>
  <si>
    <t>PH0643</t>
  </si>
  <si>
    <t>H&amp;M Feliz Town Center</t>
  </si>
  <si>
    <t>Marikina</t>
  </si>
  <si>
    <t>Marcos Highway Brgy Dela Paz</t>
  </si>
  <si>
    <t>2nd-3rd Level Ayala Mall Feliz</t>
  </si>
  <si>
    <t>Marcos Highway Brgy Dela Paz;2nd-3rd Level Ayala Mall Feliz;1637</t>
  </si>
  <si>
    <t>PH0644</t>
  </si>
  <si>
    <t>H&amp;M Cloverleaf</t>
  </si>
  <si>
    <t>A. Bonifacio Ave.</t>
  </si>
  <si>
    <t>Ground &amp; 2nd Level Ayala Malls Cloverleaf</t>
  </si>
  <si>
    <t>A. Bonifacio Ave.;Ground &amp; 2nd Level Ayala Malls Cloverleaf;1106;Balintawak, Quezon City</t>
  </si>
  <si>
    <t>PH0653</t>
  </si>
  <si>
    <t>H&amp;M Ayala Circuit</t>
  </si>
  <si>
    <t>A.P. Reyes Ave.</t>
  </si>
  <si>
    <t>LGF Circuit Mall</t>
  </si>
  <si>
    <t>A.P. Reyes Ave.;LGF Circuit Mall;1207</t>
  </si>
  <si>
    <t>PH0654</t>
  </si>
  <si>
    <t>H&amp;M The Outlets in Lipa</t>
  </si>
  <si>
    <t>Lipa</t>
  </si>
  <si>
    <t>LIMA Technology Center</t>
  </si>
  <si>
    <t>Block H, G Level</t>
  </si>
  <si>
    <t>LIMA Technology Center;Block H, G Level;4217</t>
  </si>
  <si>
    <t>PH0657</t>
  </si>
  <si>
    <t>H&amp;M SM City Sucat</t>
  </si>
  <si>
    <t>Paranaque</t>
  </si>
  <si>
    <t>Dr. A. Santos Ave.</t>
  </si>
  <si>
    <t>GF SM City Sucat</t>
  </si>
  <si>
    <t>Dr. A. Santos Ave.;GF SM City Sucat;1700</t>
  </si>
  <si>
    <t>PH0658</t>
  </si>
  <si>
    <t>SM City Baguio</t>
  </si>
  <si>
    <t>Baguio</t>
  </si>
  <si>
    <t>Upper Session Road Luneta Hill Drive</t>
  </si>
  <si>
    <t>2nd Floor Expansion Wing, SM Baguio</t>
  </si>
  <si>
    <t>Upper Session Road Luneta Hill Drive;2nd Floor Expansion Wing, SM Baguio;2600</t>
  </si>
  <si>
    <t>PH0665</t>
  </si>
  <si>
    <t>SM City Olongapo Central</t>
  </si>
  <si>
    <t>Subic Bay</t>
  </si>
  <si>
    <t>Rizal Avenue Brgy. East Tapinac</t>
  </si>
  <si>
    <t>Ground Floor SM City Olongapo Central</t>
  </si>
  <si>
    <t>Rizal Avenue Brgy. East Tapinac;Ground Floor SM City Olongapo Central;2200</t>
  </si>
  <si>
    <t>PH0667</t>
  </si>
  <si>
    <t>H&amp;M Vista NoMo</t>
  </si>
  <si>
    <t>San Nicolas 1</t>
  </si>
  <si>
    <t>GF Vista Mall North Molino</t>
  </si>
  <si>
    <t>San Nicolas 1;GF Vista Mall North Molino;4100</t>
  </si>
  <si>
    <t>PH0672</t>
  </si>
  <si>
    <t>H&amp;M Robinsons Galleria South</t>
  </si>
  <si>
    <t>San Pedro</t>
  </si>
  <si>
    <t>South Road San Pedro</t>
  </si>
  <si>
    <t>GF, Robinsons Galleria South Manila</t>
  </si>
  <si>
    <t>South Road San Pedro;GF, Robinsons Galleria South Manila;4023</t>
  </si>
  <si>
    <t>PH0682</t>
  </si>
  <si>
    <t>26th Street, Corner McKinley Pkwy</t>
  </si>
  <si>
    <t>26th Street, Corner McKinley Pkwy;;1630;Taguig</t>
  </si>
  <si>
    <t>PL0001</t>
  </si>
  <si>
    <t>MarszaÅ‚kowska</t>
  </si>
  <si>
    <t>Warsaw</t>
  </si>
  <si>
    <t>Poland</t>
  </si>
  <si>
    <t>PL</t>
  </si>
  <si>
    <t>104/122 MarszaÅ‚kowska St.</t>
  </si>
  <si>
    <t>Mazowsze</t>
  </si>
  <si>
    <t>MarszaÅ‚kowska;104/122 MarszaÅ‚kowska St.;00-017;Warszawa;Mazowsze</t>
  </si>
  <si>
    <t>PL0002</t>
  </si>
  <si>
    <t>Wola Park</t>
  </si>
  <si>
    <t>124 Gorczewska St.</t>
  </si>
  <si>
    <t>Wola Park;124 Gorczewska St.;01-460;Warszawa;Mazowsze</t>
  </si>
  <si>
    <t>PL0004</t>
  </si>
  <si>
    <t>Atrium Reduta</t>
  </si>
  <si>
    <t>148 Jerozolimskie Ave.</t>
  </si>
  <si>
    <t>Atrium Reduta;148 Jerozolimskie Ave.;02-326;Warszawa;Mazowsze</t>
  </si>
  <si>
    <t>PL0005</t>
  </si>
  <si>
    <t>Stary Browar</t>
  </si>
  <si>
    <t>Poznan</t>
  </si>
  <si>
    <t>32 PÃ³Å‚wiejska St.</t>
  </si>
  <si>
    <t>Wielkopolska</t>
  </si>
  <si>
    <t>Stary Browar;32 PÃ³Å‚wiejska St.;PoznaÅ„;PoznaÅ„;Wielkopolska</t>
  </si>
  <si>
    <t>PL0006</t>
  </si>
  <si>
    <t>Centrum Janki</t>
  </si>
  <si>
    <t>3 Mszczonowska St.</t>
  </si>
  <si>
    <t>Centrum Janki;3 Mszczonowska St.;05-090;Janki k/Warszawy;Mazowsze</t>
  </si>
  <si>
    <t>PL0008</t>
  </si>
  <si>
    <t>CH Galaxy</t>
  </si>
  <si>
    <t>Szczecin</t>
  </si>
  <si>
    <t>18 Wyzwolenia Ave.</t>
  </si>
  <si>
    <t>Pomorze Zachodnie</t>
  </si>
  <si>
    <t>CH Galaxy;18 Wyzwolenia Ave.;70-554;Szczecin;Pomorze Zachodnie</t>
  </si>
  <si>
    <t>PL0009</t>
  </si>
  <si>
    <t>DH Merkury</t>
  </si>
  <si>
    <t>Wroclaw</t>
  </si>
  <si>
    <t>7 Åšwidnicka St.</t>
  </si>
  <si>
    <t>Dolny ÅšlÄ…sk</t>
  </si>
  <si>
    <t>DH Merkury;7 Åšwidnicka St.;50-064;Wroclaw;Dolny ÅšlÄ…sk</t>
  </si>
  <si>
    <t>PL0012</t>
  </si>
  <si>
    <t>Gdansk</t>
  </si>
  <si>
    <t>Kolobrzeska St 41C</t>
  </si>
  <si>
    <t>Pomorze</t>
  </si>
  <si>
    <t>Alfa;Kolobrzeska St 41C;80-391;Gdansk;Pomorze</t>
  </si>
  <si>
    <t>PL0014</t>
  </si>
  <si>
    <t>CH Arkadia</t>
  </si>
  <si>
    <t>82 Jana PawÅ‚a II Ave.</t>
  </si>
  <si>
    <t>CH Arkadia;82 Jana PawÅ‚a II Ave.;01-501;Warszawa;Mazowsze</t>
  </si>
  <si>
    <t>PL0015</t>
  </si>
  <si>
    <t>Klif</t>
  </si>
  <si>
    <t>Gdynia</t>
  </si>
  <si>
    <t>Zwyciestwa Ave. 256</t>
  </si>
  <si>
    <t>Klif;Zwyciestwa Ave. 256;81-525;Gdynia;Pomorze</t>
  </si>
  <si>
    <t>PL0016</t>
  </si>
  <si>
    <t>Zlote Tarasy</t>
  </si>
  <si>
    <t>59 Zlota St.</t>
  </si>
  <si>
    <t>Zlote Tarasy;59 Zlota St.;00-120;Warszawa;Mazowsze</t>
  </si>
  <si>
    <t>PL0017</t>
  </si>
  <si>
    <t>Galeria Kazimierz</t>
  </si>
  <si>
    <t>Krakow</t>
  </si>
  <si>
    <t>34 Podgorska St.</t>
  </si>
  <si>
    <t>MaÅ‚opolska</t>
  </si>
  <si>
    <t>Galeria Kazimierz;34 Podgorska St.;31-536;Krakow;MaÅ‚opolska</t>
  </si>
  <si>
    <t>PL0018</t>
  </si>
  <si>
    <t>CH M1 Czeladz</t>
  </si>
  <si>
    <t>Czeladz</t>
  </si>
  <si>
    <t>80 Bedzinska St.</t>
  </si>
  <si>
    <t>ÅšlÄ…sk</t>
  </si>
  <si>
    <t>CH M1 Czeladz;80 Bedzinska St.;41-250;Czeladz;ÅšlÄ…sk</t>
  </si>
  <si>
    <t>PL0019</t>
  </si>
  <si>
    <t>H&amp;M Stawowa</t>
  </si>
  <si>
    <t>Katowice</t>
  </si>
  <si>
    <t>9 Stawowa St.</t>
  </si>
  <si>
    <t>H&amp;M Stawowa;9 Stawowa St.;40-095;Katowice;ÅšlÄ…sk</t>
  </si>
  <si>
    <t>PL0020</t>
  </si>
  <si>
    <t>Manufaktura</t>
  </si>
  <si>
    <t>Lodz</t>
  </si>
  <si>
    <t>5 Karskiego St.</t>
  </si>
  <si>
    <t>ÅÃ³dzkie</t>
  </si>
  <si>
    <t>Manufaktura;5 Karskiego St.;91-071;Lodz;ÅÃ³dzkie</t>
  </si>
  <si>
    <t>PL0021</t>
  </si>
  <si>
    <t>CH M1 Krakow</t>
  </si>
  <si>
    <t>67 Pokoju Ave.</t>
  </si>
  <si>
    <t>CH M1 Krakow;67 Pokoju Ave.;31-580;Krakow;MaÅ‚opolska</t>
  </si>
  <si>
    <t>PL0022</t>
  </si>
  <si>
    <t>CH M1</t>
  </si>
  <si>
    <t>14 Szwajcarska St.</t>
  </si>
  <si>
    <t>CH M1;14 Szwajcarska St.;61-285;PoznaÅ„;Wielkopolska</t>
  </si>
  <si>
    <t>PL0023</t>
  </si>
  <si>
    <t>Aura</t>
  </si>
  <si>
    <t>Olsztyn</t>
  </si>
  <si>
    <t>16 Pilsudskiego Ave.</t>
  </si>
  <si>
    <t>Warmia i Mazury</t>
  </si>
  <si>
    <t>Aura;16 Pilsudskiego Ave.;10-576;Olsztyn;Warmia i Mazury</t>
  </si>
  <si>
    <t>PL0024</t>
  </si>
  <si>
    <t>CH King Cross Marcelin</t>
  </si>
  <si>
    <t>156 Bukowska St.</t>
  </si>
  <si>
    <t>CH King Cross Marcelin;156 Bukowska St.;60-196;PoznaÅ„;Wielkopolska</t>
  </si>
  <si>
    <t>PL0025</t>
  </si>
  <si>
    <t>Park Handlowy Matarnia</t>
  </si>
  <si>
    <t>Zlota Karczma St 26</t>
  </si>
  <si>
    <t>Park Handlowy Matarnia;Zlota Karczma St 26;80-298;Gdansk;Pomorze</t>
  </si>
  <si>
    <t>PL0026</t>
  </si>
  <si>
    <t>CH Plaza</t>
  </si>
  <si>
    <t>ul. K.DruÅ¼bickiego 2</t>
  </si>
  <si>
    <t>CH Plaza;ul. K.DruÅ¼bickiego 2;61-692;PoznaÅ„;Wielkopolska</t>
  </si>
  <si>
    <t>PL0027</t>
  </si>
  <si>
    <t>Galeria Krakowska</t>
  </si>
  <si>
    <t>5 Pawia St.</t>
  </si>
  <si>
    <t>Galeria Krakowska;5 Pawia St.;31-154;KrakÃ³w;MaÅ‚opolska</t>
  </si>
  <si>
    <t>PL0028</t>
  </si>
  <si>
    <t>CH Plejada Sosnowiec</t>
  </si>
  <si>
    <t>Sosnowiec</t>
  </si>
  <si>
    <t>8 Staszica St.</t>
  </si>
  <si>
    <t>CH Plejada Sosnowiec;8 Staszica St.;41-200;Sosnowiec;ÅšlÄ…sk</t>
  </si>
  <si>
    <t>PL0029</t>
  </si>
  <si>
    <t>CH M1 Zabrze</t>
  </si>
  <si>
    <t>Zabrze</t>
  </si>
  <si>
    <t>1 Plutonowego R. Szkubacza St.</t>
  </si>
  <si>
    <t>CH M1 Zabrze;1 Plutonowego R. Szkubacza St.;41-800;Zabrze;ÅšlÄ…sk</t>
  </si>
  <si>
    <t>PL0030</t>
  </si>
  <si>
    <t>CH Trzy Stawy</t>
  </si>
  <si>
    <t>60 Pulaskiego St.</t>
  </si>
  <si>
    <t>CH Trzy Stawy;60 Pulaskiego St.;40-289;Katowice;ÅšlÄ…sk</t>
  </si>
  <si>
    <t>PL0031</t>
  </si>
  <si>
    <t>Galeria Pomorska</t>
  </si>
  <si>
    <t>Bydgoszcz</t>
  </si>
  <si>
    <t>141 Fordonska St</t>
  </si>
  <si>
    <t>Kujawy i Pomorze</t>
  </si>
  <si>
    <t>Galeria Pomorska;141 Fordonska St;85-739;Bydgoszcz;Kujawy i Pomorze</t>
  </si>
  <si>
    <t>PL0032</t>
  </si>
  <si>
    <t>Atrium Copernicus</t>
  </si>
  <si>
    <t>Torun</t>
  </si>
  <si>
    <t>15 Zolkiewskiego St.</t>
  </si>
  <si>
    <t>Atrium Copernicus;15 Zolkiewskiego St.;87-100;Torun;Kujawy i Pomorze</t>
  </si>
  <si>
    <t>PL0033</t>
  </si>
  <si>
    <t>CH Plaza Rybnik</t>
  </si>
  <si>
    <t>Rybnik</t>
  </si>
  <si>
    <t>16 Raciborska St.</t>
  </si>
  <si>
    <t>CH Plaza Rybnik;16 Raciborska St.;44-200;Rybnik;ÅšlÄ…sk</t>
  </si>
  <si>
    <t>PL0034</t>
  </si>
  <si>
    <t>Atrium Plejada</t>
  </si>
  <si>
    <t>Bytom</t>
  </si>
  <si>
    <t>25 Jana Nowaka JezioraÅ„skiego St.</t>
  </si>
  <si>
    <t>Atrium Plejada;25 Jana Nowaka JezioraÅ„skiego St.;41-923;Bytom;ÅšlÄ…sk</t>
  </si>
  <si>
    <t>PL0035</t>
  </si>
  <si>
    <t>CH PasaÅ¼ Grunwaldzki</t>
  </si>
  <si>
    <t>22 Grunwaldzki Plaza</t>
  </si>
  <si>
    <t>CH PasaÅ¼ Grunwaldzki;22 Grunwaldzki Plaza;50-377;WrocÅ‚aw;Dolny ÅšlÄ…sk</t>
  </si>
  <si>
    <t>PL0036</t>
  </si>
  <si>
    <t>CH Plaza Lublin</t>
  </si>
  <si>
    <t>Lublin</t>
  </si>
  <si>
    <t>13 Lipowa St.</t>
  </si>
  <si>
    <t>Lubelszczyzna</t>
  </si>
  <si>
    <t>CH Plaza Lublin;13 Lipowa St.;20-030;Lublin;Lubelszczyzna</t>
  </si>
  <si>
    <t>PL0037</t>
  </si>
  <si>
    <t>Atrium BiaÅ‚a</t>
  </si>
  <si>
    <t>Bialystok</t>
  </si>
  <si>
    <t>2 Czeslawa Milosza St.</t>
  </si>
  <si>
    <t>Podlasie</t>
  </si>
  <si>
    <t>Atrium BiaÅ‚a;2 Czeslawa Milosza St.;15-265;BiaÅ‚ystok;Podlasie</t>
  </si>
  <si>
    <t>PL0038</t>
  </si>
  <si>
    <t>CH Forum Gliwice</t>
  </si>
  <si>
    <t>Gliwice</t>
  </si>
  <si>
    <t>1 Lipowa St.</t>
  </si>
  <si>
    <t>CH Forum Gliwice;1 Lipowa St.;44-100;Gliwice;ÅšlÄ…sk</t>
  </si>
  <si>
    <t>PL0039</t>
  </si>
  <si>
    <t>Auchan Piaseczno</t>
  </si>
  <si>
    <t>Piaseczno</t>
  </si>
  <si>
    <t>46 Pulawska St.</t>
  </si>
  <si>
    <t>Auchan Piaseczno;46 Pulawska St.;05-500;Piaseczno;Mazowsze</t>
  </si>
  <si>
    <t>PL0040</t>
  </si>
  <si>
    <t>Arkady WrocÅ‚awskie</t>
  </si>
  <si>
    <t>2-4 PowstaÅ„cÃ³w Åšl. St.</t>
  </si>
  <si>
    <t>Arkady WrocÅ‚awskie;2-4 PowstaÅ„cÃ³w Åšl. St.;53-332;WrocÅ‚aw;Dolny ÅšlÄ…sk</t>
  </si>
  <si>
    <t>PL0041</t>
  </si>
  <si>
    <t>Galeria Baltycka</t>
  </si>
  <si>
    <t>Grunwaldzka St 141</t>
  </si>
  <si>
    <t>Galeria Baltycka;Grunwaldzka St 141;80-264;Gdansk;Pomorze</t>
  </si>
  <si>
    <t>PL0042</t>
  </si>
  <si>
    <t>Galeria Graffica</t>
  </si>
  <si>
    <t>RzeszÃ³w</t>
  </si>
  <si>
    <t>19 Lisa Kuli St.</t>
  </si>
  <si>
    <t>Podkarpacie</t>
  </si>
  <si>
    <t>Galeria Graffica;19 Lisa Kuli St.;35-025;RzeszÃ³w;Podkarpacie</t>
  </si>
  <si>
    <t>PL0043</t>
  </si>
  <si>
    <t>Galeria ÅÃ³dzka</t>
  </si>
  <si>
    <t>15/23 Pilsudskiego Ave.</t>
  </si>
  <si>
    <t>Galeria ÅÃ³dzka;15/23 Pilsudskiego Ave.;90-307;Lodz;ÅÃ³dzkie</t>
  </si>
  <si>
    <t>PL0044</t>
  </si>
  <si>
    <t>Focus Park</t>
  </si>
  <si>
    <t>39 Jagiellonska St</t>
  </si>
  <si>
    <t>Focus Park;39 Jagiellonska St;85-097;Bydgoszcz;Kujawy i Pomorze</t>
  </si>
  <si>
    <t>PL0045</t>
  </si>
  <si>
    <t>Port Rumia</t>
  </si>
  <si>
    <t>Rumia</t>
  </si>
  <si>
    <t>Grunwaldzka St 108</t>
  </si>
  <si>
    <t>Port Rumia;Grunwaldzka St 108;84-230;Rumia;Pomorze</t>
  </si>
  <si>
    <t>PL0046</t>
  </si>
  <si>
    <t>Alfa Bialystok</t>
  </si>
  <si>
    <t>15 Swietojanska St.</t>
  </si>
  <si>
    <t>Alfa Bialystok;15 Swietojanska St.;15-277;BiaÅ‚ystok;Podlasie</t>
  </si>
  <si>
    <t>PL0047</t>
  </si>
  <si>
    <t>CH Karolinka</t>
  </si>
  <si>
    <t>Opole</t>
  </si>
  <si>
    <t>154 Wroclawska St.</t>
  </si>
  <si>
    <t>Opolszczyzna</t>
  </si>
  <si>
    <t>CH Karolinka;154 Wroclawska St.;45-836;Opole;Opolszczyzna</t>
  </si>
  <si>
    <t>PL0048</t>
  </si>
  <si>
    <t>Jantar</t>
  </si>
  <si>
    <t>Slupsk</t>
  </si>
  <si>
    <t>Szczecinska St 58</t>
  </si>
  <si>
    <t>Jantar;Szczecinska St 58;76-200;SÅ‚upsk;Pomorze</t>
  </si>
  <si>
    <t>PL0049</t>
  </si>
  <si>
    <t>Galeria Malta</t>
  </si>
  <si>
    <t>1 MaltaÅ„ska St.</t>
  </si>
  <si>
    <t>Galeria Malta;1 MaltaÅ„ska St.;61-131;PoznaÅ„;Wielkopolska</t>
  </si>
  <si>
    <t>PL0050</t>
  </si>
  <si>
    <t>Krupowki</t>
  </si>
  <si>
    <t>Zakopane</t>
  </si>
  <si>
    <t>49 Krupowki St.</t>
  </si>
  <si>
    <t>Krupowki;49 Krupowki St.;34-500;Zakopane;MaÅ‚opolska</t>
  </si>
  <si>
    <t>PL0051</t>
  </si>
  <si>
    <t>Galeria PiastÃ³w</t>
  </si>
  <si>
    <t>Legnica</t>
  </si>
  <si>
    <t>18A NajÅ›wiÄ™tszej Marii Panny St.</t>
  </si>
  <si>
    <t>Galeria PiastÃ³w;18A NajÅ›wiÄ™tszej Marii Panny St.;59-220;Legnica;Dolny ÅšlÄ…sk</t>
  </si>
  <si>
    <t>PL0052</t>
  </si>
  <si>
    <t>Galeria Sandecja</t>
  </si>
  <si>
    <t>Nowy Sacz</t>
  </si>
  <si>
    <t>170 Wegierska St.</t>
  </si>
  <si>
    <t>Galeria Sandecja;170 Wegierska St.;33-300;Nowy Sacz;MaÅ‚opolska</t>
  </si>
  <si>
    <t>PL0053</t>
  </si>
  <si>
    <t>Galeria Tarnovia</t>
  </si>
  <si>
    <t>TarnÃ³w</t>
  </si>
  <si>
    <t>149 Krakowska St.</t>
  </si>
  <si>
    <t>Galeria Tarnovia;149 Krakowska St.;33-100;Tarnow;MaÅ‚opolska</t>
  </si>
  <si>
    <t>PL0054</t>
  </si>
  <si>
    <t>CH Ferio</t>
  </si>
  <si>
    <t>Konin</t>
  </si>
  <si>
    <t>31 Ogrodowa St.</t>
  </si>
  <si>
    <t>CH Ferio;31 Ogrodowa St.;62-571;Stare Miasto k/Konina;Wielkopolska</t>
  </si>
  <si>
    <t>PL0055</t>
  </si>
  <si>
    <t>Atrium Koszalin</t>
  </si>
  <si>
    <t>Koszalin</t>
  </si>
  <si>
    <t>Ignacego Paderewskiego St 1</t>
  </si>
  <si>
    <t>Atrium Koszalin;Ignacego Paderewskiego St 1;75-710;Koszalin;Pomorze Zachodnie</t>
  </si>
  <si>
    <t>PL0056</t>
  </si>
  <si>
    <t>Zgorzelec</t>
  </si>
  <si>
    <t>52A Armii Krajowej St.</t>
  </si>
  <si>
    <t>CH Plaza;52A Armii Krajowej St.;59-900;Zgorzelec;Dolny ÅšlÄ…sk</t>
  </si>
  <si>
    <t>PL0057</t>
  </si>
  <si>
    <t>Suwalki Plaza</t>
  </si>
  <si>
    <t>SuwaÅ‚ki</t>
  </si>
  <si>
    <t>15 Generala Jozefa Dwernickiego St</t>
  </si>
  <si>
    <t>Suwalki Plaza;15 Generala Jozefa Dwernickiego St;16-400;Suwalki;Podlasie</t>
  </si>
  <si>
    <t>PL0058</t>
  </si>
  <si>
    <t>Torun Plaza</t>
  </si>
  <si>
    <t>90 Broniewskiego St.</t>
  </si>
  <si>
    <t>Torun Plaza;90 Broniewskiego St.;87-100;Torun;Kujawy i Pomorze</t>
  </si>
  <si>
    <t>PL0060</t>
  </si>
  <si>
    <t>CH Focus Park Zielona GÃ³ra</t>
  </si>
  <si>
    <t>Zielona GÃ³ra</t>
  </si>
  <si>
    <t>17 WrocÅ‚awska St.</t>
  </si>
  <si>
    <t>Lubuskie</t>
  </si>
  <si>
    <t>CH Focus Park Zielona GÃ³ra;17 WrocÅ‚awska St.;65-057;Zielona GÃ³ra;Lubuskie</t>
  </si>
  <si>
    <t>PL0061</t>
  </si>
  <si>
    <t>PiotrkÃ³w Trybunalski</t>
  </si>
  <si>
    <t>115/121 SÅ‚owackiego St.</t>
  </si>
  <si>
    <t>Focus Park;115/121 SÅ‚owackiego St.;97-300;PiotrkÃ³w Trybunalski;ÅÃ³dzkie</t>
  </si>
  <si>
    <t>PL0062</t>
  </si>
  <si>
    <t>CH Agora</t>
  </si>
  <si>
    <t>1 KoÅ›ciuszki Square</t>
  </si>
  <si>
    <t>CH Agora;1 KoÅ›ciuszki Square;41-900;Bytom;ÅšlÄ…sk</t>
  </si>
  <si>
    <t>PL0063</t>
  </si>
  <si>
    <t>CH Auchan Poczesna</t>
  </si>
  <si>
    <t>Czestochowa</t>
  </si>
  <si>
    <t>CH AUCHAN Poczesna k/Czestochowy</t>
  </si>
  <si>
    <t>10 Krakowska St.</t>
  </si>
  <si>
    <t>CH AUCHAN Poczesna k/Czestochowy;10 Krakowska St.;42-262;Poczesna k/Czestochowy;ÅšlÄ…sk</t>
  </si>
  <si>
    <t>PL0064</t>
  </si>
  <si>
    <t>Cuprum Arena</t>
  </si>
  <si>
    <t>Lubin</t>
  </si>
  <si>
    <t>20 Sikorskiego St.</t>
  </si>
  <si>
    <t>Cuprum Arena;20 Sikorskiego St.;59-300;Lubin;Dolny ÅšlÄ…sk</t>
  </si>
  <si>
    <t>PL0065</t>
  </si>
  <si>
    <t>CH Pogoria</t>
  </si>
  <si>
    <t>DÄ…browa GÃ³rnicza</t>
  </si>
  <si>
    <t>6 Jana III Sobieskiego St.</t>
  </si>
  <si>
    <t>CH Pogoria;6 Jana III Sobieskiego St.;41-300;Dabrowa Gornicza;ÅšlÄ…sk</t>
  </si>
  <si>
    <t>PL0066</t>
  </si>
  <si>
    <t>Wzorcownia</t>
  </si>
  <si>
    <t>WÅ‚ocÅ‚awek</t>
  </si>
  <si>
    <t>3 Kilinskiego St.</t>
  </si>
  <si>
    <t>Wzorcownia;3 Kilinskiego St.;87-800;Wloclawek;Kujawy i Pomorze</t>
  </si>
  <si>
    <t>PL0067</t>
  </si>
  <si>
    <t>Galeria Zielona</t>
  </si>
  <si>
    <t>PuÅ‚awy</t>
  </si>
  <si>
    <t>2 Lubelska St.</t>
  </si>
  <si>
    <t>Galeria Zielona;2 Lubelska St.;24-100;PuÅ‚awy;Lubelszczyzna</t>
  </si>
  <si>
    <t>PL0068</t>
  </si>
  <si>
    <t>CH Gemini</t>
  </si>
  <si>
    <t>Bielsko-BiaÅ‚a</t>
  </si>
  <si>
    <t>20 Leszczynska St.</t>
  </si>
  <si>
    <t>CH Gemini;20 Leszczynska St.;43-300;Bielsko-Biala;ÅšlÄ…sk</t>
  </si>
  <si>
    <t>PL0069</t>
  </si>
  <si>
    <t>Galeria Victoria</t>
  </si>
  <si>
    <t>WaÅ‚brzych</t>
  </si>
  <si>
    <t>64 1 Maja St.</t>
  </si>
  <si>
    <t>Galeria Victoria;64 1 Maja St.;58-300;WaÅ‚brzych;Dolny ÅšlÄ…sk</t>
  </si>
  <si>
    <t>PL0070</t>
  </si>
  <si>
    <t>Port Lodz</t>
  </si>
  <si>
    <t>245 Pabianicka St.</t>
  </si>
  <si>
    <t>Port Lodz;245 Pabianicka St.;93-457;Lodz;ÅÃ³dzkie</t>
  </si>
  <si>
    <t>PL0071</t>
  </si>
  <si>
    <t>Galeria Ostrovia</t>
  </si>
  <si>
    <t>OstrÃ³w Wielkopolski</t>
  </si>
  <si>
    <t>120 Kaliska St.</t>
  </si>
  <si>
    <t>Galeria Ostrovia;120 Kaliska St.;63-400;OstrÃ³w Wielkopolski;Wielkopolska</t>
  </si>
  <si>
    <t>PL0072</t>
  </si>
  <si>
    <t>CH Nova Park</t>
  </si>
  <si>
    <t>GorzÃ³w Wielkopolski</t>
  </si>
  <si>
    <t>2 PrzemysÅ‚owa St.</t>
  </si>
  <si>
    <t>CH Nova Park;2 PrzemysÅ‚owa St.;66-400;GorzÃ³w Wielkoposlski;Lubuskie</t>
  </si>
  <si>
    <t>PL0073</t>
  </si>
  <si>
    <t>Galeria Echo</t>
  </si>
  <si>
    <t>Kielce</t>
  </si>
  <si>
    <t>20 Swietokrzyska St.</t>
  </si>
  <si>
    <t>ÅšwiÄ™tokrzyskie</t>
  </si>
  <si>
    <t>Galeria Echo;20 Swietokrzyska St.;25-406;Kielce;ÅšwiÄ™tokrzyskie</t>
  </si>
  <si>
    <t>PL0074</t>
  </si>
  <si>
    <t>Galeria Sanowa</t>
  </si>
  <si>
    <t>PrzemyÅ›l</t>
  </si>
  <si>
    <t>1 Brudzewskiego St.</t>
  </si>
  <si>
    <t>Galeria Sanowa;1 Brudzewskiego St.;37-700;Przemysl;Podkarpacie</t>
  </si>
  <si>
    <t>PL0075</t>
  </si>
  <si>
    <t>Galeria SÅ‚oneczna</t>
  </si>
  <si>
    <t>Radom</t>
  </si>
  <si>
    <t>1 BolesÅ‚awa Chrobrego St.</t>
  </si>
  <si>
    <t>Galeria SÅ‚oneczna;1 BolesÅ‚awa Chrobrego St.;26-609;Radom;Mazowsze</t>
  </si>
  <si>
    <t>PL0076</t>
  </si>
  <si>
    <t>Galeria Sfera</t>
  </si>
  <si>
    <t>2 Mostowa St.</t>
  </si>
  <si>
    <t>Galeria Sfera;2 Mostowa St.;43-300;Bielsko-Biala;ÅšlÄ…sk</t>
  </si>
  <si>
    <t>PL0077</t>
  </si>
  <si>
    <t>Bonarka City Center</t>
  </si>
  <si>
    <t>11 Kamienskiego St.</t>
  </si>
  <si>
    <t>Bonarka City Center;11 Kamienskiego St.;30-644;Krakow</t>
  </si>
  <si>
    <t>PL0078</t>
  </si>
  <si>
    <t>Galeria Jurajska</t>
  </si>
  <si>
    <t>207 Wojska Polskiego Ave.</t>
  </si>
  <si>
    <t>Galeria Jurajska;207 Wojska Polskiego Ave.;42-200;Czestochowa;ÅšlÄ…sk</t>
  </si>
  <si>
    <t>PL0079</t>
  </si>
  <si>
    <t>Nowy Swiat</t>
  </si>
  <si>
    <t>20 Krakowska St.</t>
  </si>
  <si>
    <t>Nowy Swiat;20 Krakowska St.;35-213;Rzeszow</t>
  </si>
  <si>
    <t>PL0081</t>
  </si>
  <si>
    <t>Galeria Mazowia</t>
  </si>
  <si>
    <t>Plock</t>
  </si>
  <si>
    <t>127 Wyszogrodzka St.</t>
  </si>
  <si>
    <t>Galeria Mazowia;127 Wyszogrodzka St.;09-410;PÅ‚ock;Mazowsze</t>
  </si>
  <si>
    <t>PL0082</t>
  </si>
  <si>
    <t>CH Atrium Molo</t>
  </si>
  <si>
    <t>73 Mieszka I St.</t>
  </si>
  <si>
    <t>CH Atrium Molo;73 Mieszka I St.;71-011;Szczecin;Pomorze Zachodnie</t>
  </si>
  <si>
    <t>PL0083</t>
  </si>
  <si>
    <t>Galeria Gniezno</t>
  </si>
  <si>
    <t>Gniezno</t>
  </si>
  <si>
    <t>2 PaÅ‚ucka St.</t>
  </si>
  <si>
    <t>Galeria Gniezno;2 PaÅ‚ucka St.;62-200;Gniezno;Wielkopolska</t>
  </si>
  <si>
    <t>PL0084</t>
  </si>
  <si>
    <t>Galeria Twierdza</t>
  </si>
  <si>
    <t>ZamoÅ›Ä‡</t>
  </si>
  <si>
    <t>10 Przemyslowa St.</t>
  </si>
  <si>
    <t>Galeria Twierdza;10 Przemyslowa St.;22-400;ZamoÅ›Ä‡;Lubelszczyzna</t>
  </si>
  <si>
    <t>PL0085</t>
  </si>
  <si>
    <t>Pasaz LÃ³dzki</t>
  </si>
  <si>
    <t>30 Jana PawÅ‚a II Ave.</t>
  </si>
  <si>
    <t>Pasaz LÃ³dzki;30 Jana PawÅ‚a II Ave.;93-570;ÅÃ³dÅº;ÅÃ³dzkie</t>
  </si>
  <si>
    <t>PL0086</t>
  </si>
  <si>
    <t>Galeria Handlowa Niwa</t>
  </si>
  <si>
    <t>OÅ›wiÄ™cim</t>
  </si>
  <si>
    <t>1 PowstaÅ„cÃ³w Slaskich St.</t>
  </si>
  <si>
    <t>Galeria Handlowa Niwa;1 PowstaÅ„cÃ³w Slaskich St.;32-600;Oswiecim;MaÅ‚opolska</t>
  </si>
  <si>
    <t>PL0087</t>
  </si>
  <si>
    <t>Galeria Leszno</t>
  </si>
  <si>
    <t>Leszno</t>
  </si>
  <si>
    <t>12 Konstytucji 3 Maja Ave.</t>
  </si>
  <si>
    <t>Galeria Leszno;12 Konstytucji 3 Maja Ave.;64-100;Leszno;Wielkopolska</t>
  </si>
  <si>
    <t>PL0088</t>
  </si>
  <si>
    <t>Silesia City Center</t>
  </si>
  <si>
    <t>107 Chorzowska St.</t>
  </si>
  <si>
    <t>Silesia City Center;107 Chorzowska St.;40-001;Katowice;ÅšlÄ…sk</t>
  </si>
  <si>
    <t>PL0089</t>
  </si>
  <si>
    <t>CH Magnolia</t>
  </si>
  <si>
    <t>58 Legnicka St.</t>
  </si>
  <si>
    <t>CH Magnolia;58 Legnicka St.;58-204;WrocÅ‚aw;Dolny ÅšlÄ…sk</t>
  </si>
  <si>
    <t>PL0090</t>
  </si>
  <si>
    <t>Galeria Nowy Rynek</t>
  </si>
  <si>
    <t>Jelenia Gora</t>
  </si>
  <si>
    <t>25 Podwale St.</t>
  </si>
  <si>
    <t>Galeria Nowy Rynek;25 Podwale St.;58-500;Jelenia GÃ³ra;Dolny ÅšlÄ…sk</t>
  </si>
  <si>
    <t>PL0091</t>
  </si>
  <si>
    <t>Europa Centralna</t>
  </si>
  <si>
    <t>315 PszczyÅ„ska St.</t>
  </si>
  <si>
    <t>Europa Centralna;315 PszczyÅ„ska St.;44-100;Gliwice;ÅšlÄ…sk</t>
  </si>
  <si>
    <t>PL0093</t>
  </si>
  <si>
    <t>Galeria Szperk</t>
  </si>
  <si>
    <t>Pulkownika Stanislawa Dabka St 293</t>
  </si>
  <si>
    <t>Galeria Szperk;Pulkownika Stanislawa Dabka St 293;81-198;Kosakowo;Pomorze</t>
  </si>
  <si>
    <t>PL0094</t>
  </si>
  <si>
    <t>GrudziÄ…dz</t>
  </si>
  <si>
    <t>4 Chelminska St</t>
  </si>
  <si>
    <t>Alfa;4 Chelminska St;86-300;Grudziadz;Kujawy i Pomorze</t>
  </si>
  <si>
    <t>PL0095</t>
  </si>
  <si>
    <t>Galeria TÄ™cza</t>
  </si>
  <si>
    <t>Kalisz</t>
  </si>
  <si>
    <t>1 3 Maja  St.</t>
  </si>
  <si>
    <t>Galeria TÄ™cza;1 3 Maja  St.;62-800;Kalisz;Wielkopolska</t>
  </si>
  <si>
    <t>PL0096</t>
  </si>
  <si>
    <t>Galeria Handlowa StarÃ³wka</t>
  </si>
  <si>
    <t>Stargard SzczeciÅ„ski</t>
  </si>
  <si>
    <t>8 Chrobrego St.</t>
  </si>
  <si>
    <t>Galeria Handlowa StarÃ³wka;8 Chrobrego St.;73-110;Stargard SzczeciÅ„ski;Pomorze Zachodnie</t>
  </si>
  <si>
    <t>PL0097</t>
  </si>
  <si>
    <t>Millenium Hall</t>
  </si>
  <si>
    <t>1 Kopisto St.</t>
  </si>
  <si>
    <t>Millenium Hall;1 Kopisto St.;35-315;Rzeszow;Podkarpacie</t>
  </si>
  <si>
    <t>PL0098</t>
  </si>
  <si>
    <t>Galeria Rzeszow</t>
  </si>
  <si>
    <t>44 Pilsudskiego Ave.</t>
  </si>
  <si>
    <t>Galeria Rzeszow;44 Pilsudskiego Ave.;35-001;Rzeszow;Podkarpacie</t>
  </si>
  <si>
    <t>PL0101</t>
  </si>
  <si>
    <t>Dekada Sieradz</t>
  </si>
  <si>
    <t>Sieradz</t>
  </si>
  <si>
    <t>11 Wojska Polskiego St.</t>
  </si>
  <si>
    <t>Dekada Sieradz;11 Wojska Polskiego St.;98-200;Sieradz;ÅÃ³dzkie</t>
  </si>
  <si>
    <t>PL0102</t>
  </si>
  <si>
    <t>CH Dekada</t>
  </si>
  <si>
    <t>Å»yrardÃ³w</t>
  </si>
  <si>
    <t>40 1 Maja St.</t>
  </si>
  <si>
    <t>CH Dekada;40 1 Maja St.;96-300;Å»yrardÃ³w;Mazowsze</t>
  </si>
  <si>
    <t>PL0103</t>
  </si>
  <si>
    <t>Galeria Kociewska</t>
  </si>
  <si>
    <t>Tczew</t>
  </si>
  <si>
    <t>Pomorska St 1</t>
  </si>
  <si>
    <t>Galeria Kociewska;Pomorska St 1;83-110;Tczew;Pomorze</t>
  </si>
  <si>
    <t>PL0104</t>
  </si>
  <si>
    <t>CH Sarni Stok</t>
  </si>
  <si>
    <t>2 Sarni Stok St.</t>
  </si>
  <si>
    <t>CH Sarni Stok;2 Sarni Stok St.;43-300;Bielsko-Biala;ÅšlÄ…sk</t>
  </si>
  <si>
    <t>PL0105</t>
  </si>
  <si>
    <t>Galeria Olimpia</t>
  </si>
  <si>
    <t>BeÅ‚chatÃ³w</t>
  </si>
  <si>
    <t>6 Kolejowa St.</t>
  </si>
  <si>
    <t>Galeria Olimpia;6 Kolejowa St.;97-400;BeÅ‚chatÃ³w;ÅÃ³dzkie</t>
  </si>
  <si>
    <t>PL0106</t>
  </si>
  <si>
    <t>Galeria Lomianki</t>
  </si>
  <si>
    <t>Åomianki</t>
  </si>
  <si>
    <t>25 Brukowa St.</t>
  </si>
  <si>
    <t>Galeria Lomianki;25 Brukowa St.;05-092;Lomianki;Mazowsze</t>
  </si>
  <si>
    <t>PL0107</t>
  </si>
  <si>
    <t>Galeria Trzy Korony</t>
  </si>
  <si>
    <t>80 Lwowska St.</t>
  </si>
  <si>
    <t>Galeria Trzy Korony;80 Lwowska St.;33-300;Nowy Sacz;MaÅ‚opolska</t>
  </si>
  <si>
    <t>PL0108</t>
  </si>
  <si>
    <t>Galeria Siedlce</t>
  </si>
  <si>
    <t>Siedlce</t>
  </si>
  <si>
    <t>74 Pilsudskiego St.</t>
  </si>
  <si>
    <t>Galeria Siedlce;74 Pilsudskiego St.;08-110;Siedlce;Mazowsze</t>
  </si>
  <si>
    <t>PL0109</t>
  </si>
  <si>
    <t>M1 Radom</t>
  </si>
  <si>
    <t>28 Grzecznarowskiego Ave.</t>
  </si>
  <si>
    <t>M1 Radom;28 Grzecznarowskiego Ave.;26-604;Radom;Mazowsze</t>
  </si>
  <si>
    <t>PL0110</t>
  </si>
  <si>
    <t>Plac Unii</t>
  </si>
  <si>
    <t>2 Pulawska St.</t>
  </si>
  <si>
    <t>Plac Unii;2 Pulawska St.;02-566;Warszawa;Mazowsze</t>
  </si>
  <si>
    <t>PL0111</t>
  </si>
  <si>
    <t>PoznaÅ„ City Center</t>
  </si>
  <si>
    <t>2 StanisÅ‚awa Matyi St.</t>
  </si>
  <si>
    <t>PoznaÅ„ City Center;2 StanisÅ‚awa Matyi St.;61-586;PoznaÅ„;Wielkopolska</t>
  </si>
  <si>
    <t>PL0112</t>
  </si>
  <si>
    <t>OdrzaÅ„skie Ogrody</t>
  </si>
  <si>
    <t>KÄ™dzierzyn KoÅºle</t>
  </si>
  <si>
    <t>38 Armii Krajowej St.</t>
  </si>
  <si>
    <t>OdrzaÅ„skie Ogrody;38 Armii Krajowej St.;47-220;KÄ™dzierzyn-KoÅºle;Opolszczyzna</t>
  </si>
  <si>
    <t>PL0113</t>
  </si>
  <si>
    <t>CH Felicity</t>
  </si>
  <si>
    <t>32 Wincentego Witosa Ave.</t>
  </si>
  <si>
    <t>CH Felicity;32 Wincentego Witosa Ave.;20-030;Lublin;Lubelszczyzna</t>
  </si>
  <si>
    <t>PL0114</t>
  </si>
  <si>
    <t>M1</t>
  </si>
  <si>
    <t>27/29 Brzezinska St.</t>
  </si>
  <si>
    <t>M1;27/29 Brzezinska St.;92-103;ÅÃ³dÅº;ÅÃ³dzkie</t>
  </si>
  <si>
    <t>PL0115</t>
  </si>
  <si>
    <t>Galeria Debicka</t>
  </si>
  <si>
    <t>DÄ™bica</t>
  </si>
  <si>
    <t>2 Ks. Nosala St.</t>
  </si>
  <si>
    <t>Galeria Debicka;2 Ks. Nosala St.;39-200;Debica;Podkarpacie</t>
  </si>
  <si>
    <t>PL0116</t>
  </si>
  <si>
    <t>CH HERMES</t>
  </si>
  <si>
    <t>SkarÅ¼ysko-Kamienna</t>
  </si>
  <si>
    <t>18 Krasinskiego St.</t>
  </si>
  <si>
    <t>CH HERMES;18 Krasinskiego St.;26-110;Skarzysko-Kamienna;ÅšwiÄ™tokrzyskie</t>
  </si>
  <si>
    <t>PL0118</t>
  </si>
  <si>
    <t>Galeria Solna</t>
  </si>
  <si>
    <t>InowrocÅ‚aw</t>
  </si>
  <si>
    <t>16 Wojska Polskiego St.</t>
  </si>
  <si>
    <t>Galeria Solna;16 Wojska Polskiego St.;88-100;InowrocÅ‚aw;Kujawy i Pomorze</t>
  </si>
  <si>
    <t>PL0119</t>
  </si>
  <si>
    <t>Galeria Podkowa</t>
  </si>
  <si>
    <t>Podkowa LeÅ›na</t>
  </si>
  <si>
    <t>26 GoÅ‚Ä™bia St.</t>
  </si>
  <si>
    <t>Galeria Podkowa;26 GoÅ‚Ä™bia St.;05-807;Podkowa LeÅ›na;Mazowsze</t>
  </si>
  <si>
    <t>PL0120</t>
  </si>
  <si>
    <t>Galeria Mokotow</t>
  </si>
  <si>
    <t>12 Woloska St.</t>
  </si>
  <si>
    <t>Galeria Mokotow;12 Woloska St.;02-675;Warszawa;Mazowsze</t>
  </si>
  <si>
    <t>PL0121</t>
  </si>
  <si>
    <t>CH Marino</t>
  </si>
  <si>
    <t>7 Paprotna St.</t>
  </si>
  <si>
    <t>CH Marino;7 Paprotna St.;51-117;WrocÅ‚aw;Dolny ÅšlÄ…sk</t>
  </si>
  <si>
    <t>PL0122</t>
  </si>
  <si>
    <t>MMG Center Ciechanow</t>
  </si>
  <si>
    <t>CiechanÃ³w</t>
  </si>
  <si>
    <t>65 Wladyslawowo</t>
  </si>
  <si>
    <t>MMG Center Ciechanow;65 Wladyslawowo;06-406;Opinogora Gorna;Mazowsze</t>
  </si>
  <si>
    <t>PL0123</t>
  </si>
  <si>
    <t>Sadyba Best Mall</t>
  </si>
  <si>
    <t>31Powsinska St.</t>
  </si>
  <si>
    <t>Sadyba Best Mall;31Powsinska St.;02-903;Warszawa;Mazowsze</t>
  </si>
  <si>
    <t>PL0124</t>
  </si>
  <si>
    <t>Galeria Bursztynowa</t>
  </si>
  <si>
    <t>OstroÅ‚Ä™ka</t>
  </si>
  <si>
    <t>28 ul. Gen. Augusta Emila Fieldorfa "Nila" St.</t>
  </si>
  <si>
    <t>Galeria Bursztynowa;28 ul. Gen. Augusta Emila Fieldorfa "Nila" St.;07-410;Ostroleka;Mazowsze</t>
  </si>
  <si>
    <t>PL0125</t>
  </si>
  <si>
    <t>Centrum Riviera</t>
  </si>
  <si>
    <t>Kazimierza Gorskiego St 2</t>
  </si>
  <si>
    <t>Centrum Riviera;Kazimierza Gorskiego St 2;81-304;Gdynia;Pomorze</t>
  </si>
  <si>
    <t>PL0126</t>
  </si>
  <si>
    <t>Galeria Amber</t>
  </si>
  <si>
    <t>82 GÃ³rnoÅ›lÄ…ska St.</t>
  </si>
  <si>
    <t>Galeria Amber;82 GÃ³rnoÅ›lÄ…ska St.;62-800;Kalisz;Wielkopolska</t>
  </si>
  <si>
    <t>PL0127</t>
  </si>
  <si>
    <t>Era Park</t>
  </si>
  <si>
    <t>Radomsko</t>
  </si>
  <si>
    <t>11 Sierakowskiego St.</t>
  </si>
  <si>
    <t>Era Park;11 Sierakowskiego St.;95-700;Radomsko;ÅÃ³dzkie</t>
  </si>
  <si>
    <t>PL0128</t>
  </si>
  <si>
    <t>Ogrody</t>
  </si>
  <si>
    <t>ElblÄ…g</t>
  </si>
  <si>
    <t>Pulkownika Dabka St. 152</t>
  </si>
  <si>
    <t>Ogrody;Pulkownika Dabka St. 152;82-300;Elblag;Warmia i Mazury</t>
  </si>
  <si>
    <t>PL0129</t>
  </si>
  <si>
    <t>Brama Pomorza</t>
  </si>
  <si>
    <t>Chojnice</t>
  </si>
  <si>
    <t>2A Podmiejska St</t>
  </si>
  <si>
    <t>Brama Pomorza;2A Podmiejska St;89-620;Lipienice / k. Chojnic;Pomorze</t>
  </si>
  <si>
    <t>PL0130</t>
  </si>
  <si>
    <t>H&amp;M Sopot</t>
  </si>
  <si>
    <t>Sopot</t>
  </si>
  <si>
    <t>Bohaterow Monte Cassino St 55/57</t>
  </si>
  <si>
    <t>H&amp;M Sopot;Bohaterow Monte Cassino St 55/57;81-704;Sopot;Pomorze</t>
  </si>
  <si>
    <t>PL0131</t>
  </si>
  <si>
    <t>Galeria Bronowice</t>
  </si>
  <si>
    <t>61 Stawowa St.</t>
  </si>
  <si>
    <t>Galeria Bronowice;61 Stawowa St.;31-346;KrakÃ³w;MaÅ‚opolska</t>
  </si>
  <si>
    <t>PL0132</t>
  </si>
  <si>
    <t>Rywal</t>
  </si>
  <si>
    <t>BiaÅ‚a Podlaska</t>
  </si>
  <si>
    <t>27 Brzeska St.</t>
  </si>
  <si>
    <t>Rywal;27 Brzeska St.;21-500;BiaÅ‚a Podlaska;Lubelszczyzna</t>
  </si>
  <si>
    <t>PL0133</t>
  </si>
  <si>
    <t>Galeria Corso</t>
  </si>
  <si>
    <t>ÅšwinoujÅ›cie</t>
  </si>
  <si>
    <t>5 JarosÅ‚awa DÄ…browskiego St.</t>
  </si>
  <si>
    <t>Galeria Corso;5 JarosÅ‚awa DÄ…browskiego St.;72-600;ÅšwinoujÅ›cie;Pomorze Zachodnie</t>
  </si>
  <si>
    <t>PL0134</t>
  </si>
  <si>
    <t>Galeria Korona Kielce</t>
  </si>
  <si>
    <t>26 Warszawska St.</t>
  </si>
  <si>
    <t>Galeria Korona Kielce;26 Warszawska St.;25-312;Kielce;ÅšwiÄ™tokrzyskie</t>
  </si>
  <si>
    <t>PL0135</t>
  </si>
  <si>
    <t>Posnania</t>
  </si>
  <si>
    <t>1 Pleszewska St.</t>
  </si>
  <si>
    <t>Posnania;1 Pleszewska St.;61-136;PoznaÅ„;Wielkopolska</t>
  </si>
  <si>
    <t>PL0137</t>
  </si>
  <si>
    <t>Galeria Kasztanowa</t>
  </si>
  <si>
    <t>Pila</t>
  </si>
  <si>
    <t>99 PowstaÅ„cÃ³w Wielk. Ave.</t>
  </si>
  <si>
    <t>Galeria Kasztanowa;99 PowstaÅ„cÃ³w Wielk. Ave.;64-900;PiÅ‚a;Wielkopolska</t>
  </si>
  <si>
    <t>PL0138</t>
  </si>
  <si>
    <t>VIVO! PiÅ‚a</t>
  </si>
  <si>
    <t>26 14 lutego St.</t>
  </si>
  <si>
    <t>VIVO! PiÅ‚a;26 14 lutego St.;64-920;PiÅ‚a;Wielkopolska</t>
  </si>
  <si>
    <t>PL0139</t>
  </si>
  <si>
    <t>CH Plaza Ruda Slaska</t>
  </si>
  <si>
    <t>Ruda ÅšlÄ…ska</t>
  </si>
  <si>
    <t>310 1 Maja St.</t>
  </si>
  <si>
    <t>CH Plaza Ruda Slaska;310 1 Maja St.;41-710;Ruda Slaska;ÅšlÄ…sk</t>
  </si>
  <si>
    <t>PL0140</t>
  </si>
  <si>
    <t>Brama Mazur</t>
  </si>
  <si>
    <t>EÅ‚k</t>
  </si>
  <si>
    <t>1 Miejski sq.</t>
  </si>
  <si>
    <t>Brama Mazur;1 Miejski sq.;19-300;Elk;Warmia i Mazury</t>
  </si>
  <si>
    <t>PL0141</t>
  </si>
  <si>
    <t>CH Turzyn</t>
  </si>
  <si>
    <t>42 BohaterÃ³w Warszawy Ave.</t>
  </si>
  <si>
    <t>CH Turzyn;42 BohaterÃ³w Warszawy Ave.;70-342;Szczecin;Pomorze Zachodnie</t>
  </si>
  <si>
    <t>PL0143</t>
  </si>
  <si>
    <t>Dekada Malbork</t>
  </si>
  <si>
    <t>Malbork</t>
  </si>
  <si>
    <t>9 Rodla Ave.</t>
  </si>
  <si>
    <t>Dekada Malbork;9 Rodla Ave.;82-200;Malbork;Pomorze</t>
  </si>
  <si>
    <t>PL0144</t>
  </si>
  <si>
    <t>Forum Gdansk</t>
  </si>
  <si>
    <t>Targ Sienny St 7</t>
  </si>
  <si>
    <t>Forum Gdansk;Targ Sienny St 7;80-806;Gdansk;Pomorze</t>
  </si>
  <si>
    <t>PL0145</t>
  </si>
  <si>
    <t>CH Ikea Lublin</t>
  </si>
  <si>
    <t>86 SpÃ³Å‚dzielczoÅ›ci Pracy Ave.</t>
  </si>
  <si>
    <t>CH Ikea Lublin;86 SpÃ³Å‚dzielczoÅ›ci Pracy Ave.;20-147;Lublin;Lubelszczyzna</t>
  </si>
  <si>
    <t>PL0146</t>
  </si>
  <si>
    <t>Zielone Arkady</t>
  </si>
  <si>
    <t>1 Wojska Polskiego St</t>
  </si>
  <si>
    <t>Zielone Arkady;1 Wojska Polskiego St;85-171;Bydgoszcz;Kujawy i Pomorze</t>
  </si>
  <si>
    <t>PL0147</t>
  </si>
  <si>
    <t>CH Serenada</t>
  </si>
  <si>
    <t>41 Gen. T Bora-Komorowskiego Ave.</t>
  </si>
  <si>
    <t>CH Serenada;41 Gen. T Bora-Komorowskiego Ave.;31-876;Krakow;MaÅ‚opolska</t>
  </si>
  <si>
    <t>PL0148</t>
  </si>
  <si>
    <t>Auchan Hetmanska</t>
  </si>
  <si>
    <t>16 Hetmanska St.</t>
  </si>
  <si>
    <t>Auchan Hetmanska;16 Hetmanska St.;15-727;Bialystok;Podlasie</t>
  </si>
  <si>
    <t>PL0149</t>
  </si>
  <si>
    <t>Stanislawa Staszica 13</t>
  </si>
  <si>
    <t>Otwock</t>
  </si>
  <si>
    <t>Stanislawa Staszica 13;;05-400;Otwock;Mazowsze</t>
  </si>
  <si>
    <t>PL0151</t>
  </si>
  <si>
    <t>Galeria Warminska</t>
  </si>
  <si>
    <t>26 Tuwima St</t>
  </si>
  <si>
    <t>Galeria Warminska;26 Tuwima St;10-748;Olsztyn;Warmia i Mazury</t>
  </si>
  <si>
    <t>PL0152</t>
  </si>
  <si>
    <t>Vendo Park Nysa</t>
  </si>
  <si>
    <t>Nysa</t>
  </si>
  <si>
    <t>7 JÃ³zefa Pilsudskiego St.</t>
  </si>
  <si>
    <t>Vendo Park Nysa;7 JÃ³zefa Pilsudskiego St.;48-303;Nysa;Opolszczyzna</t>
  </si>
  <si>
    <t>PL0155</t>
  </si>
  <si>
    <t>Blue City</t>
  </si>
  <si>
    <t>179 Jerozolimskie Ave.</t>
  </si>
  <si>
    <t>Blue City;179 Jerozolimskie Ave.;02-222;Warszawa;Mazowsze</t>
  </si>
  <si>
    <t>PL0157</t>
  </si>
  <si>
    <t>Galeria Neptun</t>
  </si>
  <si>
    <t>Starogard GdaÅ„ski</t>
  </si>
  <si>
    <t>7 Pomorska St.</t>
  </si>
  <si>
    <t>Galeria Neptun;7 Pomorska St.;83-200;Starogard GdaÅ„ski;Pomorze</t>
  </si>
  <si>
    <t>PL0158</t>
  </si>
  <si>
    <t>Sonata Park</t>
  </si>
  <si>
    <t>Sochaczew</t>
  </si>
  <si>
    <t>119 Warszawska St.</t>
  </si>
  <si>
    <t>Sonata Park;119 Warszawska St.;96-515;Sochaczew;Mazowsze</t>
  </si>
  <si>
    <t>PL0159</t>
  </si>
  <si>
    <t>Stop Shop Legnica</t>
  </si>
  <si>
    <t>17 Schumana St.</t>
  </si>
  <si>
    <t>Stop Shop Legnica;17 Schumana St.;59-200;Legnica;Dolny ÅšlÄ…sk</t>
  </si>
  <si>
    <t>PL0160</t>
  </si>
  <si>
    <t>MMG Centers Kutno</t>
  </si>
  <si>
    <t>Kutno</t>
  </si>
  <si>
    <t>73 KoÅ›ciuszki St.</t>
  </si>
  <si>
    <t>MMG Centers Kutno;73 KoÅ›ciuszki St.;99-300;Kutno;ÅÃ³dzkie</t>
  </si>
  <si>
    <t>PL0161</t>
  </si>
  <si>
    <t>Fabryka Wolomin</t>
  </si>
  <si>
    <t>WoÅ‚omin</t>
  </si>
  <si>
    <t>2 Geodetow St.</t>
  </si>
  <si>
    <t>Fabryka Wolomin;2 Geodetow St.;05-200;WoÅ‚omin;Mazowsze</t>
  </si>
  <si>
    <t>PL0165</t>
  </si>
  <si>
    <t>Galeria Morena</t>
  </si>
  <si>
    <t>Schuberta St 102A</t>
  </si>
  <si>
    <t>Galeria Morena;Schuberta St 102A;80-172;Gdansk;Pomorze</t>
  </si>
  <si>
    <t>PL0167</t>
  </si>
  <si>
    <t>Galeria Navigator</t>
  </si>
  <si>
    <t>Mielec</t>
  </si>
  <si>
    <t>4 Powstancow Warszawy St.</t>
  </si>
  <si>
    <t>Galeria Navigator;4 Powstancow Warszawy St.;39-300;Mielec;Podkarpacie</t>
  </si>
  <si>
    <t>PL0168</t>
  </si>
  <si>
    <t>Galeria Galena</t>
  </si>
  <si>
    <t>Jaworzno</t>
  </si>
  <si>
    <t>59 Grunwladzka St.</t>
  </si>
  <si>
    <t>Galeria Galena;59 Grunwladzka St.;43-600;Jaworzno;ÅšlÄ…sk</t>
  </si>
  <si>
    <t>PL0169</t>
  </si>
  <si>
    <t>Galeria TomaszÃ³w</t>
  </si>
  <si>
    <t>Tomaszow Mazowiecki</t>
  </si>
  <si>
    <t>1 Barlickiego St.</t>
  </si>
  <si>
    <t>Galeria TomaszÃ³w;1 Barlickiego St.;97-200;Tomaszow Mazowiecki;Mazowsze</t>
  </si>
  <si>
    <t>PL0173</t>
  </si>
  <si>
    <t>Galeria Polnocna</t>
  </si>
  <si>
    <t>17 Swiatowida St.</t>
  </si>
  <si>
    <t>Galeria Polnocna;17 Swiatowida St.;03-144;Warszawa;Mazowsze</t>
  </si>
  <si>
    <t>PL0175</t>
  </si>
  <si>
    <t>CH Promenada</t>
  </si>
  <si>
    <t>75 C Ostrobramska St.</t>
  </si>
  <si>
    <t>CH Promenada;75 C Ostrobramska St.;04-575;Warszawa;Mazowsze</t>
  </si>
  <si>
    <t>PL0176</t>
  </si>
  <si>
    <t>CH Ferio Wawer</t>
  </si>
  <si>
    <t>4 SzpotaÅ„skiego St.</t>
  </si>
  <si>
    <t>CH Ferio Wawer;4 SzpotaÅ„skiego St.;04-760;Warszawa;Mazowsze</t>
  </si>
  <si>
    <t>PL0177</t>
  </si>
  <si>
    <t>Galeria HIT</t>
  </si>
  <si>
    <t>Nowy Dwor Mazowiecki</t>
  </si>
  <si>
    <t>36 Warszawaska St</t>
  </si>
  <si>
    <t>Galeria HIT;36 Warszawaska St;05-100;Nowy DwÃ³r Mazowiecki;Mazowsze</t>
  </si>
  <si>
    <t>PL0178</t>
  </si>
  <si>
    <t>Vivo! Stalowa Wola</t>
  </si>
  <si>
    <t>Stalowa Wola</t>
  </si>
  <si>
    <t>42 Fryderyka Chopina St.</t>
  </si>
  <si>
    <t>Vivo! Stalowa Wola;42 Fryderyka Chopina St.;37-450;Stalowa Wola;Podkarpacie</t>
  </si>
  <si>
    <t>PL0179</t>
  </si>
  <si>
    <t>IKEA Bielany</t>
  </si>
  <si>
    <t>9 Czekoladowa St.</t>
  </si>
  <si>
    <t>IKEA Bielany;9 Czekoladowa St.;55-040;WrocÅ‚aw;Dolny ÅšlÄ…sk</t>
  </si>
  <si>
    <t>PL0180</t>
  </si>
  <si>
    <t>Galeria A2</t>
  </si>
  <si>
    <t>440/442 GÅ‚ogowska St.</t>
  </si>
  <si>
    <t>Galeria A2;440/442 GÅ‚ogowska St.;60-004;PoznaÅ„;Wielkopolska</t>
  </si>
  <si>
    <t>PL0182</t>
  </si>
  <si>
    <t>Tarasy Zamkowe</t>
  </si>
  <si>
    <t>2 Unii Lubelskiej Ave.</t>
  </si>
  <si>
    <t>Tarasy Zamkowe;2 Unii Lubelskiej Ave.;20-108;Lublin;Lubelszczyzna</t>
  </si>
  <si>
    <t>PL0184</t>
  </si>
  <si>
    <t>Emka Koszalin</t>
  </si>
  <si>
    <t>Jana Pawla II St 20</t>
  </si>
  <si>
    <t>Emka Koszalin;Jana Pawla II St 20;75-452;Koszalin;Pomorze Zachodnie</t>
  </si>
  <si>
    <t>PL0189</t>
  </si>
  <si>
    <t>Galeria Zdroj Carrefour</t>
  </si>
  <si>
    <t>JastrzÄ™bie Zdroj</t>
  </si>
  <si>
    <t>26 Podhalanska St.</t>
  </si>
  <si>
    <t>Galeria Zdroj Carrefour;26 Podhalanska St.;44-335;Jastrzebie-Zdroj;ÅšlÄ…sk</t>
  </si>
  <si>
    <t>PL0190</t>
  </si>
  <si>
    <t>Liwa</t>
  </si>
  <si>
    <t>Kwidzyn</t>
  </si>
  <si>
    <t>19 Konopnicka St.</t>
  </si>
  <si>
    <t>Liwa;19 Konopnicka St.;82-500;Kwidzyn;Pomorze</t>
  </si>
  <si>
    <t>PL0191</t>
  </si>
  <si>
    <t>Galeria Stela</t>
  </si>
  <si>
    <t>Cieszyn</t>
  </si>
  <si>
    <t>Wojciecha Korfantego 25</t>
  </si>
  <si>
    <t>Galeria Stela;Wojciecha Korfantego 25;43-400;Cieszyn;ÅšlÄ…sk</t>
  </si>
  <si>
    <t>PL0192</t>
  </si>
  <si>
    <t>Centrum Handlowe Osowa</t>
  </si>
  <si>
    <t>Spacerowa St 48</t>
  </si>
  <si>
    <t>Centrum Handlowe Osowa;Spacerowa St 48;80-299;Gdansk;Pomorze</t>
  </si>
  <si>
    <t>PL0193</t>
  </si>
  <si>
    <t>Centrun Handlowe Nowa Stacja</t>
  </si>
  <si>
    <t>Pruszkow</t>
  </si>
  <si>
    <t>ul. Kolejowa 14</t>
  </si>
  <si>
    <t>Centrun Handlowe Nowa Stacja;ul. Kolejowa 14;05-800;Pruszkow;Mazowsze</t>
  </si>
  <si>
    <t>PL0195</t>
  </si>
  <si>
    <t>CH Twierdza KÅ‚odzko</t>
  </si>
  <si>
    <t>Klodzko</t>
  </si>
  <si>
    <t>2 Noworudzka St.</t>
  </si>
  <si>
    <t>CH Twierdza KÅ‚odzko;2 Noworudzka St.;57-300;KÅ‚odzko;Dolny ÅšlÄ…sk</t>
  </si>
  <si>
    <t>PL0196</t>
  </si>
  <si>
    <t>Quick Park Myslowice</t>
  </si>
  <si>
    <t>Myslowice</t>
  </si>
  <si>
    <t>64 Katowicka St.</t>
  </si>
  <si>
    <t>Quick Park Myslowice;64 Katowicka St.;41-400;Myslowice;ÅšlÄ…sk</t>
  </si>
  <si>
    <t>PL0197</t>
  </si>
  <si>
    <t>CH Mlociny</t>
  </si>
  <si>
    <t>UL. Zgrupowania AK â€œKAMPINOSâ€ 15</t>
  </si>
  <si>
    <t>CH Mlociny;UL. Zgrupowania AK â€œKAMPINOSâ€ 15;01-943;Warszawa;Mazowsze</t>
  </si>
  <si>
    <t>PL0198</t>
  </si>
  <si>
    <t>CH Wroclavia</t>
  </si>
  <si>
    <t>1 Sucha St.</t>
  </si>
  <si>
    <t>CH Wroclavia;1 Sucha St.;50-086;WrocÅ‚aw;Dolny ÅšlÄ…sk</t>
  </si>
  <si>
    <t>PL0200</t>
  </si>
  <si>
    <t>Gemini Park Tychy</t>
  </si>
  <si>
    <t>Tychy</t>
  </si>
  <si>
    <t>2C Towarowa St.</t>
  </si>
  <si>
    <t>Gemini Park Tychy;2C Towarowa St.;43-100;Tychy;ÅšlÄ…sk</t>
  </si>
  <si>
    <t>PL0201</t>
  </si>
  <si>
    <t>Tesco Zielona GÃ³ra</t>
  </si>
  <si>
    <t>2A EnergetykÃ³w St.</t>
  </si>
  <si>
    <t>Tesco Zielona GÃ³ra;2A EnergetykÃ³w St.;65-729;Zielona GÃ³ra;Lubuskie</t>
  </si>
  <si>
    <t>PL0202</t>
  </si>
  <si>
    <t>VIVO! Krosno</t>
  </si>
  <si>
    <t>Krosno</t>
  </si>
  <si>
    <t>29 Bieszczadzka St.</t>
  </si>
  <si>
    <t>VIVO! Krosno;29 Bieszczadzka St.;38-400;Krosno;Podkarpacie</t>
  </si>
  <si>
    <t>PL0203</t>
  </si>
  <si>
    <t>Galeria Askana</t>
  </si>
  <si>
    <t>102 Konstytucji 3 Maja Ave.</t>
  </si>
  <si>
    <t>Galeria Askana;102 Konstytucji 3 Maja Ave.;66-400;GorzÃ³w Wielkopolski;Lubuskie</t>
  </si>
  <si>
    <t>PL0204</t>
  </si>
  <si>
    <t>Tesco Kapelanka</t>
  </si>
  <si>
    <t>54 Kapelanka St.</t>
  </si>
  <si>
    <t>Tesco Kapelanka;54 Kapelanka St.;30-347;Krakow;MaÅ‚opolska</t>
  </si>
  <si>
    <t>PL0205</t>
  </si>
  <si>
    <t>Tesco Tarnowskie Gory</t>
  </si>
  <si>
    <t>Tarnowskie GÃ³ry</t>
  </si>
  <si>
    <t>220 Zagorska St.</t>
  </si>
  <si>
    <t>Tesco Tarnowskie Gory;220 Zagorska St.;42-600;Tarnowskie Gory;ÅšlÄ…sk</t>
  </si>
  <si>
    <t>PL0206</t>
  </si>
  <si>
    <t>Zorska 2</t>
  </si>
  <si>
    <t>Zorska 2;;44-200;Rybnik;ÅšlÄ…sk</t>
  </si>
  <si>
    <t>PL0207</t>
  </si>
  <si>
    <t>Tesco WaÅ‚brzych</t>
  </si>
  <si>
    <t>44 ÅÄ…czyÅ„skiego St.</t>
  </si>
  <si>
    <t>Tesco WaÅ‚brzych;44 ÅÄ…czyÅ„skiego St.;58-310;Szczawno-ZdrÃ³j;Dolny ÅšlÄ…sk</t>
  </si>
  <si>
    <t>PL0209</t>
  </si>
  <si>
    <t>Carrefour GÅ‚ogÃ³w</t>
  </si>
  <si>
    <t>Glogow</t>
  </si>
  <si>
    <t>12 Ks. JÃ³zefa Poniatowskiego St.</t>
  </si>
  <si>
    <t>Carrefour GÅ‚ogÃ³w;12 Ks. JÃ³zefa Poniatowskiego St.;67-205;GÅ‚ogÃ³w;Dolny ÅšlÄ…sk</t>
  </si>
  <si>
    <t>PL0210</t>
  </si>
  <si>
    <t>ul. Tadeusza Kosciuszki 229</t>
  </si>
  <si>
    <t>ul. Tadeusza Kosciuszki 229;;40-615;Katowice;ÅšlÄ…sk</t>
  </si>
  <si>
    <t>PL0212</t>
  </si>
  <si>
    <t>Atrium TargÃ³wek</t>
  </si>
  <si>
    <t>GÅ‚Ä™bocka 13 St.</t>
  </si>
  <si>
    <t>Atrium TargÃ³wek;GÅ‚Ä™bocka 13 St.;Warszawa;03-285;Mazowsze</t>
  </si>
  <si>
    <t>PL0221</t>
  </si>
  <si>
    <t>Lipowa 1C</t>
  </si>
  <si>
    <t>Olawa</t>
  </si>
  <si>
    <t>Lipowa 1C;;55-200;OÅ‚awa;Dolny ÅšlÄ…sk</t>
  </si>
  <si>
    <t>PR0001</t>
  </si>
  <si>
    <t>The Mall of San Juan</t>
  </si>
  <si>
    <t>San Juan</t>
  </si>
  <si>
    <t>USA</t>
  </si>
  <si>
    <t>US</t>
  </si>
  <si>
    <t>1000 Mall of San Juan Boulevard, store number 175</t>
  </si>
  <si>
    <t>The Mall of San Juan;1000 Mall of San Juan Boulevard, store number 175;00924;San Juan</t>
  </si>
  <si>
    <t>PR0002</t>
  </si>
  <si>
    <t>Plaza del Sol</t>
  </si>
  <si>
    <t>BayamÃ³n</t>
  </si>
  <si>
    <t>725 West Main Avenue</t>
  </si>
  <si>
    <t>Plaza del Sol;725 West Main Avenue;00961;Bayamon</t>
  </si>
  <si>
    <t>PT0301</t>
  </si>
  <si>
    <t>Rua do Carmo, 42, 5Âº andar</t>
  </si>
  <si>
    <t>Lisbon</t>
  </si>
  <si>
    <t>Portugal</t>
  </si>
  <si>
    <t>PT</t>
  </si>
  <si>
    <t>Lisboa</t>
  </si>
  <si>
    <t>Rua do Carmo, 42, 5Âº andar;;1249-270;Lisboa;Lisboa</t>
  </si>
  <si>
    <t>PT0302</t>
  </si>
  <si>
    <t>Forum Montijo</t>
  </si>
  <si>
    <t>Montijo</t>
  </si>
  <si>
    <t>Rua de Azinheira, Zona Industrial do Pau Queimado</t>
  </si>
  <si>
    <t>Rua de Azinheira, Zona Industrial do Pau Queimado;;2870-100;Montijo;Montijo</t>
  </si>
  <si>
    <t>PT0303</t>
  </si>
  <si>
    <t>C.C. Cascaishopping</t>
  </si>
  <si>
    <t>Estrada Nacional, 9</t>
  </si>
  <si>
    <t>C.C. Cascaishopping;Estrada Nacional, 9;2645-543;Alcabideche (Cascais);Lisboa</t>
  </si>
  <si>
    <t>PT0304</t>
  </si>
  <si>
    <t>C.C Via Catarina</t>
  </si>
  <si>
    <t>Porto</t>
  </si>
  <si>
    <t>Rua de Santa Catarina 312 a 350, 4000-443 Porto, Portugal</t>
  </si>
  <si>
    <t>Rua de Santa Catarina 312 a 350, 4000-443 Porto, Portugal;;4000-443;Porto;Porto</t>
  </si>
  <si>
    <t>PT0307</t>
  </si>
  <si>
    <t>Forum Coimbra</t>
  </si>
  <si>
    <t>Coimbra</t>
  </si>
  <si>
    <t>Av. JosÃ© BonifÃ¡cio de Andrade e Silva, 1</t>
  </si>
  <si>
    <t>Av. JosÃ© BonifÃ¡cio de Andrade e Silva, 1;;3040- 389;Coimbra;Coimbra</t>
  </si>
  <si>
    <t>PT0309</t>
  </si>
  <si>
    <t>C.C. Loures Shopping</t>
  </si>
  <si>
    <t>Avenida das Descobertas, 90</t>
  </si>
  <si>
    <t>Loures</t>
  </si>
  <si>
    <t>C.C. Loures Shopping;Avenida das Descobertas, 90;2670 - 457;Loures (Lisboa);Loures</t>
  </si>
  <si>
    <t>PT0311</t>
  </si>
  <si>
    <t>C.C. Almada Forum</t>
  </si>
  <si>
    <t>Almada</t>
  </si>
  <si>
    <t>RR. SÃ©rgio Malpique, 2810-500 Almada, Portugal</t>
  </si>
  <si>
    <t>Vale de Mourelos-Almada</t>
  </si>
  <si>
    <t>RR. SÃ©rgio Malpique, 2810-500 Almada, Portugal;;2810-500;SetÃºbal;Vale de Mourelos-Almada</t>
  </si>
  <si>
    <t>PT0312</t>
  </si>
  <si>
    <t>C.C. Colombo</t>
  </si>
  <si>
    <t>Av. LusÃ­ada, 1500-392 Lisboa, Portugal</t>
  </si>
  <si>
    <t>Av. LusÃ­ada, 1500-392 Lisboa, Portugal;;1500-392;Lisboa;Lisboa</t>
  </si>
  <si>
    <t>PT0313</t>
  </si>
  <si>
    <t>C.C. Vasco Da Gama</t>
  </si>
  <si>
    <t>AV. D. JOAO II, 40, LOTE 1.05.02 PISO 0 LOJA 116-117</t>
  </si>
  <si>
    <t>C.C. Vasco Da Gama;AV. D. JOAO II, 40, LOTE 1.05.02 PISO 0 LOJA 116-117;1990-094;Olivais - 1900 (Lisboa);Lisboa</t>
  </si>
  <si>
    <t>PT0315</t>
  </si>
  <si>
    <t>C.C. Gaiashopping</t>
  </si>
  <si>
    <t>Av. Dos Descobrimentos, 549 Loja 117-117A</t>
  </si>
  <si>
    <t>Av. Dos Descobrimentos, 549 Loja 117-117A;;4404-503;Vila Nova de Gaia;Porto</t>
  </si>
  <si>
    <t>PT0316</t>
  </si>
  <si>
    <t>C.C. Mar Shopping</t>
  </si>
  <si>
    <t>Estr. Monte de Godim 460, LeÃ§a da Palmeira</t>
  </si>
  <si>
    <t>Matosinhos</t>
  </si>
  <si>
    <t>Estr. Monte de Godim 460, LeÃ§a da Palmeira;;4450-337;Matosinhos;Matosinhos</t>
  </si>
  <si>
    <t>PT0317</t>
  </si>
  <si>
    <t>C.C. Alegro Sintra</t>
  </si>
  <si>
    <t>Sintra</t>
  </si>
  <si>
    <t>R. Alto do Forte IC 19, 2635-018 Rio de Mouro, Portugal</t>
  </si>
  <si>
    <t>R. Alto do Forte IC 19, 2635-018 Rio de Mouro, Portugal;;2635-047;Rio de Mouro;Sintra</t>
  </si>
  <si>
    <t>PT0318</t>
  </si>
  <si>
    <t>C.C. PalÃ¡cio do Gelo Shopping</t>
  </si>
  <si>
    <t>Viseu</t>
  </si>
  <si>
    <t>Rua do PalÃ¡cio do Gelo, nÂº3</t>
  </si>
  <si>
    <t>Rua do PalÃ¡cio do Gelo, nÂº3;;3500-606;Viseu;Viseu</t>
  </si>
  <si>
    <t>PT0319</t>
  </si>
  <si>
    <t>C.C. UBBO</t>
  </si>
  <si>
    <t>Av. Cruzeiro Seixas 5 e 7, 2650-505 Amadora, Portugal</t>
  </si>
  <si>
    <t>Av. Cruzeiro Seixas 5 e 7, 2650-505 Amadora, Portugal;;2650-505;Amadora;Lisboa</t>
  </si>
  <si>
    <t>PT0320</t>
  </si>
  <si>
    <t>C.C. Braga Parque</t>
  </si>
  <si>
    <t>Braga</t>
  </si>
  <si>
    <t>R. dos Congregados 1, 4710-427 Braga, Portugal</t>
  </si>
  <si>
    <t>R. dos Congregados 1, 4710-427 Braga, Portugal;;4710-427;Braga;Braga</t>
  </si>
  <si>
    <t>PT0321</t>
  </si>
  <si>
    <t>C.C. EspaÃ§o Guimaraes</t>
  </si>
  <si>
    <t>Guimaraes</t>
  </si>
  <si>
    <t>Rua 25 de Abril, 210, Quinta do ArdÃ£o, Silvares</t>
  </si>
  <si>
    <t>Rua 25 de Abril, 210, Quinta do ArdÃ£o, Silvares;;4835-400;Guimaraes</t>
  </si>
  <si>
    <t>PT0322</t>
  </si>
  <si>
    <t>C.C. Leiria Shopping</t>
  </si>
  <si>
    <t>Leiria</t>
  </si>
  <si>
    <t>R. do Alto Vieiro, 2400-441 Leiria, Portugal</t>
  </si>
  <si>
    <t>R. do Alto Vieiro, 2400-441 Leiria, Portugal;;2400 - 441;Leiria;Leiria</t>
  </si>
  <si>
    <t>PT0323</t>
  </si>
  <si>
    <t>C.C. Aqua PortimÃ¢o</t>
  </si>
  <si>
    <t>Portimao</t>
  </si>
  <si>
    <t>R. de SÃ£o Pedro 72, 8500-524 PortimÃ£o, Portugal</t>
  </si>
  <si>
    <t>Algarve</t>
  </si>
  <si>
    <t>R. de SÃ£o Pedro 72, 8500-524 PortimÃ£o, Portugal;;8500- 524;PortimÃ¢o;Algarve</t>
  </si>
  <si>
    <t>PT0325</t>
  </si>
  <si>
    <t>Rotunda do Infante</t>
  </si>
  <si>
    <t>Fuchal</t>
  </si>
  <si>
    <t>Rua Dr. Brito CÃ¢mara</t>
  </si>
  <si>
    <t>Madeira</t>
  </si>
  <si>
    <t>Rotunda do Infante;Rua Dr. Brito CÃ¢mara;9000-039;Rotunda do Infante;Madeira</t>
  </si>
  <si>
    <t>PT0326</t>
  </si>
  <si>
    <t>CC Forum Madeira</t>
  </si>
  <si>
    <t>Estrada Monumental, 390</t>
  </si>
  <si>
    <t>Estrada Monumental, 390;;9004 - 568;Funchal;Madeira</t>
  </si>
  <si>
    <t>PT0328</t>
  </si>
  <si>
    <t>CC Algarve Shopping</t>
  </si>
  <si>
    <t>Albufeira</t>
  </si>
  <si>
    <t>Lanka Parque Comercial e Industrial do Algarve</t>
  </si>
  <si>
    <t>Lote, R - FraÃ§Ã£o 3, Guia</t>
  </si>
  <si>
    <t>Lanka Parque Comercial e Industrial do Algarve;Lote, R - FraÃ§Ã£o 3, Guia;8101-878;Albufeira;Algarve</t>
  </si>
  <si>
    <t>PT0329</t>
  </si>
  <si>
    <t>C.C. Forum Castelo Branco</t>
  </si>
  <si>
    <t>Castelo Branco</t>
  </si>
  <si>
    <t>Professor Doutor Egas Moniz Av.</t>
  </si>
  <si>
    <t>Professor Doutor Egas Moniz Av.;;6000-901;Castelo Branco;Castelo Branco</t>
  </si>
  <si>
    <t>PT0330</t>
  </si>
  <si>
    <t>C.C. Glicinias Plaza</t>
  </si>
  <si>
    <t>Aveiro</t>
  </si>
  <si>
    <t>Rua D. Manuel Barbuda e Vasconcelos</t>
  </si>
  <si>
    <t>Rua D. Manuel Barbuda e Vasconcelos;;3810-498;Aveiro;Aveiro</t>
  </si>
  <si>
    <t>PT0332</t>
  </si>
  <si>
    <t>CC Alegro Setubal</t>
  </si>
  <si>
    <t>Setubal</t>
  </si>
  <si>
    <t>Av. Antero de Quental 2, 2910-394 SetÃºbal</t>
  </si>
  <si>
    <t>SetÃºbal</t>
  </si>
  <si>
    <t>Av. Antero de Quental 2, 2910-394 SetÃºbal;;2910-394;SetÃºbal;SetÃºbal</t>
  </si>
  <si>
    <t>PT0333</t>
  </si>
  <si>
    <t>C.C. Mar Shopping Algarve</t>
  </si>
  <si>
    <t>LoulÃ©</t>
  </si>
  <si>
    <t>Av. do Algarve, 8135-182 Almancil, Portugal</t>
  </si>
  <si>
    <t>Av. do Algarve, 8135-182 Almancil, Portugal;;8135-182;LoulÃ©;Algarve</t>
  </si>
  <si>
    <t>PT0336</t>
  </si>
  <si>
    <t>C.C. Nova Arcada</t>
  </si>
  <si>
    <t>Avenida de Lamas, nÂº 100, Centro Comercial Nova Arcada</t>
  </si>
  <si>
    <t>Avenida de Lamas, nÂº 100, Centro Comercial Nova Arcada;;4700 - 038;Braga;Braga</t>
  </si>
  <si>
    <t>PT0337</t>
  </si>
  <si>
    <t>C.C. Alameda Shopping</t>
  </si>
  <si>
    <t>Rua dos CampeÃµes Europeus 28-198, Porto</t>
  </si>
  <si>
    <t>Rua dos CampeÃµes Europeus 28-198, Porto;;4350-414;Porto;Porto</t>
  </si>
  <si>
    <t>PT0340</t>
  </si>
  <si>
    <t>C.C. Norte Shopping</t>
  </si>
  <si>
    <t>R. Sara Afonso, Sra. da Hora</t>
  </si>
  <si>
    <t>R. Sara Afonso, Sra. da Hora;;4460-841;Porto;Porto</t>
  </si>
  <si>
    <t>QA0128</t>
  </si>
  <si>
    <t>Mall of Qatar</t>
  </si>
  <si>
    <t>Doha</t>
  </si>
  <si>
    <t>Qatar</t>
  </si>
  <si>
    <t>QA</t>
  </si>
  <si>
    <t>Mall of Qatar;;x</t>
  </si>
  <si>
    <t>QA0423</t>
  </si>
  <si>
    <t>Villagio</t>
  </si>
  <si>
    <t>AL Waab Street</t>
  </si>
  <si>
    <t>Villagio;AL Waab Street;Doha;Doha</t>
  </si>
  <si>
    <t>QA0821</t>
  </si>
  <si>
    <t>Umm Salal</t>
  </si>
  <si>
    <t>Mohammed</t>
  </si>
  <si>
    <t>Umm Salal;Mohammed;+974</t>
  </si>
  <si>
    <t>QA0822</t>
  </si>
  <si>
    <t>QA0994</t>
  </si>
  <si>
    <t>Landmark</t>
  </si>
  <si>
    <t>13:30-23:00</t>
  </si>
  <si>
    <t>AL MARKHIA STREE</t>
  </si>
  <si>
    <t>Landmark;AL MARKHIA STREE;Doha;Doha</t>
  </si>
  <si>
    <t>QA1050</t>
  </si>
  <si>
    <t>Al Wukair Street</t>
  </si>
  <si>
    <t>Al Wakra</t>
  </si>
  <si>
    <t>Al Wukair Street;;X</t>
  </si>
  <si>
    <t>QA1439</t>
  </si>
  <si>
    <t>City Center Doha</t>
  </si>
  <si>
    <t>West Bay Area</t>
  </si>
  <si>
    <t>Doha, Qatar</t>
  </si>
  <si>
    <t>West Bay Area;Doha, Qatar;XXX</t>
  </si>
  <si>
    <t>RO0001</t>
  </si>
  <si>
    <t>Baneasa Shopping City</t>
  </si>
  <si>
    <t>Bucharest</t>
  </si>
  <si>
    <t>Romania</t>
  </si>
  <si>
    <t>RO</t>
  </si>
  <si>
    <t>42D Bucuresti-Ploiesti Sos.</t>
  </si>
  <si>
    <t>Baneasa Shopping City;42D Bucuresti-Ploiesti Sos.;013696;Bucharest, District 1</t>
  </si>
  <si>
    <t>RO0002</t>
  </si>
  <si>
    <t>Afi Cotroceni</t>
  </si>
  <si>
    <t>4 Vasile Milea Blvd.</t>
  </si>
  <si>
    <t>Afi Cotroceni;4 Vasile Milea Blvd.;061341;Bucharest, District 6</t>
  </si>
  <si>
    <t>RO0003</t>
  </si>
  <si>
    <t>Bucuresti Mall</t>
  </si>
  <si>
    <t>55-59 Calea Vitan Street</t>
  </si>
  <si>
    <t>Bucuresti Mall;55-59 Calea Vitan Street;031282;Bucharest, District 3</t>
  </si>
  <si>
    <t>RO0004</t>
  </si>
  <si>
    <t>Plaza Romania</t>
  </si>
  <si>
    <t>26 Timisoara Blvd.</t>
  </si>
  <si>
    <t>Plaza Romania;26 Timisoara Blvd.;061331;Bucharest, District 6</t>
  </si>
  <si>
    <t>RO0005</t>
  </si>
  <si>
    <t>Unirea Shopping Center</t>
  </si>
  <si>
    <t>1 Piata Unirii</t>
  </si>
  <si>
    <t>Unirea Shopping Center;1 Piata Unirii;030119;Bucharest, District 3</t>
  </si>
  <si>
    <t>RO0007</t>
  </si>
  <si>
    <t>Iulius Mall Cluj</t>
  </si>
  <si>
    <t>Cluj-Napoca</t>
  </si>
  <si>
    <t>53-55 Al. Vaida-Voievod Street</t>
  </si>
  <si>
    <t>Iulius Mall Cluj;53-55 Al. Vaida-Voievod Street;400592;Cluj-Napoca, jud. Cluj</t>
  </si>
  <si>
    <t>RO0008</t>
  </si>
  <si>
    <t>Iulius Mall Timisoara</t>
  </si>
  <si>
    <t>Timisoara</t>
  </si>
  <si>
    <t>Sp. T 10 Dimetriade Street</t>
  </si>
  <si>
    <t>Iulius Mall Timisoara;Sp. T 10 Dimetriade Street;300088;TimiÅŸoara, jud. Timis</t>
  </si>
  <si>
    <t>RO0009</t>
  </si>
  <si>
    <t>Palas Iasi</t>
  </si>
  <si>
    <t>Iasi</t>
  </si>
  <si>
    <t>7A Palas Street</t>
  </si>
  <si>
    <t>Palas Iasi;7A Palas Street;700124;Iasi, jud. Iasi</t>
  </si>
  <si>
    <t>RO0010</t>
  </si>
  <si>
    <t>Vivo! Constanta</t>
  </si>
  <si>
    <t>Constanta</t>
  </si>
  <si>
    <t>220 Aurel Vlaicu Blvd.</t>
  </si>
  <si>
    <t>Vivo! Constanta;220 Aurel Vlaicu Blvd.;900498;Constanta, jud. Constanta</t>
  </si>
  <si>
    <t>RO0012</t>
  </si>
  <si>
    <t>Atrium Arad</t>
  </si>
  <si>
    <t>Arad</t>
  </si>
  <si>
    <t>10-12 Aurel Vlaicu Street</t>
  </si>
  <si>
    <t>Atrium Arad;10-12 Aurel Vlaicu Street;310141;Arad, jud. Arad</t>
  </si>
  <si>
    <t>RO0013</t>
  </si>
  <si>
    <t>Electroputere Mall</t>
  </si>
  <si>
    <t>Craiova</t>
  </si>
  <si>
    <t>80 Calea Bucuresti</t>
  </si>
  <si>
    <t>Electroputere Mall;80 Calea Bucuresti;200515;Craiova, jud. Dolj</t>
  </si>
  <si>
    <t>RO0014</t>
  </si>
  <si>
    <t>Lotus Center Oradea</t>
  </si>
  <si>
    <t>Oradea</t>
  </si>
  <si>
    <t>30 Nufarului Street</t>
  </si>
  <si>
    <t>Lotus Center Oradea;30 Nufarului Street;410583;Oradea, jud. Bihor</t>
  </si>
  <si>
    <t>RO0015</t>
  </si>
  <si>
    <t>Braila Mall</t>
  </si>
  <si>
    <t>Braila</t>
  </si>
  <si>
    <t>1 Principala Street, Varsatura</t>
  </si>
  <si>
    <t>Braila Mall;1 Principala Street, Varsatura;817025;Chiscani, Braila</t>
  </si>
  <si>
    <t>RO0016</t>
  </si>
  <si>
    <t>Iulius Mall Suceava</t>
  </si>
  <si>
    <t>Suceava</t>
  </si>
  <si>
    <t>22 Calea Unirii Street</t>
  </si>
  <si>
    <t>Iulius Mall Suceava;22 Calea Unirii Street;720018;Suceava, Suceava</t>
  </si>
  <si>
    <t>RO0017</t>
  </si>
  <si>
    <t>Sibiu Shopping City</t>
  </si>
  <si>
    <t>Sibiu</t>
  </si>
  <si>
    <t>5 Sibiului Sos.</t>
  </si>
  <si>
    <t>Sibiu Shopping City;5 Sibiului Sos.;557260;Selimbar, jud. Sibiu</t>
  </si>
  <si>
    <t>RO0018</t>
  </si>
  <si>
    <t>Vivo! Cluj</t>
  </si>
  <si>
    <t>492-500 Avram Iancu Street</t>
  </si>
  <si>
    <t>Vivo! Cluj;492-500 Avram Iancu Street;407280;Floresti, Cluj</t>
  </si>
  <si>
    <t>RO0019</t>
  </si>
  <si>
    <t>Ploiesti Shopping City</t>
  </si>
  <si>
    <t>Ploiesti</t>
  </si>
  <si>
    <t>Comuna Blejoi, Sat Blejoi, Nr. 915A, Str. DN1B, Zona KM 6</t>
  </si>
  <si>
    <t>Ploiesti Shopping City;Comuna Blejoi, Sat Blejoi, Nr. 915A, Str. DN1B, Zona KM 6;107070;Ploiesti, Prahova</t>
  </si>
  <si>
    <t>RO0020</t>
  </si>
  <si>
    <t>Arena Mall Bacau</t>
  </si>
  <si>
    <t>Bacau</t>
  </si>
  <si>
    <t>28 Stefan cel Mare Street</t>
  </si>
  <si>
    <t>Arena Mall Bacau;28 Stefan cel Mare Street;600360;Bacau, Bacau</t>
  </si>
  <si>
    <t>RO0021</t>
  </si>
  <si>
    <t>Vivo! Baia Mare</t>
  </si>
  <si>
    <t>Baia Mare</t>
  </si>
  <si>
    <t>73 Victoriei Street</t>
  </si>
  <si>
    <t>Vivo! Baia Mare;73 Victoriei Street;430072;Baia Mare, Maramures</t>
  </si>
  <si>
    <t>RO0022</t>
  </si>
  <si>
    <t>Promenada Mall</t>
  </si>
  <si>
    <t>Targu Mures</t>
  </si>
  <si>
    <t>243 Gheorghe Doja Street</t>
  </si>
  <si>
    <t>Promenada Mall;243 Gheorghe Doja Street;540228;Targu Mures, Mures</t>
  </si>
  <si>
    <t>RO0023</t>
  </si>
  <si>
    <t>Afi Ploiesti</t>
  </si>
  <si>
    <t>2 Calomfirescu</t>
  </si>
  <si>
    <t>Afi Ploiesti;2 Calomfirescu;100176;Ploiesti, Prahova</t>
  </si>
  <si>
    <t>RO0024</t>
  </si>
  <si>
    <t>Uvertura Mall</t>
  </si>
  <si>
    <t>Botosani</t>
  </si>
  <si>
    <t>91 Calea Nationala Street</t>
  </si>
  <si>
    <t>Uvertura Mall;91 Calea Nationala Street;710048;Botosani, Botosani</t>
  </si>
  <si>
    <t>RO0026</t>
  </si>
  <si>
    <t>Winmarkt Buzau</t>
  </si>
  <si>
    <t>Buzau</t>
  </si>
  <si>
    <t>1st Piata Daciei Str.</t>
  </si>
  <si>
    <t>Winmarkt Buzau;1st Piata Daciei Str.;120046;Buzau, jud. Buzau</t>
  </si>
  <si>
    <t>RO0027</t>
  </si>
  <si>
    <t>Promenada Floreasca</t>
  </si>
  <si>
    <t>Calea Floreasca 246B, District 1</t>
  </si>
  <si>
    <t>Promenada Floreasca;Calea Floreasca 246B, District 1;014466;Bucharest</t>
  </si>
  <si>
    <t>RO0031</t>
  </si>
  <si>
    <t>Militari Shopping</t>
  </si>
  <si>
    <t>560 A Bd. Iuliu Maniu</t>
  </si>
  <si>
    <t>Militari Shopping;560 A Bd. Iuliu Maniu;061129;Bucharest, District 6</t>
  </si>
  <si>
    <t>RO0032</t>
  </si>
  <si>
    <t>Winmarkt Galati</t>
  </si>
  <si>
    <t>Galati</t>
  </si>
  <si>
    <t>24 Domneasca Street</t>
  </si>
  <si>
    <t>Winmarkt Galati;24 Domneasca Street;800008;Galati, Galati</t>
  </si>
  <si>
    <t>RO0033</t>
  </si>
  <si>
    <t>Vulcan</t>
  </si>
  <si>
    <t>88 Mihail Sebastian Street, District 5</t>
  </si>
  <si>
    <t>Vulcan;88 Mihail Sebastian Street, District 5;050784;Bucharest</t>
  </si>
  <si>
    <t>RO0034</t>
  </si>
  <si>
    <t>Iris Shopping Center</t>
  </si>
  <si>
    <t>33A, 1 Decembrie 1918 Bl.</t>
  </si>
  <si>
    <t>Iris Shopping Center;33A, 1 Decembrie 1918 Bl.;032465;Bucharest, District 3</t>
  </si>
  <si>
    <t>RO0035</t>
  </si>
  <si>
    <t>Jupiter City</t>
  </si>
  <si>
    <t>PiteÈ™ti</t>
  </si>
  <si>
    <t>Com. Bradu, DN65 B, Km 6+0.7</t>
  </si>
  <si>
    <t>Jupiter City;Com. Bradu, DN65 B, Km 6+0.7;117140;Pitesti, Arges</t>
  </si>
  <si>
    <t>RO0036</t>
  </si>
  <si>
    <t>Vivo! Pitesti</t>
  </si>
  <si>
    <t>36 Calea Bucuresti St.</t>
  </si>
  <si>
    <t>Vivo! Pitesti;36 Calea Bucuresti St.;110133;Pitesti, Arges</t>
  </si>
  <si>
    <t>RO0038</t>
  </si>
  <si>
    <t>Winmarkt Ramnicu Valcea</t>
  </si>
  <si>
    <t>RÃ¢mnicu VÃ¢lcea</t>
  </si>
  <si>
    <t>127 Calea lui Traian Street</t>
  </si>
  <si>
    <t>Winmarkt Ramnicu Valcea;127 Calea lui Traian Street;240165;Ramnicu Valcea, Valcea</t>
  </si>
  <si>
    <t>RO0039</t>
  </si>
  <si>
    <t>Winmarkt Tulcea</t>
  </si>
  <si>
    <t>Tulcea</t>
  </si>
  <si>
    <t>1 Babadag St.</t>
  </si>
  <si>
    <t>Winmarkt Tulcea;1 Babadag St.;820004;Tulcea, jud. Tulcea</t>
  </si>
  <si>
    <t>RO0040</t>
  </si>
  <si>
    <t>3-5 Pierre de Coubertin Blvd.</t>
  </si>
  <si>
    <t>Mega Mall;3-5 Pierre de Coubertin Blvd.;021901;Bucharest, District 2</t>
  </si>
  <si>
    <t>RO0041</t>
  </si>
  <si>
    <t>Galati Shopping City</t>
  </si>
  <si>
    <t>251 George Cosbuc Blvd.</t>
  </si>
  <si>
    <t>Galati Shopping City;251 George Cosbuc Blvd.;800506;Galati, Galati</t>
  </si>
  <si>
    <t>RO0042</t>
  </si>
  <si>
    <t>Winmarkt Piatra Neamt</t>
  </si>
  <si>
    <t>Piatra Neamt</t>
  </si>
  <si>
    <t>3 Decebal Blvd.</t>
  </si>
  <si>
    <t>Winmarkt Piatra Neamt;3 Decebal Blvd.;610124;Piatra Neamt, Neamt</t>
  </si>
  <si>
    <t>RO0043</t>
  </si>
  <si>
    <t>Targu Jiu Shopping City</t>
  </si>
  <si>
    <t>Targu Jiu</t>
  </si>
  <si>
    <t>10 Termocentralei St.</t>
  </si>
  <si>
    <t>Targu Jiu Shopping City;10 Termocentralei St.;210233;Targu Jiu, Jud.Gorj</t>
  </si>
  <si>
    <t>RO0044</t>
  </si>
  <si>
    <t>Coresi Brasov</t>
  </si>
  <si>
    <t>Brasov</t>
  </si>
  <si>
    <t>1 Zaharia Stancu Street</t>
  </si>
  <si>
    <t>Coresi Brasov;1 Zaharia Stancu Street;500167;Brasov, Jud. Brasov</t>
  </si>
  <si>
    <t>RO0045</t>
  </si>
  <si>
    <t>Focsani Mall</t>
  </si>
  <si>
    <t>Focsani</t>
  </si>
  <si>
    <t>32 Calea Moldovei</t>
  </si>
  <si>
    <t>Focsani Mall;32 Calea Moldovei;620157;Focsani, Vrancea</t>
  </si>
  <si>
    <t>RO0047</t>
  </si>
  <si>
    <t>Deva Shopping City</t>
  </si>
  <si>
    <t>Deva</t>
  </si>
  <si>
    <t>87 Calea Zarandului</t>
  </si>
  <si>
    <t>Deva Shopping City;87 Calea Zarandului;330182;Deva, jud. Hunedoara</t>
  </si>
  <si>
    <t>RO0048</t>
  </si>
  <si>
    <t>Veranda Shop &amp; Stay</t>
  </si>
  <si>
    <t>23 Ziduri Mosi St.</t>
  </si>
  <si>
    <t>Veranda Shop &amp; Stay;23 Ziduri Mosi St.;021203;Bucharest, District 2</t>
  </si>
  <si>
    <t>RO0049</t>
  </si>
  <si>
    <t>Mercur Craiova</t>
  </si>
  <si>
    <t>14 Calea Unirii</t>
  </si>
  <si>
    <t>Mercur Craiova;14 Calea Unirii;200419;Craiova, jud. Dolj</t>
  </si>
  <si>
    <t>RO0050</t>
  </si>
  <si>
    <t>ParkLake Shopping Center</t>
  </si>
  <si>
    <t>4 Liviu Rebreanu Street</t>
  </si>
  <si>
    <t>ParkLake Shopping Center;4 Liviu Rebreanu Street;031771;Bucharest, District 3</t>
  </si>
  <si>
    <t>RO0052</t>
  </si>
  <si>
    <t>Timisoara Shopping City</t>
  </si>
  <si>
    <t>100 Calea Sagului</t>
  </si>
  <si>
    <t>Timisoara Shopping City;100 Calea Sagului;300516;Timisoara, jud. Timis</t>
  </si>
  <si>
    <t>RO0053</t>
  </si>
  <si>
    <t>Satu Mare Shopping Plaza</t>
  </si>
  <si>
    <t>Satu Mare</t>
  </si>
  <si>
    <t>43 Nicolae Golescu Street</t>
  </si>
  <si>
    <t>Satu Mare Shopping Plaza;43 Nicolae Golescu Street;440187;Satu Mare, jud. Satu Mare</t>
  </si>
  <si>
    <t>RO0054</t>
  </si>
  <si>
    <t>Iulius Iasi</t>
  </si>
  <si>
    <t>2-4 Tudor Vladimirescu Blvd.</t>
  </si>
  <si>
    <t>Iulius Iasi;2-4 Tudor Vladimirescu Blvd.;700305;Iasi, jud. Iasi</t>
  </si>
  <si>
    <t>RO0055</t>
  </si>
  <si>
    <t>391 Vacaresti Street</t>
  </si>
  <si>
    <t>Sun Plaza;391 Vacaresti Street;040055;Bucharest, District 4</t>
  </si>
  <si>
    <t>RO0057</t>
  </si>
  <si>
    <t>Winmarkt Ploiesti</t>
  </si>
  <si>
    <t>17-25 Republicii Blvd.</t>
  </si>
  <si>
    <t>Winmarkt Ploiesti;17-25 Republicii Blvd.;100009;Ploiesti, jud. Prahova</t>
  </si>
  <si>
    <t>RO0058</t>
  </si>
  <si>
    <t>Tomis Mall</t>
  </si>
  <si>
    <t>36-40 Stefan cel Mare Street</t>
  </si>
  <si>
    <t>Tomis Mall;36-40 Stefan cel Mare Street;900676;Constanta, jud.Constanta</t>
  </si>
  <si>
    <t>RO0059</t>
  </si>
  <si>
    <t>Platinia Cluj</t>
  </si>
  <si>
    <t>2-6 Manastur Street</t>
  </si>
  <si>
    <t>Platinia Cluj;2-6 Manastur Street;400000;Cluj, jud. Cluj Napoca</t>
  </si>
  <si>
    <t>RO0060</t>
  </si>
  <si>
    <t>City Park Constanta</t>
  </si>
  <si>
    <t>116 C Al. Lapusneanu Street</t>
  </si>
  <si>
    <t>City Park Constanta;116 C Al. Lapusneanu Street;900419;Constanta, jud. Constanta</t>
  </si>
  <si>
    <t>RO0061</t>
  </si>
  <si>
    <t>Piatra Neamt Shopping City</t>
  </si>
  <si>
    <t>79 Decebal Blvd.</t>
  </si>
  <si>
    <t>Piatra Neamt Shopping City;79 Decebal Blvd.;610046;Piatra Neamt, jud Neamt</t>
  </si>
  <si>
    <t>RO0063</t>
  </si>
  <si>
    <t>B1 Retail Park</t>
  </si>
  <si>
    <t>Bistrita</t>
  </si>
  <si>
    <t>40A Calea Moldovei</t>
  </si>
  <si>
    <t>B1 Retail Park;40A Calea Moldovei;420096;Bistrita</t>
  </si>
  <si>
    <t>RO0065</t>
  </si>
  <si>
    <t>Promenada Mall Sibiu</t>
  </si>
  <si>
    <t>Str. Lector, nr.1-3A</t>
  </si>
  <si>
    <t>Promenada Mall Sibiu;Str. Lector, nr.1-3A;550245;Sibiu</t>
  </si>
  <si>
    <t>RO0067</t>
  </si>
  <si>
    <t>Lotus Retail Park</t>
  </si>
  <si>
    <t>7 Stefan Octavian Iosif Street</t>
  </si>
  <si>
    <t>Lotus Retail Park;7 Stefan Octavian Iosif Street;410230;Oradea, Bihor</t>
  </si>
  <si>
    <t>RS0503</t>
  </si>
  <si>
    <t>Delta City</t>
  </si>
  <si>
    <t>Belgrade</t>
  </si>
  <si>
    <t>Serbia</t>
  </si>
  <si>
    <t>RS</t>
  </si>
  <si>
    <t>Jurija Gagarina 16</t>
  </si>
  <si>
    <t>Delta City;Jurija Gagarina 16;11000;Novi Beograd</t>
  </si>
  <si>
    <t>RS0504</t>
  </si>
  <si>
    <t>Zaplanjska 32</t>
  </si>
  <si>
    <t>Stadion Center;Zaplanjska 32;11040;Beograd</t>
  </si>
  <si>
    <t>RS0505</t>
  </si>
  <si>
    <t>Big Center Novi Sad</t>
  </si>
  <si>
    <t>Novi Sad</t>
  </si>
  <si>
    <t>Sentandrejski put 11</t>
  </si>
  <si>
    <t>Big Center Novi Sad;Sentandrejski put 11;21 000;Novi Sad</t>
  </si>
  <si>
    <t>RS0506</t>
  </si>
  <si>
    <t>BIG Pancevo</t>
  </si>
  <si>
    <t>Pancevo</t>
  </si>
  <si>
    <t>Milosa Obrenovica 12,</t>
  </si>
  <si>
    <t>BIG Pancevo;Milosa Obrenovica 12,;26000;Pancevo</t>
  </si>
  <si>
    <t>RS0507</t>
  </si>
  <si>
    <t>Trg Kralja Milana2</t>
  </si>
  <si>
    <t>Nis</t>
  </si>
  <si>
    <t>Trg Kralja Milana2;;18000;Nis</t>
  </si>
  <si>
    <t>RS0508</t>
  </si>
  <si>
    <t>Knez Mihaijlova 14-16</t>
  </si>
  <si>
    <t>Knez Mihaijlova 14-16;;11000;Beograd</t>
  </si>
  <si>
    <t>RS0509</t>
  </si>
  <si>
    <t>STOP SHOP Subotica</t>
  </si>
  <si>
    <t>Subotica</t>
  </si>
  <si>
    <t>Segedinski put 88</t>
  </si>
  <si>
    <t>STOP SHOP Subotica;Segedinski put 88;24000;Subotica</t>
  </si>
  <si>
    <t>RS0510</t>
  </si>
  <si>
    <t>Aviv Park Zrenjanin</t>
  </si>
  <si>
    <t>Zrenjanin</t>
  </si>
  <si>
    <t>BagljaÅ¡ Zapad 5</t>
  </si>
  <si>
    <t>Aviv Park Zrenjanin;BagljaÅ¡ Zapad 5;23000;Zrenjanin</t>
  </si>
  <si>
    <t>RS0511</t>
  </si>
  <si>
    <t>Kralja Aleksandra 3</t>
  </si>
  <si>
    <t>Kralja Aleksandra 3;;21000;Novi Sad</t>
  </si>
  <si>
    <t>RS0512</t>
  </si>
  <si>
    <t>BIG FASHION Kragujevac</t>
  </si>
  <si>
    <t>Kragujevac</t>
  </si>
  <si>
    <t>Bul. Kraljice Marije 56/Top 121</t>
  </si>
  <si>
    <t>BIG FASHION Kragujevac;Bul. Kraljice Marije 56/Top 121;34 000;Kragujevac</t>
  </si>
  <si>
    <t>RS0513</t>
  </si>
  <si>
    <t>BIG Fashion</t>
  </si>
  <si>
    <t>Visnjicka 84</t>
  </si>
  <si>
    <t>BIG Fashion;Visnjicka 84;11000;Beograd</t>
  </si>
  <si>
    <t>RS0514</t>
  </si>
  <si>
    <t>STOP SHOP Smederevo</t>
  </si>
  <si>
    <t>Smederevo</t>
  </si>
  <si>
    <t>Salinacki put bb</t>
  </si>
  <si>
    <t>STOP SHOP Smederevo;Salinacki put bb;11300;Smederevo</t>
  </si>
  <si>
    <t>RS0515</t>
  </si>
  <si>
    <t>Capitol Park</t>
  </si>
  <si>
    <t>Sabac</t>
  </si>
  <si>
    <t>Zapadna Transverzala I br.4.</t>
  </si>
  <si>
    <t>Capitol Park;Zapadna Transverzala I br.4.;15000;Sabac</t>
  </si>
  <si>
    <t>RS0517</t>
  </si>
  <si>
    <t>Ada Mall</t>
  </si>
  <si>
    <t>Radnicka ulica</t>
  </si>
  <si>
    <t>Ada Mall;Radnicka ulica;11000;Belgrade</t>
  </si>
  <si>
    <t>RS0519</t>
  </si>
  <si>
    <t>BEO Belgrade</t>
  </si>
  <si>
    <t>Vojislava IliÄ‡a/ Mis Irbijeve Ulica</t>
  </si>
  <si>
    <t>BEO Belgrade;Vojislava IliÄ‡a/ Mis Irbijeve Ulica;11000;Belgrade</t>
  </si>
  <si>
    <t>RU0602</t>
  </si>
  <si>
    <t>MEGA SC</t>
  </si>
  <si>
    <t>Khimki</t>
  </si>
  <si>
    <t>Russian Federation</t>
  </si>
  <si>
    <t>RU</t>
  </si>
  <si>
    <t>IKEA microdistrict, building 2</t>
  </si>
  <si>
    <t>Moscow Region</t>
  </si>
  <si>
    <t>MEGA SC;IKEA microdistrict, building 2;141400;Khimki;Moscow Region</t>
  </si>
  <si>
    <t>RU0603</t>
  </si>
  <si>
    <t>Ð¢Ð¦ ÐœÐµÑ‚Ñ€Ð¾Ð¿Ð¾Ð»Ð¸Ñ</t>
  </si>
  <si>
    <t>Moscow</t>
  </si>
  <si>
    <t>Ð›ÐµÐ½Ð¸Ð½Ð³Ñ€Ð°Ð´ÑÐºÐ¾Ðµ ÑˆÐ¾ÑÑÐµ Ð´ 16Ð°, ÑÑ‚Ñ€ 4</t>
  </si>
  <si>
    <t>Ð¢Ð¦ ÐœÐµÑ‚Ñ€Ð¾Ð¿Ð¾Ð»Ð¸Ñ;Ð›ÐµÐ½Ð¸Ð½Ð³Ñ€Ð°Ð´ÑÐºÐ¾Ðµ ÑˆÐ¾ÑÑÐµ Ð´ 16Ð°, ÑÑ‚Ñ€ 4;125171;ÐœÐ¾ÑÐºÐ²Ð°</t>
  </si>
  <si>
    <t>RU0604</t>
  </si>
  <si>
    <t>EUROPOLIS</t>
  </si>
  <si>
    <t>Prospekt Mira, 211/2</t>
  </si>
  <si>
    <t>EUROPOLIS;Prospekt Mira, 211/2;129226;Moscow</t>
  </si>
  <si>
    <t>RU0605</t>
  </si>
  <si>
    <t>Ð¢Ð¦ ÐÑ„Ð¸Ð¼Ð¾Ð»Ð» Ð¡Ð¸Ñ‚Ð¸</t>
  </si>
  <si>
    <t>ÐŸÑ€ÐµÑÐ½ÐµÐ½ÑÐºÐ°Ñ Ð½Ð°Ð±., 2</t>
  </si>
  <si>
    <t>Ð¢Ð¦ ÐÑ„Ð¸Ð¼Ð¾Ð»Ð» Ð¡Ð¸Ñ‚Ð¸;ÐŸÑ€ÐµÑÐ½ÐµÐ½ÑÐºÐ°Ñ Ð½Ð°Ð±., 2;123317;ÐœÐ¾ÑÐºÐ²Ð°</t>
  </si>
  <si>
    <t>RU0606</t>
  </si>
  <si>
    <t>SC Nevskiy</t>
  </si>
  <si>
    <t>St Petersburg</t>
  </si>
  <si>
    <t>Nevskiy avenue, 114-116</t>
  </si>
  <si>
    <t>SC Nevskiy;Nevskiy avenue, 114-116;191025;Saint-Petersburg</t>
  </si>
  <si>
    <t>RU0607</t>
  </si>
  <si>
    <t>MEGA Tyoply Stan</t>
  </si>
  <si>
    <t>Sosenskoe, 21km Kaluzhskoe shosse</t>
  </si>
  <si>
    <t>MEGA Tyoply Stan;Sosenskoe, 21km Kaluzhskoe shosse;142704;Moscow</t>
  </si>
  <si>
    <t>RU0608</t>
  </si>
  <si>
    <t>ÐœÐ•Ð“Ð Ð‘ÐµÐ»Ð°Ñ Ð”Ð°Ñ‡Ð°</t>
  </si>
  <si>
    <t>1-Ð¹ ÐŸÐ¾ÐºÑ€Ð¾Ð²ÑÐºÐ¸Ð¹ Ð¿Ñ€Ð¾ÐµÐ·Ð´, 5</t>
  </si>
  <si>
    <t>ÐœÐ¾ÑÐºÐ¾Ð²ÑÐºÐ°Ñ Ð¾Ð±Ð»Ð°ÑÑ‚ÑŒ</t>
  </si>
  <si>
    <t>ÐœÐ•Ð“Ð Ð‘ÐµÐ»Ð°Ñ Ð”Ð°Ñ‡Ð°;1-Ð¹ ÐŸÐ¾ÐºÑ€Ð¾Ð²ÑÐºÐ¸Ð¹ Ð¿Ñ€Ð¾ÐµÐ·Ð´, 5;140053;Ð›ÑŽÐ±ÐµÑ€ÐµÑ†ÐºÐ¸Ð¹ Ñ€-Ð½, Ð³. ÐšÐ¾Ñ‚ÐµÐ»ÑŒÐ½Ð¸ÐºÐ¸;ÐœÐ¾ÑÐºÐ¾Ð²ÑÐºÐ°Ñ Ð¾Ð±Ð»Ð°ÑÑ‚ÑŒ</t>
  </si>
  <si>
    <t>RU0610</t>
  </si>
  <si>
    <t>Ð¢Ð Ðš Ð›ÐµÑ‚Ð¾</t>
  </si>
  <si>
    <t>ÐŸÑƒÐ»ÐºÐ¾Ð²ÑÐºÐ¾Ðµ ÑˆÐ¾ÑÑÐµ, 25, ÐºÐ¾Ñ€Ð¿ÑƒÑ 1, Ð›Ð¸Ñ‚ÐµÑ€ Ð</t>
  </si>
  <si>
    <t>Ð¢Ð Ðš Ð›ÐµÑ‚Ð¾;ÐŸÑƒÐ»ÐºÐ¾Ð²ÑÐºÐ¾Ðµ ÑˆÐ¾ÑÑÐµ, 25, ÐºÐ¾Ñ€Ð¿ÑƒÑ 1, Ð›Ð¸Ñ‚ÐµÑ€ Ð;196240;Ð¡Ð°Ð½ÐºÑ‚-ÐŸÐµÑ‚ÐµÑ€Ð±ÑƒÑ€Ð³</t>
  </si>
  <si>
    <t>RU0613</t>
  </si>
  <si>
    <t>Ð¢Ð¦ Ð“ÑƒÐ´Ð·Ð¾Ð½</t>
  </si>
  <si>
    <t>ÐšÐ°ÑˆÐ¸Ñ€ÑÐºÐ¾Ðµ ÑˆÐ¾ÑÑÐµ, 14</t>
  </si>
  <si>
    <t>Ð¢Ð¦ Ð“ÑƒÐ´Ð·Ð¾Ð½;ÐšÐ°ÑˆÐ¸Ñ€ÑÐºÐ¾Ðµ ÑˆÐ¾ÑÑÐµ, 14;115230;ÐœÐ¾ÑÐºÐ²Ð°</t>
  </si>
  <si>
    <t>RU0615</t>
  </si>
  <si>
    <t>Ð¢Ð Ðš Ð’ÐµÐ³Ð°Ñ ÐšÐ°ÑˆÐ¸Ñ€ÑÐºÐ¾Ðµ</t>
  </si>
  <si>
    <t>24 ÐºÐ¼ ÐœÐšÐÐ”, Ð²Ð». 1</t>
  </si>
  <si>
    <t>Ð¢Ð Ðš Ð’ÐµÐ³Ð°Ñ ÐšÐ°ÑˆÐ¸Ñ€ÑÐºÐ¾Ðµ;24 ÐºÐ¼ ÐœÐšÐÐ”, Ð²Ð». 1;142715;Ð›ÐµÐ½Ð¸Ð½ÑÐºÐ¸Ð¹ Ñ€-Ð½, Ð¿. Ð¡Ð¾Ð²Ñ…Ð¾Ð· Ð¸Ð¼ Ð›ÐµÐ½Ð¸Ð½Ð°;ÐœÐ¾ÑÐºÐ¾Ð²ÑÐºÐ°Ñ Ð¾Ð±Ð»Ð°ÑÑ‚ÑŒ</t>
  </si>
  <si>
    <t>RU0616</t>
  </si>
  <si>
    <t>ÐœÐ•Ð“Ð ÐŸÐ°Ñ€Ð½Ð°Ñ</t>
  </si>
  <si>
    <t>Ð´. ÐŸÐ¾Ñ€Ð¾ÑˆÐºÐ¸Ð½Ð¾, ÐšÐÐ”(Ð²Ð½ÐµÑˆÐ½ÐµÐµ ÐºÐ¾Ð»ÑŒÑ†Ð¾) 117 ÐºÐ¼, ÑÑ‚Ñ€. 1</t>
  </si>
  <si>
    <t>Ð›ÐµÐ½Ð¸Ð½Ð³Ñ€Ð°Ð´ÑÐºÐ°Ñ Ð¾Ð±Ð»Ð°ÑÑ‚ÑŒ</t>
  </si>
  <si>
    <t>ÐœÐ•Ð“Ð ÐŸÐ°Ñ€Ð½Ð°Ñ;Ð´. ÐŸÐ¾Ñ€Ð¾ÑˆÐºÐ¸Ð½Ð¾, ÐšÐÐ”(Ð²Ð½ÐµÑˆÐ½ÐµÐµ ÐºÐ¾Ð»ÑŒÑ†Ð¾) 117 ÐºÐ¼, ÑÑ‚Ñ€. 1;188660;Ð’ÑÐµÐ²Ð¾Ð»Ð¶ÑÐºÐ¸Ð¹ Ñ€Ð°Ð¹Ð¾Ð½;Ð›ÐµÐ½Ð¸Ð½Ð³Ñ€Ð°Ð´ÑÐºÐ°Ñ Ð¾Ð±Ð»Ð°ÑÑ‚ÑŒ</t>
  </si>
  <si>
    <t>RU0617</t>
  </si>
  <si>
    <t>Ð¢Ð¦ Ð“Ð¾Ñ€Ð¸Ð·Ð¾Ð½Ñ‚</t>
  </si>
  <si>
    <t>Rostov-on-Don</t>
  </si>
  <si>
    <t>ÐžÐ¼ÑÐºÐ°Ñ ÑƒÐ»., Ð´Ð¾Ð¼ 2, Ð»Ð¸Ñ‚ÐµÑ€Ð° Ð‘</t>
  </si>
  <si>
    <t>Ð Ð¾ÑÑ‚Ð¾Ð²ÑÐºÐ°Ñ Ð¾Ð±Ð»Ð°ÑÑ‚ÑŒ</t>
  </si>
  <si>
    <t>Ð¢Ð¦ Ð“Ð¾Ñ€Ð¸Ð·Ð¾Ð½Ñ‚;ÐžÐ¼ÑÐºÐ°Ñ ÑƒÐ»., Ð´Ð¾Ð¼ 2, Ð»Ð¸Ñ‚ÐµÑ€Ð° Ð‘;344068;Ð Ð¾ÑÑ‚Ð¾Ð²-Ð½Ð°-Ð”Ð¾Ð½Ñƒ;Ð Ð¾ÑÑ‚Ð¾Ð²ÑÐºÐ°Ñ Ð¾Ð±Ð»Ð°ÑÑ‚ÑŒ</t>
  </si>
  <si>
    <t>RU0618</t>
  </si>
  <si>
    <t>Ð¢Ð¦ Ð“Ð°Ð»ÐµÑ€ÐµÑ</t>
  </si>
  <si>
    <t>Ð›Ð¸Ð³Ð¾Ð²ÑÐºÐ¸Ð¹ 30, Ð»Ð¸Ñ‚ÐµÑ€Ð° Ð.</t>
  </si>
  <si>
    <t>Ð¢Ð¦ Ð“Ð°Ð»ÐµÑ€ÐµÑ;Ð›Ð¸Ð³Ð¾Ð²ÑÐºÐ¸Ð¹ 30, Ð»Ð¸Ñ‚ÐµÑ€Ð° Ð.;191040;Ð¡Ð°Ð½ÐºÑ‚-ÐŸÐµÑ‚ÐµÑ€Ð±ÑƒÑ€Ð³</t>
  </si>
  <si>
    <t>RU0619</t>
  </si>
  <si>
    <t>NW Ð¡Ð¸Ñ‚Ð¸-Ð¿Ð°Ñ€Ðº Ð“Ñ€Ð°Ð´</t>
  </si>
  <si>
    <t>Voronezh</t>
  </si>
  <si>
    <t>ÑƒÐ». ÐŸÐ°Ñ€ÐºÐ¾Ð²Ð°Ñ, 3</t>
  </si>
  <si>
    <t>Ð’Ð¾Ñ€Ð¾Ð½ÐµÐ¶ÑÐºÐ°Ñ Ð¾Ð±Ð»Ð°ÑÑ‚ÑŒ</t>
  </si>
  <si>
    <t>NW Ð¡Ð¸Ñ‚Ð¸-Ð¿Ð°Ñ€Ðº Ð“Ñ€Ð°Ð´;ÑƒÐ». ÐŸÐ°Ñ€ÐºÐ¾Ð²Ð°Ñ, 3;396005;Ð Ð°Ð¼Ð¾Ð½ÑÐºÐ¸Ð¹ Ñ€-Ð½, Ð¿. Ð¡Ð¾Ð»Ð½ÐµÑ‡Ð½Ñ‹Ð¹;Ð’Ð¾Ñ€Ð¾Ð½ÐµÐ¶ÑÐºÐ°Ñ Ð¾Ð±Ð»Ð°ÑÑ‚ÑŒ</t>
  </si>
  <si>
    <t>RU0620</t>
  </si>
  <si>
    <t>Ð¢Ð¦ Ð®Ð¶Ð½Ñ‹Ð¹</t>
  </si>
  <si>
    <t>Kazan</t>
  </si>
  <si>
    <t>Ð¿Ñ€. ÐŸÐ¾Ð±ÐµÐ´Ñ‹, 91</t>
  </si>
  <si>
    <t>Ð ÐµÑÐ¿ÑƒÐ±Ð»Ð¸ÐºÐ° Ð¢Ð°Ñ‚Ð°Ñ€ÑÑ‚Ð°Ð½</t>
  </si>
  <si>
    <t>Ð¢Ð¦ Ð®Ð¶Ð½Ñ‹Ð¹;Ð¿Ñ€. ÐŸÐ¾Ð±ÐµÐ´Ñ‹, 91;420140;ÐšÐ°Ð·Ð°Ð½ÑŒ;Ð ÐµÑÐ¿ÑƒÐ±Ð»Ð¸ÐºÐ° Ð¢Ð°Ñ‚Ð°Ñ€ÑÑ‚Ð°Ð½</t>
  </si>
  <si>
    <t>RU0621</t>
  </si>
  <si>
    <t>Ð¢Ð¦ Ð“Ñ€Ð¸Ð½Ð²Ð¸Ñ‡</t>
  </si>
  <si>
    <t>Ekaterinburg</t>
  </si>
  <si>
    <t>ÑƒÐ». 8 ÐœÐ°Ñ€Ñ‚Ð°, 46</t>
  </si>
  <si>
    <t>Ð¡Ð²ÐµÑ€Ð´Ð»Ð¾Ð²ÑÐºÐ°Ñ Ð¾Ð±Ð»Ð°ÑÑ‚ÑŒ</t>
  </si>
  <si>
    <t>Ð¢Ð¦ Ð“Ñ€Ð¸Ð½Ð²Ð¸Ñ‡;ÑƒÐ». 8 ÐœÐ°Ñ€Ñ‚Ð°, 46;620014;Ð•ÐºÐ°Ñ‚ÐµÑ€Ð¸Ð½Ð±ÑƒÑ€Ð³;Ð¡Ð²ÐµÑ€Ð´Ð»Ð¾Ð²ÑÐºÐ°Ñ Ð¾Ð±Ð»Ð°ÑÑ‚ÑŒ</t>
  </si>
  <si>
    <t>RU0623</t>
  </si>
  <si>
    <t>Ð¢Ð¦ ÐžÐ— ÐœÐ¾Ð»Ð»</t>
  </si>
  <si>
    <t>Krasnodar</t>
  </si>
  <si>
    <t>ÑƒÐ». ÐšÑ€Ñ‹Ð»Ð°Ñ‚Ð°Ñ, Ð´. 2, ÐšÐ°Ñ€Ð°ÑÑƒÐ½ÑÐºÐ¸Ð¹ Ð¾ÐºÑ€ÑƒÐ³</t>
  </si>
  <si>
    <t>ÐšÑ€Ð°ÑÐ½Ð¾Ð´Ð°Ñ€ÑÐºÐ¸Ð¹ ÐºÑ€Ð°Ð¹</t>
  </si>
  <si>
    <t>Ð¢Ð¦ ÐžÐ— ÐœÐ¾Ð»Ð»;ÑƒÐ». ÐšÑ€Ñ‹Ð»Ð°Ñ‚Ð°Ñ, Ð´. 2, ÐšÐ°Ñ€Ð°ÑÑƒÐ½ÑÐºÐ¸Ð¹ Ð¾ÐºÑ€ÑƒÐ³;350023;ÐšÑ€Ð°ÑÐ½Ð¾Ð´Ð°Ñ€;ÐšÑ€Ð°ÑÐ½Ð¾Ð´Ð°Ñ€ÑÐºÐ¸Ð¹ ÐºÑ€Ð°Ð¹</t>
  </si>
  <si>
    <t>RU0624</t>
  </si>
  <si>
    <t>Ð¢Ð Ðš Ð¡Ð‘Ð¡ ÐœÐµÐ³Ð°Ð¼Ð¾Ð»Ð»</t>
  </si>
  <si>
    <t>ÑƒÐ». Ð£Ñ€Ð°Ð»ÑŒÑÐºÐ°Ñ, Ð´Ð¾Ð¼ 79/2</t>
  </si>
  <si>
    <t>Ð¢Ð Ðš Ð¡Ð‘Ð¡ ÐœÐµÐ³Ð°Ð¼Ð¾Ð»Ð»;ÑƒÐ». Ð£Ñ€Ð°Ð»ÑŒÑÐºÐ°Ñ, Ð´Ð¾Ð¼ 79/2;350059;ÐšÑ€Ð°ÑÐ½Ð¾Ð´Ð°Ñ€;ÐšÑ€Ð°ÑÐ½Ð¾Ð´Ð°Ñ€ÑÐºÐ¸Ð¹ ÐºÑ€Ð°Ð¹</t>
  </si>
  <si>
    <t>RU0625</t>
  </si>
  <si>
    <t>Ð¢Ð¦ ÐŸÐ°Ñ€Ðº Ð¥Ð°ÑƒÑ</t>
  </si>
  <si>
    <t>ÐŸÑ€Ð¾ÑÐ¿ÐµÐºÑ‚ Ð¯Ð¼Ð°ÑˆÐµÐ²Ð° 46/33</t>
  </si>
  <si>
    <t>Ð¢Ð¦ ÐŸÐ°Ñ€Ðº Ð¥Ð°ÑƒÑ;ÐŸÑ€Ð¾ÑÐ¿ÐµÐºÑ‚ Ð¯Ð¼Ð°ÑˆÐµÐ²Ð° 46/33;420124;ÐšÐ°Ð·Ð°Ð½ÑŒ;Ð ÐµÑÐ¿ÑƒÐ±Ð»Ð¸ÐºÐ° Ð¢Ð°Ñ‚Ð°Ñ€ÑÑ‚Ð°Ð½</t>
  </si>
  <si>
    <t>RU0626</t>
  </si>
  <si>
    <t>ÑƒÐ». Ð¡ÑƒÐ»Ð¸Ð¼Ð¾Ð²Ð°, Ð´. 50</t>
  </si>
  <si>
    <t>Ð¢Ð¦ ÐŸÐ°Ñ€Ðº Ð¥Ð°ÑƒÑ;ÑƒÐ». Ð¡ÑƒÐ»Ð¸Ð¼Ð¾Ð²Ð°, Ð´. 50;620137;Ð•ÐºÐ°Ñ‚ÐµÑ€Ð¸Ð½Ð±ÑƒÑ€Ð³;Ð¡Ð²ÐµÑ€Ð´Ð»Ð¾Ð²ÑÐºÐ°Ñ Ð¾Ð±Ð»Ð°ÑÑ‚ÑŒ</t>
  </si>
  <si>
    <t>RU0627</t>
  </si>
  <si>
    <t>Ð¢Ð Ð¦ ÐšÐ°Ð»ÐµÐ¹Ð´Ð¾ÑÐºÐ¾Ð¿</t>
  </si>
  <si>
    <t>Ð¡Ñ…Ð¾Ð´Ð½ÐµÐ½ÑÐºÐ°Ñ ÑƒÐ», 56</t>
  </si>
  <si>
    <t>Ð¢Ð Ð¦ ÐšÐ°Ð»ÐµÐ¹Ð´Ð¾ÑÐºÐ¾Ð¿;Ð¡Ñ…Ð¾Ð´Ð½ÐµÐ½ÑÐºÐ°Ñ ÑƒÐ», 56;125363;ÐœÐ¾ÑÐºÐ²Ð°</t>
  </si>
  <si>
    <t>RU0628</t>
  </si>
  <si>
    <t>Togliatti</t>
  </si>
  <si>
    <t>ÐÐ²Ñ‚Ð¾Ð·Ð°Ð²Ð¾Ð´ÑÐºÐ¾Ðµ ÑˆÐ¾ÑÑÐµ, 6</t>
  </si>
  <si>
    <t>Ð¡Ð°Ð¼Ð°Ñ€ÑÐºÐ°Ñ Ð¾Ð±Ð»Ð°ÑÑ‚ÑŒ</t>
  </si>
  <si>
    <t>Ð¢Ð¦ ÐŸÐ°Ñ€Ðº Ð¥Ð°ÑƒÑ;ÐÐ²Ñ‚Ð¾Ð·Ð°Ð²Ð¾Ð´ÑÐºÐ¾Ðµ ÑˆÐ¾ÑÑÐµ, 6;445004;Ð¢Ð¾Ð»ÑŒÑÑ‚Ñ‚Ð¸;Ð¡Ð°Ð¼Ð°Ñ€ÑÐºÐ°Ñ Ð¾Ð±Ð»Ð°ÑÑ‚ÑŒ</t>
  </si>
  <si>
    <t>RU0629</t>
  </si>
  <si>
    <t>SC Marmelad</t>
  </si>
  <si>
    <t>Volgograd</t>
  </si>
  <si>
    <t>110-B Zemlyachky str.</t>
  </si>
  <si>
    <t>Volgograd Region</t>
  </si>
  <si>
    <t>SC Marmelad;110-B Zemlyachky str.;400137;Volgograd;Volgograd Region</t>
  </si>
  <si>
    <t>RU0630</t>
  </si>
  <si>
    <t>ÐœÐ•Ð“Ð Ð£Ñ„Ð°</t>
  </si>
  <si>
    <t>Ufa</t>
  </si>
  <si>
    <t>ÑƒÐ». Ð ÑƒÐ±ÐµÐ¶Ð½Ð°Ñ, 174</t>
  </si>
  <si>
    <t>Ð ÐµÑÐ¿ÑƒÐ±Ð»Ð¸ÐºÐ° Ð‘Ð°ÑˆÐºÐ¾Ñ€Ñ‚Ð¾ÑÑ‚Ð°Ð½</t>
  </si>
  <si>
    <t>ÐœÐ•Ð“Ð Ð£Ñ„Ð°;ÑƒÐ». Ð ÑƒÐ±ÐµÐ¶Ð½Ð°Ñ, 174;450018;Ð£Ñ„Ð°;Ð ÐµÑÐ¿ÑƒÐ±Ð»Ð¸ÐºÐ° Ð‘Ð°ÑˆÐºÐ¾Ñ€Ñ‚Ð¾ÑÑ‚Ð°Ð½</t>
  </si>
  <si>
    <t>RU0631</t>
  </si>
  <si>
    <t>Ð¢Ð¦ ÐšÑ€Ð°ÑÐ½Ð°Ñ Ð¿Ð»Ð¾Ñ‰Ð°Ð´ÑŒ</t>
  </si>
  <si>
    <t>Ð£Ð». Ð”Ð·ÐµÑ€Ð¶Ð¸Ð½ÑÐºÐ¾Ð³Ð¾, 100</t>
  </si>
  <si>
    <t>Ð¢Ð¦ ÐšÑ€Ð°ÑÐ½Ð°Ñ Ð¿Ð»Ð¾Ñ‰Ð°Ð´ÑŒ;Ð£Ð». Ð”Ð·ÐµÑ€Ð¶Ð¸Ð½ÑÐºÐ¾Ð³Ð¾, 100;350019;ÐšÑ€Ð°ÑÐ½Ð¾Ð´Ð°Ñ€;ÐšÑ€Ð°ÑÐ½Ð¾Ð´Ð°Ñ€ÑÐºÐ¸Ð¹ ÐºÑ€Ð°Ð¹</t>
  </si>
  <si>
    <t>RU0632</t>
  </si>
  <si>
    <t>Ð¢Ð¦ Ð¡Ð¸Ñ‚Ð¸ ÐœÐ¾Ð»Ð»</t>
  </si>
  <si>
    <t>ÐšÐ¾Ð»Ð¾Ð¼ÑÐ¶ÑÐºÐ¸Ð¹ Ð¿Ñ€Ð¾ÑÐ¿ÐµÐºÑ‚, Ð´. 17, ÑÑ‚Ñ€.2, Ð»Ð¸Ñ‚. Ð</t>
  </si>
  <si>
    <t>Ð¢Ð¦ Ð¡Ð¸Ñ‚Ð¸ ÐœÐ¾Ð»Ð»;ÐšÐ¾Ð»Ð¾Ð¼ÑÐ¶ÑÐºÐ¸Ð¹ Ð¿Ñ€Ð¾ÑÐ¿ÐµÐºÑ‚, Ð´. 17, ÑÑ‚Ñ€.2, Ð»Ð¸Ñ‚. Ð;197341;Ð¡Ð°Ð½ÐºÑ‚-Ð¿ÐµÑ‚ÐµÑ€Ð±ÑƒÑ€Ð³</t>
  </si>
  <si>
    <t>RU0633</t>
  </si>
  <si>
    <t>ÐœÐ•Ð“Ð ÐÐ¸Ð¶Ð½Ð¸Ð¹ ÐÐ¾Ð²Ð³Ð¾Ñ€Ð¾Ð´</t>
  </si>
  <si>
    <t>Nizhniy Novgorod</t>
  </si>
  <si>
    <t>ÑƒÐ». Ð›ÑŽÐ±Ð¸Ð¼Ð°Ñ, ÑÑ‚Ñ€. 1</t>
  </si>
  <si>
    <t>ÐÐ¸Ð¶ÐµÐ³Ð¾Ñ€Ð¾Ð´ÑÐºÐ°Ñ Ð¾Ð±Ð»Ð°ÑÑ‚ÑŒ</t>
  </si>
  <si>
    <t>ÐœÐ•Ð“Ð ÐÐ¸Ð¶Ð½Ð¸Ð¹ ÐÐ¾Ð²Ð³Ð¾Ñ€Ð¾Ð´;ÑƒÐ». Ð›ÑŽÐ±Ð¸Ð¼Ð°Ñ, ÑÑ‚Ñ€. 1;607686;ÐšÑÑ‚Ð¾Ð²ÑÐºÐ¸Ð¹ Ñ€-Ð½, Ñ. Ð¤ÐµÐ´ÑÐºÐ¾Ð²Ð¾;ÐÐ¸Ð¶ÐµÐ³Ð¾Ñ€Ð¾Ð´ÑÐºÐ°Ñ Ð¾Ð±Ð»Ð°ÑÑ‚ÑŒ</t>
  </si>
  <si>
    <t>RU0634</t>
  </si>
  <si>
    <t>ÐœÐ•Ð“Ð Ð•ÐºÐ°Ñ‚ÐµÑ€Ð¸Ð½Ð±ÑƒÑ€Ð³</t>
  </si>
  <si>
    <t>ÑƒÐ». ÐœÐµÑ‚Ð°Ð»Ð»ÑƒÑ€Ð³Ð¾Ð²,87</t>
  </si>
  <si>
    <t>ÐœÐ•Ð“Ð Ð•ÐºÐ°Ñ‚ÐµÑ€Ð¸Ð½Ð±ÑƒÑ€Ð³;ÑƒÐ». ÐœÐµÑ‚Ð°Ð»Ð»ÑƒÑ€Ð³Ð¾Ð²,87;620043;Ð•ÐºÐ°Ñ‚ÐµÑ€Ð¸Ð½Ð±ÑƒÑ€Ð³;Ð¡Ð²ÐµÑ€Ð´Ð»Ð¾Ð²ÑÐºÐ°Ñ Ð¾Ð±Ð»Ð°ÑÑ‚ÑŒ</t>
  </si>
  <si>
    <t>RU0635</t>
  </si>
  <si>
    <t>Ð¢Ð¦ ÐŸÑ€ÐµÐ¼ÑŒÐµÑ€</t>
  </si>
  <si>
    <t>Ryazan</t>
  </si>
  <si>
    <t>ÐœÐ¾ÑÐºÐ¾Ð²ÑÐºÐ¾Ðµ ÑˆÐ¾ÑÑÐµ, 21</t>
  </si>
  <si>
    <t>Ð ÑÐ·Ð°Ð½ÑÐºÐ°Ñ Ð¾Ð±Ð»Ð°ÑÑ‚ÑŒ</t>
  </si>
  <si>
    <t>Ð¢Ð¦ ÐŸÑ€ÐµÐ¼ÑŒÐµÑ€;ÐœÐ¾ÑÐºÐ¾Ð²ÑÐºÐ¾Ðµ ÑˆÐ¾ÑÑÐµ, 21;390013;Ð ÑÐ·Ð°Ð½ÑŒ;Ð ÑÐ·Ð°Ð½ÑÐºÐ°Ñ Ð¾Ð±Ð»Ð°ÑÑ‚ÑŒ</t>
  </si>
  <si>
    <t>RU0636</t>
  </si>
  <si>
    <t>Surgut</t>
  </si>
  <si>
    <t>ÑƒÐ». Ð®Ð³Ð¾Ñ€ÑÐºÐ¸Ð¹ Ð¢Ñ€Ð°ÐºÑ‚, 38</t>
  </si>
  <si>
    <t>Ð¥Ð°Ð½Ñ‚Ñ‹-ÐœÐ°Ð½ÑÐ¸Ð¹ÑÐºÐ¸Ð¹ Ð¾ÐºÑ€ÑƒÐ³</t>
  </si>
  <si>
    <t>Ð¢Ð¦ Ð¡Ð¸Ñ‚Ð¸ ÐœÐ¾Ð»Ð»;ÑƒÐ». Ð®Ð³Ð¾Ñ€ÑÐºÐ¸Ð¹ Ð¢Ñ€Ð°ÐºÑ‚, 38;628403;Ð¡ÑƒÑ€Ð³ÑƒÑ‚;Ð¥Ð°Ð½Ñ‚Ñ‹-ÐœÐ°Ð½ÑÐ¸Ð¹ÑÐºÐ¸Ð¹ Ð¾ÐºÑ€ÑƒÐ³</t>
  </si>
  <si>
    <t>RU0637</t>
  </si>
  <si>
    <t>ÐœÐ•Ð“Ð Ð¡Ð°Ð¼Ð°Ñ€Ð°</t>
  </si>
  <si>
    <t>Samara</t>
  </si>
  <si>
    <t>ÐœÐ¾ÑÐºÐ¾Ð²ÑÐºÐ¾Ðµ ÑˆÐ¾ÑÑÐµ, 24 ÐºÐ¼, ÑÑ‚Ñ€. 5</t>
  </si>
  <si>
    <t>ÐœÐ•Ð“Ð Ð¡Ð°Ð¼Ð°Ñ€Ð°;ÐœÐ¾ÑÐºÐ¾Ð²ÑÐºÐ¾Ðµ ÑˆÐ¾ÑÑÐµ, 24 ÐºÐ¼, ÑÑ‚Ñ€. 5;443028;Ð¡Ð°Ð¼Ð°Ñ€Ð°;Ð¡Ð°Ð¼Ð°Ñ€ÑÐºÐ°Ñ Ð¾Ð±Ð»Ð°ÑÑ‚ÑŒ</t>
  </si>
  <si>
    <t>RU0638</t>
  </si>
  <si>
    <t>TRC RIO</t>
  </si>
  <si>
    <t>Dmitrovskoe highway, 163 A, bld.1</t>
  </si>
  <si>
    <t>TRC RIO;Dmitrovskoe highway, 163 A, bld.1;127204;Moscow</t>
  </si>
  <si>
    <t>RU0639</t>
  </si>
  <si>
    <t>SC RIO</t>
  </si>
  <si>
    <t>Fuchika street, 2A</t>
  </si>
  <si>
    <t>SC RIO;Fuchika street, 2A;192102;Saint-Petersburg</t>
  </si>
  <si>
    <t>RU0640</t>
  </si>
  <si>
    <t>Ð¢Ð¦ Ð¡ÐµÐ´ÑŒÐ¼Ð¾Ðµ Ð½ÐµÐ±Ð¾</t>
  </si>
  <si>
    <t>Ð£Ð». Ð‘ÐµÑ‚Ð°Ð½ÐºÑƒÑ€Ð°, 1</t>
  </si>
  <si>
    <t>Ð¢Ð¦ Ð¡ÐµÐ´ÑŒÐ¼Ð¾Ðµ Ð½ÐµÐ±Ð¾;Ð£Ð». Ð‘ÐµÑ‚Ð°Ð½ÐºÑƒÑ€Ð°, 1;603086;ÐÐ¸Ð¶Ð½Ð¸Ð¹ ÐÐ¾Ð²Ð³Ð¾Ñ€Ð¾Ð´;ÐÐ¸Ð¶ÐµÐ³Ð¾Ñ€Ð¾Ð´ÑÐºÐ°Ñ Ð¾Ð±Ð»Ð°ÑÑ‚ÑŒ</t>
  </si>
  <si>
    <t>RU0641</t>
  </si>
  <si>
    <t>Piter Land SC</t>
  </si>
  <si>
    <t>Primorskiy highway 72</t>
  </si>
  <si>
    <t>Piter Land SC;Primorskiy highway 72;197183;Saint-Petersburg</t>
  </si>
  <si>
    <t>RU0642</t>
  </si>
  <si>
    <t>Ð¢Ð¦ ÐœÐ¾Ñ€ÐµÐ¼Ð¾Ð»Ð»</t>
  </si>
  <si>
    <t>Sochi</t>
  </si>
  <si>
    <t>Ñ€-Ð½. Ð¦ÐµÐ½Ñ‚Ñ€Ð°Ð»ÑŒÐ½Ñ‹Ð¹, ÑƒÐ». ÐÐ¾Ð²Ð°Ñ Ð—Ð°Ñ€Ñ, 7</t>
  </si>
  <si>
    <t>Ð¢Ð¦ ÐœÐ¾Ñ€ÐµÐ¼Ð¾Ð»Ð»;Ñ€-Ð½. Ð¦ÐµÐ½Ñ‚Ñ€Ð°Ð»ÑŒÐ½Ñ‹Ð¹, ÑƒÐ». ÐÐ¾Ð²Ð°Ñ Ð—Ð°Ñ€Ñ, 7;354068;Ð¡Ð¾Ñ‡Ð¸;ÐšÑ€Ð°ÑÐ½Ð¾Ð´Ð°Ñ€ÑÐºÐ¸Ð¹ ÐºÑ€Ð°Ð¹</t>
  </si>
  <si>
    <t>RU0644</t>
  </si>
  <si>
    <t>Ð¢Ð¦ Ð Ð°Ð´ÑƒÐ³Ð°</t>
  </si>
  <si>
    <t>ÑƒÐ». Ð ÐµÐ¿Ð¸Ð½Ð°, Ð´.94,</t>
  </si>
  <si>
    <t>Ð¢Ð¦ Ð Ð°Ð´ÑƒÐ³Ð°;ÑƒÐ». Ð ÐµÐ¿Ð¸Ð½Ð°, Ð´.94,;620043;Ð•ÐºÐ°Ñ‚ÐµÑ€Ð¸Ð½Ð±ÑƒÑ€Ð³;Ð¡Ð²ÐµÑ€Ð´Ð»Ð¾Ð²ÑÐºÐ°Ñ Ð¾Ð±Ð»Ð°ÑÑ‚ÑŒ</t>
  </si>
  <si>
    <t>RU0645</t>
  </si>
  <si>
    <t>Ð¢Ð¦ Ð¥Ð¾Ñ€Ð¾ÑˆÐ¾</t>
  </si>
  <si>
    <t>Ð¥Ð¾Ñ€Ð¾ÑˆÐµÐ²ÑÐºÐ¾Ðµ ÑˆÐ¾ÑÑÐµ, Ð´.27</t>
  </si>
  <si>
    <t>Ð¢Ð¦ Ð¥Ð¾Ñ€Ð¾ÑˆÐ¾;Ð¥Ð¾Ñ€Ð¾ÑˆÐµÐ²ÑÐºÐ¾Ðµ ÑˆÐ¾ÑÑÐµ, Ð´.27;141008;ÐœÐ¾ÑÐºÐ²Ð°</t>
  </si>
  <si>
    <t>RU0646</t>
  </si>
  <si>
    <t>Ð¢Ð¦ ÐžÑ‚Ñ€Ð°Ð´Ð°</t>
  </si>
  <si>
    <t>7 ÐºÐ¼ ÐŸÑÑ‚Ð½Ð¸Ñ†ÐºÐ¾Ð³Ð¾ ÑˆÐ¾ÑÑÐµ, ÑÑ‚Ñ€. 2</t>
  </si>
  <si>
    <t>Ð¢Ð¦ ÐžÑ‚Ñ€Ð°Ð´Ð°;7 ÐºÐ¼ ÐŸÑÑ‚Ð½Ð¸Ñ†ÐºÐ¾Ð³Ð¾ ÑˆÐ¾ÑÑÐµ, ÑÑ‚Ñ€. 2;ÐœÐ¾ÑÐºÐ²Ð°;ÐšÑ€Ð°ÑÐ½Ð¾Ð³Ð¾Ñ€ÑÐº;ÐœÐ¾ÑÐºÐ¾Ð²ÑÐºÐ°Ñ Ð¾Ð±Ð»Ð°ÑÑ‚ÑŒ</t>
  </si>
  <si>
    <t>RU0647</t>
  </si>
  <si>
    <t>Ð¢Ð¦ ÐšÐ¾Ð»Ð»Ð°Ð¶</t>
  </si>
  <si>
    <t>Penza</t>
  </si>
  <si>
    <t>ÐŸÑ€Ð¾ÑÐ¿ÐµÐºÑ‚ ÑÑ‚Ñ€Ð¾Ð¸Ñ‚ÐµÐ»ÐµÐ¹, 1Ð</t>
  </si>
  <si>
    <t>ÐŸÐµÐ½Ð·ÐµÐ½ÑÐºÐ°Ñ Ð¾Ð±Ð»Ð°ÑÑ‚ÑŒ</t>
  </si>
  <si>
    <t>Ð¢Ð¦ ÐšÐ¾Ð»Ð»Ð°Ð¶;ÐŸÑ€Ð¾ÑÐ¿ÐµÐºÑ‚ ÑÑ‚Ñ€Ð¾Ð¸Ñ‚ÐµÐ»ÐµÐ¹, 1Ð;440066;ÐŸÐµÐ½Ð·Ð°;ÐŸÐµÐ½Ð·ÐµÐ½ÑÐºÐ°Ñ Ð¾Ð±Ð»Ð°ÑÑ‚ÑŒ</t>
  </si>
  <si>
    <t>RU0648</t>
  </si>
  <si>
    <t>Ð¢Ð¦ ÐÑƒÑ€Ð°</t>
  </si>
  <si>
    <t>ÐÐµÑ„Ñ‚ÐµÑŽÐ³Ð°Ð½ÑÐºÐ¾Ðµ Ñˆ,1</t>
  </si>
  <si>
    <t>Ð¢Ð¦ ÐÑƒÑ€Ð°;ÐÐµÑ„Ñ‚ÐµÑŽÐ³Ð°Ð½ÑÐºÐ¾Ðµ Ñˆ,1;628406;Ð¡ÑƒÑ€Ð³ÑƒÑ‚;Ð¥Ð°Ð½Ñ‚Ñ‹-ÐœÐ°Ð½ÑÐ¸Ð¹ÑÐºÐ¸Ð¹ Ð¾ÐºÑ€ÑƒÐ³</t>
  </si>
  <si>
    <t>RU0649</t>
  </si>
  <si>
    <t>Ð¢Ð¦ ÐÐ²Ñ€Ð¾Ñ€Ð°</t>
  </si>
  <si>
    <t>ÐÑÑ€Ð¾Ð´Ñ€Ð¾Ð¼Ð½Ð°Ñ, 47Ð</t>
  </si>
  <si>
    <t>Ð¢Ð¦ ÐÐ²Ñ€Ð¾Ñ€Ð°;ÐÑÑ€Ð¾Ð´Ñ€Ð¾Ð¼Ð½Ð°Ñ, 47Ð;443070;Ð¡Ð°Ð¼Ð°Ñ€Ð°;Ð¡Ð°Ð¼Ð°Ñ€ÑÐºÐ°Ñ Ð¾Ð±Ð»Ð°ÑÑ‚ÑŒ</t>
  </si>
  <si>
    <t>RU0650</t>
  </si>
  <si>
    <t>Ð¢Ð¦ ÐŸÐ»Ð°Ð½ÐµÑ‚Ð°</t>
  </si>
  <si>
    <t>Ð£Ð». Ð­Ð½Ñ‚ÑƒÐ·Ð¸Ð°ÑÑ‚Ð¾Ð², Ð´.20</t>
  </si>
  <si>
    <t>Ð¢Ð¦ ÐŸÐ»Ð°Ð½ÐµÑ‚Ð°;Ð£Ð». Ð­Ð½Ñ‚ÑƒÐ·Ð¸Ð°ÑÑ‚Ð¾Ð², Ð´.20;450096;Ð£Ñ„Ð°;Ð ÐµÑÐ¿ÑƒÐ±Ð»Ð¸ÐºÐ° Ð‘Ð°ÑˆÐºÐ¾Ñ€Ñ‚Ð¾ÑÑ‚Ð°Ð½</t>
  </si>
  <si>
    <t>RU0651</t>
  </si>
  <si>
    <t>Ð¢Ð¦ Ð“Ð°Ð»ÐµÑ€ÐµÑ Ð’Ð¾ÑÐ¶</t>
  </si>
  <si>
    <t>Tyumen</t>
  </si>
  <si>
    <t>ÑƒÐ». Ð“ÐµÑ€Ñ†ÐµÐ½Ð°, 94</t>
  </si>
  <si>
    <t>Ð¢ÑŽÐ¼ÐµÐ½ÑÐºÐ°Ñ Ð¾Ð±Ð»Ð°ÑÑ‚ÑŒ</t>
  </si>
  <si>
    <t>Ð¢Ð¦ Ð“Ð°Ð»ÐµÑ€ÐµÑ Ð’Ð¾ÑÐ¶;ÑƒÐ». Ð“ÐµÑ€Ñ†ÐµÐ½Ð°, 94;625000;Ð¢ÑŽÐ¼ÐµÐ½ÑŒ;Ð¢ÑŽÐ¼ÐµÐ½ÑÐºÐ°Ñ Ð¾Ð±Ð»Ð°ÑÑ‚ÑŒ</t>
  </si>
  <si>
    <t>RU0652</t>
  </si>
  <si>
    <t>Ð¢Ð¦ ÐœÐ¾ÑÐºÐ²Ð¾Ñ€ÐµÑ‡ÑŒÐµ</t>
  </si>
  <si>
    <t>ÐšÐ°ÑˆÐ¸Ñ€ÑÐºÐ¾Ðµ ÑˆÐ¾ÑÑÐµ, 26</t>
  </si>
  <si>
    <t>Ð¢Ð¦ ÐœÐ¾ÑÐºÐ²Ð¾Ñ€ÐµÑ‡ÑŒÐµ;ÐšÐ°ÑˆÐ¸Ñ€ÑÐºÐ¾Ðµ ÑˆÐ¾ÑÑÐµ, 26;115478;ÐœÐ¾ÑÐºÐ²Ð°</t>
  </si>
  <si>
    <t>RU0653</t>
  </si>
  <si>
    <t>Ð¢Ð Ð¦ Ð“Ð»Ð¾Ð±ÑƒÑ</t>
  </si>
  <si>
    <t>ÑƒÐ». Ð©ÐµÑ€Ð±Ð°ÐºÐ¾Ð²Ð°, 4</t>
  </si>
  <si>
    <t>Ð¢Ð Ð¦ Ð“Ð»Ð¾Ð±ÑƒÑ;ÑƒÐ». Ð©ÐµÑ€Ð±Ð°ÐºÐ¾Ð²Ð°, 4;620076;Ð•ÐºÐ°Ñ‚ÐµÑ€Ð¸Ð½Ð±ÑƒÑ€Ð³;Ð¡Ð²ÐµÑ€Ð´Ð»Ð¾Ð²ÑÐºÐ°Ñ Ð¾Ð±Ð»Ð°ÑÑ‚ÑŒ</t>
  </si>
  <si>
    <t>RU0654</t>
  </si>
  <si>
    <t>Ð¢Ð¦ ÐšÑ€Ð°ÑÐ½Ñ‹Ð¹ ÐºÐ¸Ñ‚</t>
  </si>
  <si>
    <t>Mytishchi</t>
  </si>
  <si>
    <t>Ð¨Ð°Ñ€Ð°Ð¿Ð¾Ð²ÑÐºÐ¸Ð¹ Ð¿Ñ€-Ð´, Ð²Ð».2</t>
  </si>
  <si>
    <t>Ð¢Ð¦ ÐšÑ€Ð°ÑÐ½Ñ‹Ð¹ ÐºÐ¸Ñ‚;Ð¨Ð°Ñ€Ð°Ð¿Ð¾Ð²ÑÐºÐ¸Ð¹ Ð¿Ñ€-Ð´, Ð²Ð».2;141006;ÐœÑ‹Ñ‚Ð¸Ñ‰Ð¸;ÐœÐ¾ÑÐºÐ¾Ð²ÑÐºÐ°Ñ Ð¾Ð±Ð»Ð°ÑÑ‚ÑŒ</t>
  </si>
  <si>
    <t>RU0655</t>
  </si>
  <si>
    <t>Ð¢Ð¦ Ð›Ð¾Ð½Ð´Ð¾Ð½ ÐœÐ¾Ð»Ð»</t>
  </si>
  <si>
    <t>ÑƒÐ». ÐšÐ¾Ð»Ð»Ð¾Ð½Ñ‚Ð°Ð¹, Ð´.3</t>
  </si>
  <si>
    <t>Ð¢Ð¦ Ð›Ð¾Ð½Ð´Ð¾Ð½ ÐœÐ¾Ð»Ð»;ÑƒÐ». ÐšÐ¾Ð»Ð»Ð¾Ð½Ñ‚Ð°Ð¹, Ð´.3;193313;Ð¡Ð°Ð½ÐºÑ‚-ÐŸÐµÑ‚ÐµÑ€Ð±ÑƒÑ€Ð³</t>
  </si>
  <si>
    <t>RU0656</t>
  </si>
  <si>
    <t>Ð¢Ð¦ Ð–ÐµÐ¼Ñ‡ÑƒÐ¶Ð½Ð°Ñ ÐŸÐ»Ð°Ð·Ð°</t>
  </si>
  <si>
    <t>ÐŸÐµÑ‚ÐµÑ€Ð³Ð¾Ñ„ÑÐºÐ¾Ðµ ÑˆÐ¾ÑÑÐµ 51</t>
  </si>
  <si>
    <t>Ð¢Ð¦ Ð–ÐµÐ¼Ñ‡ÑƒÐ¶Ð½Ð°Ñ ÐŸÐ»Ð°Ð·Ð°;ÐŸÐµÑ‚ÐµÑ€Ð³Ð¾Ñ„ÑÐºÐ¾Ðµ ÑˆÐ¾ÑÑÐµ 51;198206;Ð¡Ð°Ð½ÐºÑ‚-ÐŸÐµÑ‚ÐµÑ€Ð±ÑƒÑ€Ð³</t>
  </si>
  <si>
    <t>RU0657</t>
  </si>
  <si>
    <t>Ð¢Ð Ð¦ Ð Ð˜Ðž</t>
  </si>
  <si>
    <t>Ð›ÐµÐ½Ð¸Ð½ÑÐºÐ¸Ð¹ Ð¿Ñ€Ð¾ÑÐ¿ÐµÐºÑ‚, 109</t>
  </si>
  <si>
    <t>Ð¢Ð Ð¦ Ð Ð˜Ðž;Ð›ÐµÐ½Ð¸Ð½ÑÐºÐ¸Ð¹ Ð¿Ñ€Ð¾ÑÐ¿ÐµÐºÑ‚, 109;119421;ÐœÐ¾ÑÐºÐ²Ð°;ÐœÐ¾ÑÐºÐ¾Ð²ÑÐºÐ°Ñ Ð¾Ð±Ð»Ð°ÑÑ‚ÑŒ</t>
  </si>
  <si>
    <t>RU0658</t>
  </si>
  <si>
    <t>Ð¢Ð¦ ÐÐºÐ²Ð°Ñ€ÐµÐ»ÑŒ</t>
  </si>
  <si>
    <t>Ð£Ð½Ð¸Ð²ÐµÑ€ÑÐ¸Ñ‚ÐµÑ‚ÑÐºÐ¸Ð¹ Ð¿Ñ€Ð¾ÑÐ¿ÐµÐºÑ‚, Ð²Ð»Ð°Ð´ÐµÐ½Ð¸Ðµ 107</t>
  </si>
  <si>
    <t>Ð’Ð¾Ð»Ð³Ð¾Ð³Ñ€Ð°Ð´ÑÐºÐ°Ñ Ð¾Ð±Ð»Ð°ÑÑ‚ÑŒ</t>
  </si>
  <si>
    <t>Ð¢Ð¦ ÐÐºÐ²Ð°Ñ€ÐµÐ»ÑŒ;Ð£Ð½Ð¸Ð²ÐµÑ€ÑÐ¸Ñ‚ÐµÑ‚ÑÐºÐ¸Ð¹ Ð¿Ñ€Ð¾ÑÐ¿ÐµÐºÑ‚, Ð²Ð»Ð°Ð´ÐµÐ½Ð¸Ðµ 107;400062;Ð’Ð¾Ð»Ð³Ð¾Ð³Ñ€Ð°Ð´;Ð’Ð¾Ð»Ð³Ð¾Ð³Ñ€Ð°Ð´ÑÐºÐ°Ñ Ð¾Ð±Ð»Ð°ÑÑ‚ÑŒ</t>
  </si>
  <si>
    <t>RU0659</t>
  </si>
  <si>
    <t>ÐœÐ•Ð“Ð Ð Ð¾ÑÑ‚Ð¾Ð²-Ð½Ð°-Ð”Ð¾Ð½Ñƒ</t>
  </si>
  <si>
    <t>Ð¿Ñ€. ÐÐºÑÐ°Ð¹ÑÐºÐ¸Ð¹, 23</t>
  </si>
  <si>
    <t>ÐœÐ•Ð“Ð Ð Ð¾ÑÑ‚Ð¾Ð²-Ð½Ð°-Ð”Ð¾Ð½Ñƒ;Ð¿Ñ€. ÐÐºÑÐ°Ð¹ÑÐºÐ¸Ð¹, 23;346720;ÐÐºÑÐ°Ð¹;Ð Ð¾ÑÑ‚Ð¾Ð²ÑÐºÐ°Ñ Ð¾Ð±Ð»Ð°ÑÑ‚ÑŒ</t>
  </si>
  <si>
    <t>RU0660</t>
  </si>
  <si>
    <t>ÐœÐ•Ð“Ð ÐÐ´Ñ‹Ð³ÐµÑ</t>
  </si>
  <si>
    <t>Ð¢ÑƒÑ€Ð³ÐµÐ½ÐµÐ²ÑÐºÐ¾Ðµ ÑˆÐ¾ÑÑÐµ, Ð´.27</t>
  </si>
  <si>
    <t>Ð Ð°ÑÐ¿ÑƒÐ±Ð»Ð¸ÐºÐ° ÐÐ´Ñ‹Ð³ÐµÑ</t>
  </si>
  <si>
    <t>ÐœÐ•Ð“Ð ÐÐ´Ñ‹Ð³ÐµÑ;Ð¢ÑƒÑ€Ð³ÐµÐ½ÐµÐ²ÑÐºÐ¾Ðµ ÑˆÐ¾ÑÑÐµ, Ð´.27;385132;ÐÐ¾Ð²Ð°Ñ ÐÐ´Ñ‹Ð³ÐµÑ Ð°ÑƒÐ»;Ð Ð°ÑÐ¿ÑƒÐ±Ð»Ð¸ÐºÐ° ÐÐ´Ñ‹Ð³ÐµÑ</t>
  </si>
  <si>
    <t>RU0661</t>
  </si>
  <si>
    <t>Ð¢Ð¦ Ð Ð°Ð¹ÐºÐ¸Ð½ ÐŸÐ»Ð°Ð·Ð°</t>
  </si>
  <si>
    <t>Ð¨ÐµÑ€ÐµÐ¼ÐµÑ‚ÑŒÐµÐ²ÑÐºÐ°Ñ 6/1</t>
  </si>
  <si>
    <t>Ð¢Ð¦ Ð Ð°Ð¹ÐºÐ¸Ð½ ÐŸÐ»Ð°Ð·Ð°;Ð¨ÐµÑ€ÐµÐ¼ÐµÑ‚ÑŒÐµÐ²ÑÐºÐ°Ñ 6/1;129594;ÐœÐ¾ÑÐºÐ²Ð°;ÐœÐ¾ÑÐºÐ¾Ð²ÑÐºÐ°Ñ Ð¾Ð±Ð»Ð°ÑÑ‚ÑŒ</t>
  </si>
  <si>
    <t>RU0662</t>
  </si>
  <si>
    <t>Ð¢Ð¦ Ð“Ð¾Ñ€ÐºÐ¸</t>
  </si>
  <si>
    <t>Chelyabinsk</t>
  </si>
  <si>
    <t>ÑƒÐ». ÐÑ€Ñ‚Ð¸Ð»Ð»ÐµÑ€Ð¸Ð¹ÑÐºÐ°Ñ, 136</t>
  </si>
  <si>
    <t>Ð§ÐµÐ»ÑÐ±Ð¸Ð½ÑÐºÐ°Ñ Ð¾Ð±Ð»Ð°ÑÑ‚ÑŒ</t>
  </si>
  <si>
    <t>Ð¢Ð¦ Ð“Ð¾Ñ€ÐºÐ¸;ÑƒÐ». ÐÑ€Ñ‚Ð¸Ð»Ð»ÐµÑ€Ð¸Ð¹ÑÐºÐ°Ñ, 136;454007;Ð§ÐµÐ»ÑÐ±Ð¸Ð½ÑÐº;Ð§ÐµÐ»ÑÐ±Ð¸Ð½ÑÐºÐ°Ñ Ð¾Ð±Ð»Ð°ÑÑ‚ÑŒ</t>
  </si>
  <si>
    <t>RU0663</t>
  </si>
  <si>
    <t>Ð¢Ð Ð¦ ÐœÐ°Ñ€Ð¼ÐµÐ»Ð°Ð´</t>
  </si>
  <si>
    <t>Taganrog</t>
  </si>
  <si>
    <t>Ð¿Ð»Ð¾Ñ‰Ð°Ð´ÑŒ ÐœÐ¸Ñ€Ð° 7</t>
  </si>
  <si>
    <t>Ð¢Ð Ð¦ ÐœÐ°Ñ€Ð¼ÐµÐ»Ð°Ð´;Ð¿Ð»Ð¾Ñ‰Ð°Ð´ÑŒ ÐœÐ¸Ñ€Ð° 7;347942;Ð¢Ð°Ð³Ð°Ð½Ñ€Ð¾Ð³;Ð Ð¾ÑÑ‚Ð¾Ð²ÑÐºÐ°Ñ Ð¾Ð±Ð»Ð°ÑÑ‚ÑŒ</t>
  </si>
  <si>
    <t>RU0664</t>
  </si>
  <si>
    <t>Yaroslavl</t>
  </si>
  <si>
    <t>ÑƒÐ». ÐŸÐ¾Ð±ÐµÐ´Ñ‹, 41</t>
  </si>
  <si>
    <t>Ð¯Ñ€Ð¾ÑÐ»Ð°Ð²ÑÐºÐ°Ñ Ð¾Ð±Ð»Ð°ÑÑ‚ÑŒ</t>
  </si>
  <si>
    <t>Ð¢Ð¦ ÐÑƒÑ€Ð°;ÑƒÐ». ÐŸÐ¾Ð±ÐµÐ´Ñ‹, 41;150000;Ð¯Ñ€Ð¾ÑÐ»Ð°Ð²Ð»ÑŒ;Ð¯Ñ€Ð¾ÑÐ»Ð°Ð²ÑÐºÐ°Ñ Ð¾Ð±Ð»Ð°ÑÑ‚ÑŒ</t>
  </si>
  <si>
    <t>RU0665</t>
  </si>
  <si>
    <t>Ð¢Ð¦ ÐÐ¼Ð±Ð°Ñ€</t>
  </si>
  <si>
    <t>Ð®Ð¶Ð½Ð¾Ðµ ÑˆÐ¾ÑÑÐµ, 5</t>
  </si>
  <si>
    <t>Ð¢Ð¦ ÐÐ¼Ð±Ð°Ñ€;Ð®Ð¶Ð½Ð¾Ðµ ÑˆÐ¾ÑÑÐµ, 5;443085;Ð¡Ð°Ð¼Ð°Ñ€Ð°;Ð¡Ð°Ð¼Ð°Ñ€ÑÐºÐ°Ñ Ð¾Ð±Ð»Ð°ÑÑ‚ÑŒ</t>
  </si>
  <si>
    <t>RU0667</t>
  </si>
  <si>
    <t>Ð¢Ð¦ Ð“Ð°Ð»ÐµÑ€ÐµÑ ÐšÑ€Ð°ÑÐ½Ð¾Ð´Ð°Ñ€</t>
  </si>
  <si>
    <t>ÑƒÐ». Ð’. Ð“Ð¾Ð»Ð¾Ð²Ð°Ñ‚Ð¾Ð³Ð¾, 313</t>
  </si>
  <si>
    <t>Ð¢Ð¦ Ð“Ð°Ð»ÐµÑ€ÐµÑ ÐšÑ€Ð°ÑÐ½Ð¾Ð´Ð°Ñ€;ÑƒÐ». Ð’. Ð“Ð¾Ð»Ð¾Ð²Ð°Ñ‚Ð¾Ð³Ð¾, 313;350000;ÐšÑ€Ð°ÑÐ½Ð¾Ð´Ð°Ñ€;ÐšÑ€Ð°ÑÐ½Ð¾Ð´Ð°Ñ€ÑÐºÐ¸Ð¹ ÐºÑ€Ð°Ð¹</t>
  </si>
  <si>
    <t>RU0668</t>
  </si>
  <si>
    <t>ÐœÐ•Ð“Ð ÐšÐ°Ð·Ð°Ð½ÑŒ</t>
  </si>
  <si>
    <t>ÐŸÑ€Ð¾ÑÐ¿ÐµÐºÑ‚ ÐŸÐ¾Ð±ÐµÐ´Ñ‹, 141</t>
  </si>
  <si>
    <t>ÐœÐ•Ð“Ð ÐšÐ°Ð·Ð°Ð½ÑŒ;ÐŸÑ€Ð¾ÑÐ¿ÐµÐºÑ‚ ÐŸÐ¾Ð±ÐµÐ´Ñ‹, 141;420100;ÐšÐ°Ð·Ð°Ð½ÑŒ;Ð ÐµÑÐ¿ÑƒÐ±Ð»Ð¸ÐºÐ° Ð¢Ð°Ñ‚Ð°Ñ€ÑÑ‚Ð°Ð½</t>
  </si>
  <si>
    <t>RU0669</t>
  </si>
  <si>
    <t>Ð¢Ð¦ Ð ÐµÑƒÑ‚Ð¾Ð² ÐŸÐ°Ñ€Ðº</t>
  </si>
  <si>
    <t>Reutov</t>
  </si>
  <si>
    <t>ÐÐ¾ÑÐ¾Ð²Ð¸Ñ…Ð¸Ð½ÑÐºÐ¾Ðµ ÑˆÐ¾ÑÑÐµ, 45</t>
  </si>
  <si>
    <t>Ð¢Ð¦ Ð ÐµÑƒÑ‚Ð¾Ð² ÐŸÐ°Ñ€Ðº;ÐÐ¾ÑÐ¾Ð²Ð¸Ñ…Ð¸Ð½ÑÐºÐ¾Ðµ ÑˆÐ¾ÑÑÐµ, 45;143969;Ð ÐµÑƒÑ‚Ð¾Ð²;ÐœÐ¾ÑÐºÐ¾Ð²ÑÐºÐ°Ñ Ð¾Ð±Ð»Ð°ÑÑ‚ÑŒ</t>
  </si>
  <si>
    <t>RU0670</t>
  </si>
  <si>
    <t>Ð¢Ð Ðš Ð’ÐµÐ³Ð°Ñ ÐšÑ€Ð¾ÐºÑƒÑ Ð¡Ð¸Ñ‚Ð¸</t>
  </si>
  <si>
    <t>ÑƒÐ». ÐœÐµÐ¶Ð´ÑƒÐ½Ð°Ñ€Ð¾Ð´Ð½Ð°Ñ, 12, Ð²Ñ…. 1</t>
  </si>
  <si>
    <t>Ð¢Ð Ðš Ð’ÐµÐ³Ð°Ñ ÐšÑ€Ð¾ÐºÑƒÑ Ð¡Ð¸Ñ‚Ð¸;ÑƒÐ». ÐœÐµÐ¶Ð´ÑƒÐ½Ð°Ñ€Ð¾Ð´Ð½Ð°Ñ, 12, Ð²Ñ…. 1;143401;ÐšÑ€Ð°ÑÐ½Ð¾Ð³Ð¾Ñ€ÑÐºÐ¸Ð¹ Ñ€-Ð½, Ð³. ÐšÑ€Ð°ÑÐ½Ð¾Ð³Ð¾Ñ€ÑÐº;ÐœÐ¾ÑÐºÐ¾Ð²ÑÐºÐ°Ñ Ð¾Ð±Ð»Ð°ÑÑ‚ÑŒ</t>
  </si>
  <si>
    <t>RU0671</t>
  </si>
  <si>
    <t>Ð¢Ð Ðš ÐœÐ¾Ð´Ð½Ñ‹Ð¹ ÐºÐ²Ð°Ñ€Ñ‚Ð°Ð»</t>
  </si>
  <si>
    <t>Irkutsk</t>
  </si>
  <si>
    <t>Ð£Ð». 3-Ð³Ð¾ Ð˜ÑŽÐ»Ñ, 25</t>
  </si>
  <si>
    <t>Ð˜Ñ€ÐºÑƒÑ‚ÑÐºÐ°Ñ Ð¾Ð±Ð»Ð°ÑÑ‚ÑŒ</t>
  </si>
  <si>
    <t>Ð¢Ð Ðš ÐœÐ¾Ð´Ð½Ñ‹Ð¹ ÐºÐ²Ð°Ñ€Ñ‚Ð°Ð»;Ð£Ð». 3-Ð³Ð¾ Ð˜ÑŽÐ»Ñ, 25;664022;Ð˜Ñ€ÐºÑƒÑ‚ÑÐº;Ð˜Ñ€ÐºÑƒÑ‚ÑÐºÐ°Ñ Ð¾Ð±Ð»Ð°ÑÑ‚ÑŒ</t>
  </si>
  <si>
    <t>RU0672</t>
  </si>
  <si>
    <t>Ð¢Ð¦ Ð˜Ð·ÑƒÐ¼Ñ€ÑƒÐ´Ð½Ñ‹Ð¹ Ð³Ð¾Ñ€Ð¾Ð´</t>
  </si>
  <si>
    <t>Tomsk</t>
  </si>
  <si>
    <t>ÐšÐ¾Ð¼ÑÐ¾Ð¼Ð¾Ð»ÑŒÑÐºÐ¸Ð¹ Ð¿Ñ€Ð¾ÑÐ¿ÐµÐºÑ‚, 13Ð‘</t>
  </si>
  <si>
    <t>Ð¢Ð¾Ð¼ÑÐºÐ°Ñ Ð¾Ð±Ð»Ð°ÑÑ‚ÑŒ</t>
  </si>
  <si>
    <t>Ð¢Ð¦ Ð˜Ð·ÑƒÐ¼Ñ€ÑƒÐ´Ð½Ñ‹Ð¹ Ð³Ð¾Ñ€Ð¾Ð´;ÐšÐ¾Ð¼ÑÐ¾Ð¼Ð¾Ð»ÑŒÑÐºÐ¸Ð¹ Ð¿Ñ€Ð¾ÑÐ¿ÐµÐºÑ‚, 13Ð‘;634021;Ð¢Ð¾Ð¼ÑÐº;Ð¢Ð¾Ð¼ÑÐºÐ°Ñ Ð¾Ð±Ð»Ð°ÑÑ‚ÑŒ</t>
  </si>
  <si>
    <t>RU0673</t>
  </si>
  <si>
    <t>MEGA Omsk</t>
  </si>
  <si>
    <t>Omsk</t>
  </si>
  <si>
    <t>Architectural blvrd, 35</t>
  </si>
  <si>
    <t>Omsk region</t>
  </si>
  <si>
    <t>MEGA Omsk;Architectural blvrd, 35;644074;Omsk;Omsk region</t>
  </si>
  <si>
    <t>RU0674</t>
  </si>
  <si>
    <t>Ð¢Ð¦ Ð•Ð²Ñ€Ð¾Ð¿Ð¾Ð»Ð¸Ñ</t>
  </si>
  <si>
    <t>ÐŸÐ¾Ð»ÑŽÑÑ‚Ñ€Ð¾Ð²ÑÐºÐ¸Ð¹ Ð¿Ñ€Ð¾ÑÐ¿ÐµÐºÑ‚, 84Ð</t>
  </si>
  <si>
    <t>Ð¢Ð¦ Ð•Ð²Ñ€Ð¾Ð¿Ð¾Ð»Ð¸Ñ;ÐŸÐ¾Ð»ÑŽÑÑ‚Ñ€Ð¾Ð²ÑÐºÐ¸Ð¹ Ð¿Ñ€Ð¾ÑÐ¿ÐµÐºÑ‚, 84Ð;194100;Ð¡Ð°Ð½ÐºÑ‚-Ð¿ÐµÑ‚ÐµÑ€Ð±ÑƒÑ€Ð³</t>
  </si>
  <si>
    <t>RU0675</t>
  </si>
  <si>
    <t>Krasnoyarsk</t>
  </si>
  <si>
    <t>ÑƒÐ». 9 ÐœÐ°Ñ, 77</t>
  </si>
  <si>
    <t>ÐšÑ€Ð°ÑÐ½Ð¾ÑÑ€ÑÐºÐ¸Ð¹ ÐºÑ€Ð°Ð¹</t>
  </si>
  <si>
    <t>Ð¢Ð¦ ÐŸÐ»Ð°Ð½ÐµÑ‚Ð°;ÑƒÐ». 9 ÐœÐ°Ñ, 77;660127;ÐšÑ€Ð°ÑÐ½Ð¾ÑÑ€ÑÐº;ÐšÑ€Ð°ÑÐ½Ð¾ÑÑ€ÑÐºÐ¸Ð¹ ÐºÑ€Ð°Ð¹</t>
  </si>
  <si>
    <t>RU0676</t>
  </si>
  <si>
    <t>Ð¢Ð Ð¦ ÐÐµÐ±Ð¾</t>
  </si>
  <si>
    <t>Ð‘Ð¾Ð»ÑŒÑˆÐ°Ñ ÐŸÐ¾ÐºÑ€Ð¾Ð²ÑÐºÐ°Ñ ÑƒÐ»Ð¸Ñ†Ð°, 82</t>
  </si>
  <si>
    <t>Ð¢Ð Ð¦ ÐÐµÐ±Ð¾;Ð‘Ð¾Ð»ÑŒÑˆÐ°Ñ ÐŸÐ¾ÐºÑ€Ð¾Ð²ÑÐºÐ°Ñ ÑƒÐ»Ð¸Ñ†Ð°, 82;603000;ÐÐ¸Ð¶Ð½Ð¸Ð¹ ÐÐ¾Ð²Ð³Ð¾Ñ€Ð¾Ð´;ÐÐ¸Ð¶ÐµÐ³Ð¾Ñ€Ð¾Ð´ÑÐºÐ°Ñ Ð¾Ð±Ð»Ð°ÑÑ‚ÑŒ</t>
  </si>
  <si>
    <t>RU0677</t>
  </si>
  <si>
    <t>Ð¢Ð¦ Ð’Ð¾Ð´Ð½Ñ‹Ð¹</t>
  </si>
  <si>
    <t>Ð“Ð¾Ð»Ð¾Ð²Ð¸Ð½ÑÐºÐ¾Ðµ ÑˆÐ¾ÑÑÐµ, 5</t>
  </si>
  <si>
    <t>Ð¢Ð¦ Ð’Ð¾Ð´Ð½Ñ‹Ð¹;Ð“Ð¾Ð»Ð¾Ð²Ð¸Ð½ÑÐºÐ¾Ðµ ÑˆÐ¾ÑÑÐµ, 5;124212;ÐœÐ¾ÑÐºÐ²Ð°;ÐœÐ¾ÑÐºÐ¾Ð²ÑÐºÐ°Ñ Ð¾Ð±Ð»Ð°ÑÑ‚ÑŒ</t>
  </si>
  <si>
    <t>RU0678</t>
  </si>
  <si>
    <t>Ð¢Ð¦ ÐœÐ¾Ð·Ð°Ð¸ÐºÐ°</t>
  </si>
  <si>
    <t>7-Ð°Ñ ÐšÐ¾Ð¶ÑƒÑ…Ð¾Ð²ÑÐºÐ°Ñ, Ð²Ð». 9</t>
  </si>
  <si>
    <t>Ð¢Ð¦ ÐœÐ¾Ð·Ð°Ð¸ÐºÐ°;7-Ð°Ñ ÐšÐ¾Ð¶ÑƒÑ…Ð¾Ð²ÑÐºÐ°Ñ, Ð²Ð». 9;115193;ÐœÐ¾ÑÐºÐ²Ð°</t>
  </si>
  <si>
    <t>RU0679</t>
  </si>
  <si>
    <t>Ð¢Ð¦ Ð¢Ð¸Ñ‚Ð°Ð½ ÐÑ€ÐµÐ½Ð°</t>
  </si>
  <si>
    <t>Arkhangelsk</t>
  </si>
  <si>
    <t>Ð’Ð¾ÑÐºÑ€ÐµÑÐµÐ½ÑÐºÐ°Ñ, 20</t>
  </si>
  <si>
    <t>ÐÑ€Ñ…Ð°Ð½Ð³ÐµÐ»ÑŒÑÐºÐ°Ñ Ð¾Ð±Ð»Ð°ÑÑ‚ÑŒ</t>
  </si>
  <si>
    <t>Ð¢Ð¦ Ð¢Ð¸Ñ‚Ð°Ð½ ÐÑ€ÐµÐ½Ð°;Ð’Ð¾ÑÐºÑ€ÐµÑÐµÐ½ÑÐºÐ°Ñ, 20;163000;ÐÑ€Ñ…Ð°Ð½Ð³ÐµÐ»ÑŒÑÐº;ÐÑ€Ñ…Ð°Ð½Ð³ÐµÐ»ÑŒÑÐºÐ°Ñ Ð¾Ð±Ð»Ð°ÑÑ‚ÑŒ</t>
  </si>
  <si>
    <t>RU0680</t>
  </si>
  <si>
    <t>Ð¢Ð¦ ÐÐºÐ²Ð°Ð¿Ð¾Ð»Ð¸Ñ</t>
  </si>
  <si>
    <t>Pskov</t>
  </si>
  <si>
    <t>ÑƒÐ». ÐšÑƒÐ·Ð±Ð°ÑÑÐºÐ¾Ð¹ Ð´Ð¸Ð²Ð¸Ð·Ð¸Ð¸, 19</t>
  </si>
  <si>
    <t>ÐŸÑÐºÐ¾Ð²ÑÐºÐ°Ñ Ð¾Ð±Ð»Ð°ÑÑ‚ÑŒ</t>
  </si>
  <si>
    <t>Ð¢Ð¦ ÐÐºÐ²Ð°Ð¿Ð¾Ð»Ð¸Ñ;ÑƒÐ». ÐšÑƒÐ·Ð±Ð°ÑÑÐºÐ¾Ð¹ Ð´Ð¸Ð²Ð¸Ð·Ð¸Ð¸, 19;180004;ÐŸÑÐºÐ¾Ð²;ÐŸÑÐºÐ¾Ð²ÑÐºÐ°Ñ Ð¾Ð±Ð»Ð°ÑÑ‚ÑŒ</t>
  </si>
  <si>
    <t>RU0681</t>
  </si>
  <si>
    <t>Ð¢Ð Ð¦ ÐœÐ°ÐºÑÐ¸</t>
  </si>
  <si>
    <t>Ð›ÐµÐ½Ð¸Ð½Ð³Ñ€Ð°Ð´ÑÐºÐ¸Ð¹ Ð¿Ñ€Ð¾ÑÐ¿ÐµÐºÑ‚, 38</t>
  </si>
  <si>
    <t>Ð¢Ð Ð¦ ÐœÐ°ÐºÑÐ¸;Ð›ÐµÐ½Ð¸Ð½Ð³Ñ€Ð°Ð´ÑÐºÐ¸Ð¹ Ð¿Ñ€Ð¾ÑÐ¿ÐµÐºÑ‚, 38;163009;ÐÑ€Ñ…Ð°Ð½Ð³ÐµÐ»ÑŒÑÐº;ÐÑ€Ñ…Ð°Ð½Ð³ÐµÐ»ÑŒÑÐºÐ°Ñ Ð¾Ð±Ð»Ð°ÑÑ‚ÑŒ</t>
  </si>
  <si>
    <t>RU0682</t>
  </si>
  <si>
    <t>Ð¢Ð Ð¦ Ð Ð¸Ð²ÑŒÐµÑ€Ð°</t>
  </si>
  <si>
    <t>Lipetsk</t>
  </si>
  <si>
    <t>ÑƒÐ». ÐšÐ°Ñ‚ÑƒÐºÐ¾Ð²Ð°, 51</t>
  </si>
  <si>
    <t>Ð›Ð¸Ð¿ÐµÑ†ÐºÐ°Ñ Ð¾Ð±Ð»Ð°ÑÑ‚ÑŒ</t>
  </si>
  <si>
    <t>Ð¢Ð Ð¦ Ð Ð¸Ð²ÑŒÐµÑ€Ð°;ÑƒÐ». ÐšÐ°Ñ‚ÑƒÐºÐ¾Ð²Ð°, 51;398036;Ð›Ð¸Ð¿ÐµÑ†Ðº;Ð›Ð¸Ð¿ÐµÑ†ÐºÐ°Ñ Ð¾Ð±Ð»Ð°ÑÑ‚ÑŒ</t>
  </si>
  <si>
    <t>RU0683</t>
  </si>
  <si>
    <t>Novokuznetsk</t>
  </si>
  <si>
    <t>ÑƒÐ». Ð”Ð¾Ð·, 10Ð</t>
  </si>
  <si>
    <t>ÐšÐµÐ¼ÐµÑ€Ð¾Ð²ÑÐºÐ°Ñ Ð¾Ð±Ð»Ð°ÑÑ‚ÑŒ</t>
  </si>
  <si>
    <t>Ð¢Ð¦ ÐŸÐ»Ð°Ð½ÐµÑ‚Ð°;ÑƒÐ». Ð”Ð¾Ð·, 10Ð;654005;ÐÐ¾Ð²Ð¾ÐºÑƒÐ·Ð½ÐµÑ†Ðº;ÐšÐµÐ¼ÐµÑ€Ð¾Ð²ÑÐºÐ°Ñ Ð¾Ð±Ð»Ð°ÑÑ‚ÑŒ</t>
  </si>
  <si>
    <t>RU0684</t>
  </si>
  <si>
    <t>Novosibirsk</t>
  </si>
  <si>
    <t>ÑƒÐ». Ð’Ð¾ÐµÐ½Ð½Ð°Ñ, 5</t>
  </si>
  <si>
    <t>ÐÐ¾Ð²Ð¾ÑÐ¸Ð±Ð¸Ñ€ÑÐºÐ°Ñ Ð¾Ð±Ð»Ð°ÑÑ‚ÑŒ</t>
  </si>
  <si>
    <t>Ð¢Ð¦ ÐÑƒÑ€Ð°;ÑƒÐ». Ð’Ð¾ÐµÐ½Ð½Ð°Ñ, 5;630000;ÐÐ¾Ð²Ð¾ÑÐ¸Ð±Ð¸Ñ€ÑÐº;ÐÐ¾Ð²Ð¾ÑÐ¸Ð±Ð¸Ñ€ÑÐºÐ°Ñ Ð¾Ð±Ð»Ð°ÑÑ‚ÑŒ</t>
  </si>
  <si>
    <t>RU0685</t>
  </si>
  <si>
    <t>Smolensk</t>
  </si>
  <si>
    <t>ÑƒÐ». 25 Ð¡ÐµÐ½Ñ‚ÑÐ±Ñ€Ñ, 35Ð°</t>
  </si>
  <si>
    <t>Ð¡Ð¼Ð¾Ð»ÐµÐ½ÑÐºÐ°Ñ ÐžÐ±Ð»Ð°ÑÑ‚ÑŒ</t>
  </si>
  <si>
    <t>Ð¢Ð Ð¦ ÐœÐ°ÐºÑÐ¸;ÑƒÐ». 25 Ð¡ÐµÐ½Ñ‚ÑÐ±Ñ€Ñ, 35Ð°;214031;Ð¡Ð¼Ð¾Ð»ÐµÐ½ÑÐº;Ð¡Ð¼Ð¾Ð»ÐµÐ½ÑÐºÐ°Ñ ÐžÐ±Ð»Ð°ÑÑ‚ÑŒ</t>
  </si>
  <si>
    <t>RU0686</t>
  </si>
  <si>
    <t>Ð¢Ð Ð¦ Ð‘ÑƒÑ‚Ð¾Ð²Ð¾ ÐœÐ¾Ð»Ð»</t>
  </si>
  <si>
    <t>Ð¢Ð Ðš Ð‘ÑƒÑ‚Ð¾Ð²Ð¾ ÐœÐ¾Ð»Ð»</t>
  </si>
  <si>
    <t>Ð§ÐµÑ‡ÐµÑ€ÑÐºÐ¸Ð¹ (Ð¿. Ð’Ð¾ÑÐºÑ€ÐµÑÐµÐ½ÑÐºÐ¾Ðµ) Ð¿Ñ€Ð¾ÐµÐ·Ð´, 51</t>
  </si>
  <si>
    <t>Ð¢Ð Ðš Ð‘ÑƒÑ‚Ð¾Ð²Ð¾ ÐœÐ¾Ð»Ð»;Ð§ÐµÑ‡ÐµÑ€ÑÐºÐ¸Ð¹ (Ð¿. Ð’Ð¾ÑÐºÑ€ÐµÑÐµÐ½ÑÐºÐ¾Ðµ) Ð¿Ñ€Ð¾ÐµÐ·Ð´, 51;117401;ÐœÐ¾ÑÐºÐ²Ð°</t>
  </si>
  <si>
    <t>RU0687</t>
  </si>
  <si>
    <t>SC AviaPark</t>
  </si>
  <si>
    <t>H&amp;M HOME Khodynsky blvd., 4</t>
  </si>
  <si>
    <t>SC AviaPark;H&amp;M HOME Khodynsky blvd., 4;125252;Moscow</t>
  </si>
  <si>
    <t>RU0688</t>
  </si>
  <si>
    <t>Ð¢Ð¦ Ð˜Ñ‚Ð°Ð»Ð¼Ð°Ñc</t>
  </si>
  <si>
    <t>Izhevsk</t>
  </si>
  <si>
    <t>ÐÐ²Ñ‚Ð¾Ð·Ð°Ð²Ð¾Ð´ÑÐºÐ°Ñ ÑƒÐ»., Ð´. 2Ð</t>
  </si>
  <si>
    <t>Ð ÐµÑÐ¿ÑƒÐ±Ð»Ð¸ÐºÐ° Ð£Ð´Ð¼ÑƒÑ€Ñ‚Ð¸Ñ</t>
  </si>
  <si>
    <t>Ð¢Ð¦ Ð˜Ñ‚Ð°Ð»Ð¼Ð°Ñc;ÐÐ²Ñ‚Ð¾Ð·Ð°Ð²Ð¾Ð´ÑÐºÐ°Ñ ÑƒÐ»., Ð´. 2Ð;426065;Ð˜Ð¶ÐµÐ²ÑÐº;Ð ÐµÑÐ¿ÑƒÐ±Ð»Ð¸ÐºÐ° Ð£Ð´Ð¼ÑƒÑ€Ñ‚Ð¸Ñ</t>
  </si>
  <si>
    <t>RU0690</t>
  </si>
  <si>
    <t>Ð¢Ð¦ Ð›Ð¾Ñ‚Ð¾Ñ ÐŸÐ»Ð°Ð·Ð°</t>
  </si>
  <si>
    <t>Petrozavodsk</t>
  </si>
  <si>
    <t>Ð›ÐµÑÐ½Ð¾Ð¹ Ð¿Ñ€Ð¾ÑÐ¿ÐµÐºÑ‚, 47Ð</t>
  </si>
  <si>
    <t>Ð ÐµÑÐ¿ÑƒÐ±Ð»Ð¸ÐºÐ° ÐšÐ°Ñ€ÐµÐ»Ð¸Ñ</t>
  </si>
  <si>
    <t>Ð¢Ð¦ Ð›Ð¾Ñ‚Ð¾Ñ ÐŸÐ»Ð°Ð·Ð°;Ð›ÐµÑÐ½Ð¾Ð¹ Ð¿Ñ€Ð¾ÑÐ¿ÐµÐºÑ‚, 47Ð;185000;ÐŸÐµÑ‚Ñ€Ð¾Ð·Ð°Ð²Ð¾Ð´ÑÐº;Ð ÐµÑÐ¿ÑƒÐ±Ð»Ð¸ÐºÐ° ÐšÐ°Ñ€ÐµÐ»Ð¸Ñ</t>
  </si>
  <si>
    <t>RU0691</t>
  </si>
  <si>
    <t>Ð¢Ð¦ ÐÑ€ÐµÐ½Ð°</t>
  </si>
  <si>
    <t>Barnaul</t>
  </si>
  <si>
    <t>ÐŸÐ°Ð²Ð»Ð¾Ð²ÑÐºÐ¸Ð¹ Ñ‚Ñ€Ð°ÐºÑ‚, 188</t>
  </si>
  <si>
    <t>ÐÐ»Ñ‚Ð°Ð¹ÑÐºÐ¸Ð¹ ÐºÑ€Ð°Ð¹</t>
  </si>
  <si>
    <t>Ð¢Ð¦ ÐÑ€ÐµÐ½Ð°;ÐŸÐ°Ð²Ð»Ð¾Ð²ÑÐºÐ¸Ð¹ Ñ‚Ñ€Ð°ÐºÑ‚, 188;656922;Ð‘Ð°Ñ€Ð½Ð°ÑƒÐ»;ÐÐ»Ñ‚Ð°Ð¹ÑÐºÐ¸Ð¹ ÐºÑ€Ð°Ð¹</t>
  </si>
  <si>
    <t>RU0692</t>
  </si>
  <si>
    <t>Ð¢Ð¦ Happy ÐœÐ¾Ð»Ð»</t>
  </si>
  <si>
    <t>Saratov</t>
  </si>
  <si>
    <t>Ð’Ð¾Ð»ÑŒÑÐºÐ¸Ð¹ Ñ‚Ñ€Ð°ÐºÑ‚, 2</t>
  </si>
  <si>
    <t>Ð¡Ð°Ñ€Ð°Ñ‚Ð¾Ð²ÑÐºÐ°Ñ Ð¾Ð±Ð»Ð°ÑÑ‚ÑŒ</t>
  </si>
  <si>
    <t>Ð¢Ð¦ Happy ÐœÐ¾Ð»Ð»;Ð’Ð¾Ð»ÑŒÑÐºÐ¸Ð¹ Ñ‚Ñ€Ð°ÐºÑ‚, 2;410506;Ð¡Ð°Ñ€Ð°Ñ‚Ð¾Ð²;Ð¡Ð°Ñ€Ð°Ñ‚Ð¾Ð²ÑÐºÐ°Ñ Ð¾Ð±Ð»Ð°ÑÑ‚ÑŒ</t>
  </si>
  <si>
    <t>RU0693</t>
  </si>
  <si>
    <t>Ð¢Ð Ð¦ ÐšÐ¾Ð»Ð°Ð¼Ð±ÑƒÑ</t>
  </si>
  <si>
    <t>ÐšÐ¸Ñ€Ð¾Ð²Ð¾Ð³Ñ€Ð°Ð´ÑÐºÐ°Ñ ÑƒÐ»Ð¸Ñ†Ð°, 13Ð</t>
  </si>
  <si>
    <t>Ð¢Ð Ð¦ ÐšÐ¾Ð»Ð°Ð¼Ð±ÑƒÑ;ÐšÐ¸Ñ€Ð¾Ð²Ð¾Ð³Ñ€Ð°Ð´ÑÐºÐ°Ñ ÑƒÐ»Ð¸Ñ†Ð°, 13Ð;117519;ÐœÐ¾ÑÐºÐ²Ð°</t>
  </si>
  <si>
    <t>RU0694</t>
  </si>
  <si>
    <t>Ð¢Ð¦ ÐÐ»Ð¼Ð°Ð·</t>
  </si>
  <si>
    <t>ÐšÐ¾Ð¿ÐµÐ¹ÑÐºÐ¾Ðµ ÑˆÐ¾ÑÑÐµ, 64</t>
  </si>
  <si>
    <t>Ð¢Ð¦ ÐÐ»Ð¼Ð°Ð·;ÐšÐ¾Ð¿ÐµÐ¹ÑÐºÐ¾Ðµ ÑˆÐ¾ÑÑÐµ, 64;454010;Ð§ÐµÐ»ÑÐ±Ð¸Ð½ÑÐº;Ð§ÐµÐ»ÑÐ±Ð¸Ð½ÑÐºÐ°Ñ Ð¾Ð±Ð»Ð°ÑÑ‚ÑŒ</t>
  </si>
  <si>
    <t>RU0697</t>
  </si>
  <si>
    <t>Ð¢Ð¦ Ð—ÐµÐ»ÐµÐ½Ð¾Ð¿Ð°Ñ€Ðº</t>
  </si>
  <si>
    <t>2 Ð¼Ð¸ÐºÑ€Ð¾Ñ€Ð°Ð¹Ð¾Ð½, ÑÑ‚Ñ€.1</t>
  </si>
  <si>
    <t>Ð¢Ð¦ Ð—ÐµÐ»ÐµÐ½Ð¾Ð¿Ð°Ñ€Ðº;2 Ð¼Ð¸ÐºÑ€Ð¾Ñ€Ð°Ð¹Ð¾Ð½, ÑÑ‚Ñ€.1;141552;Ð¡Ð¾Ð»Ð½ÐµÑ‡Ð½Ð¾Ð³Ð¾Ñ€ÑÐºÐ¸Ð¹ Ñ€-Ð½, Ð Ð¶Ð°Ð²ÐºÐ¸ Ñ€Ð¿.;ÐœÐ¾ÑÐºÐ¾Ð²ÑÐºÐ°Ñ Ð¾Ð±Ð»Ð°ÑÑ‚ÑŒ</t>
  </si>
  <si>
    <t>RU0699</t>
  </si>
  <si>
    <t>Ð¢Ð¦ Ð“Ð°Ð»ÐµÑ€ÐµÑ Ð½Ð¾Ð²Ð¾ÑÐ¸Ð±Ð¸Ñ€ÑÐº</t>
  </si>
  <si>
    <t>ÑƒÐ». Ð“Ð¾Ð³Ð¾Ð»Ñ, 13</t>
  </si>
  <si>
    <t>Ð¢Ð¦ Ð“Ð°Ð»ÐµÑ€ÐµÑ Ð½Ð¾Ð²Ð¾ÑÐ¸Ð±Ð¸Ñ€ÑÐº;ÑƒÐ». Ð“Ð¾Ð³Ð¾Ð»Ñ, 13;630005;ÐÐ¾Ð²Ð¾ÑÐ¸Ð±Ð¸Ñ€ÑÐº;ÐÐ¾Ð²Ð¾ÑÐ¸Ð±Ð¸Ñ€ÑÐºÐ°Ñ Ð¾Ð±Ð»Ð°ÑÑ‚ÑŒ</t>
  </si>
  <si>
    <t>RU0700</t>
  </si>
  <si>
    <t>Ð¢Ð¦ ÐœÐ°Ñ€Ð¸</t>
  </si>
  <si>
    <t>ÑƒÐ». ÐŸÐ¾Ñ€ÐµÑ‡Ð½Ð°Ñ, Ð²Ð».10</t>
  </si>
  <si>
    <t>Ð¢Ð¦ ÐœÐ°Ñ€Ð¸;ÑƒÐ». ÐŸÐ¾Ñ€ÐµÑ‡Ð½Ð°Ñ, Ð²Ð».10;109652;ÐœÐ¾ÑÐºÐ²Ð°;ÐœÐ¾ÑÐºÐ¾Ð²ÑÐºÐ°Ñ Ð¾Ð±Ð»Ð°ÑÑ‚ÑŒ</t>
  </si>
  <si>
    <t>RU0701</t>
  </si>
  <si>
    <t>Ð¦ÐµÐ½Ñ‚Ñ€Ð°Ð»ÑŒÐ½Ñ‹Ð¹ Ð”ÐµÑ‚ÑÐºÐ¸Ð¹ ÐœÐ°Ð³Ð°Ð·Ð¸Ð½</t>
  </si>
  <si>
    <t>Ð¢ÐµÐ°Ñ‚Ñ€Ð°Ð»ÑŒÐ½Ñ‹Ð¹ Ð¿Ñ€Ð¾ÐµÐ·Ð´, 5</t>
  </si>
  <si>
    <t>Ð¦ÐµÐ½Ñ‚Ñ€Ð°Ð»ÑŒÐ½Ñ‹Ð¹ Ð”ÐµÑ‚ÑÐºÐ¸Ð¹ ÐœÐ°Ð³Ð°Ð·Ð¸Ð½;Ð¢ÐµÐ°Ñ‚Ñ€Ð°Ð»ÑŒÐ½Ñ‹Ð¹ Ð¿Ñ€Ð¾ÐµÐ·Ð´, 5;109012;ÐœÐ¾ÑÐºÐ²Ð°;ÐœÐ¾ÑÐºÐ¾Ð²ÑÐºÐ°Ñ Ð¾Ð±Ð»Ð°ÑÑ‚ÑŒ</t>
  </si>
  <si>
    <t>RU0702</t>
  </si>
  <si>
    <t>Ð¢Ð¦ Ð‘Ð¾Ð½ ÐŸÐ°ÑÑÐ°Ð¶</t>
  </si>
  <si>
    <t>Novorossiysk</t>
  </si>
  <si>
    <t>ÐÐ½Ð°Ð¿ÑÐºÐ¾Ðµ ÑˆÐ¾ÑÑÐµ, 39Ð</t>
  </si>
  <si>
    <t>Ð¢Ð¦ Ð‘Ð¾Ð½ ÐŸÐ°ÑÑÐ°Ð¶;ÐÐ½Ð°Ð¿ÑÐºÐ¾Ðµ ÑˆÐ¾ÑÑÐµ, 39Ð;353907;ÐÐ¾Ð²Ð¾Ñ€Ð¾ÑÑÐ¸Ð¹ÑÐº;ÐšÑ€Ð°ÑÐ½Ð¾Ð´Ð°Ñ€ÑÐºÐ¸Ð¹ ÐºÑ€Ð°Ð¹</t>
  </si>
  <si>
    <t>RU0703</t>
  </si>
  <si>
    <t>SC Pioner</t>
  </si>
  <si>
    <t>Ulan-Ude</t>
  </si>
  <si>
    <t>Korabelnaya str 32</t>
  </si>
  <si>
    <t>Buryatya Republic</t>
  </si>
  <si>
    <t>Korabelnaya str 32;Korabelnaya str 32;670000;Ulan-Ude;Buryatya Republic</t>
  </si>
  <si>
    <t>RU0704</t>
  </si>
  <si>
    <t>Ð¢Ð¦ Ð¡Ð¸Ð»ÑŒÐ²ÐµÑ€ ÐœÐ¾Ð»Ð»</t>
  </si>
  <si>
    <t>ÑƒÐ».Ð¡ÐµÑ€Ð³ÐµÐµÐ²Ð°, Ð²Ð».3</t>
  </si>
  <si>
    <t>Ð¢Ð¦ Ð¡Ð¸Ð»ÑŒÐ²ÐµÑ€ ÐœÐ¾Ð»Ð»;ÑƒÐ».Ð¡ÐµÑ€Ð³ÐµÐµÐ²Ð°, Ð²Ð».3;664043;Ð˜Ñ€ÐºÑƒÑ‚ÑÐº;Ð˜Ñ€ÐºÑƒÑ‚ÑÐºÐ°Ñ Ð¾Ð±Ð»Ð°ÑÑ‚ÑŒ</t>
  </si>
  <si>
    <t>RU0705</t>
  </si>
  <si>
    <t>Ð¢MÐš ÐœÐµÐ³Ð°Ð“Ñ€Ð¸Ð½Ð½</t>
  </si>
  <si>
    <t>Orel</t>
  </si>
  <si>
    <t>ÐšÑ€Ð¾Ð¼ÑÐºÐ¾Ðµ ÑˆÐ¾ÑÑÐµ, 4</t>
  </si>
  <si>
    <t>ÐžÑ€Ð»Ð¾Ð²ÑÐºÐ°Ñ Ð¾Ð±Ð»Ð°ÑÑ‚ÑŒ</t>
  </si>
  <si>
    <t>Ð¢MÐš ÐœÐµÐ³Ð°Ð“Ñ€Ð¸Ð½Ð½;ÐšÑ€Ð¾Ð¼ÑÐºÐ¾Ðµ ÑˆÐ¾ÑÑÐµ, 4;302010;ÐžÑ€ÐµÐ»;ÐžÑ€Ð»Ð¾Ð²ÑÐºÐ°Ñ Ð¾Ð±Ð»Ð°ÑÑ‚ÑŒ</t>
  </si>
  <si>
    <t>RU0706</t>
  </si>
  <si>
    <t>Ð¢Ð¦ ÐœÐ°ÐºÑÐ¸</t>
  </si>
  <si>
    <t>Tula</t>
  </si>
  <si>
    <t>ÑƒÐ». ÐŸÑ€Ð¾Ð»ÐµÑ‚Ð°Ñ€ÑÐºÐ°Ñ, Ð´.2</t>
  </si>
  <si>
    <t>Ð¢ÑƒÐ»ÑŒÑÐºÐ°Ñ ÐžÐ±Ð»Ð°ÑÑ‚ÑŒ</t>
  </si>
  <si>
    <t>Ð¢Ð¦ ÐœÐ°ÐºÑÐ¸;ÑƒÐ». ÐŸÑ€Ð¾Ð»ÐµÑ‚Ð°Ñ€ÑÐºÐ°Ñ, Ð´.2;300001;Ð¢ÑƒÐ»Ð°;Ð¢ÑƒÐ»ÑŒÑÐºÐ°Ñ ÐžÐ±Ð»Ð°ÑÑ‚ÑŒ</t>
  </si>
  <si>
    <t>RU0707</t>
  </si>
  <si>
    <t>Ð Ð˜Ðž ÐšÐ¸ÐµÐ²ÑÐºÐ¾Ðµ</t>
  </si>
  <si>
    <t>ÐšÐ¸ÐµÐ²ÑÐºÐ¾Ðµ ÑˆÐ¾ÑÑÐµ 23 ÐºÐ¼, Ð´.8</t>
  </si>
  <si>
    <t>Ð Ð˜Ðž ÐšÐ¸ÐµÐ²ÑÐºÐ¾Ðµ;ÐšÐ¸ÐµÐ²ÑÐºÐ¾Ðµ ÑˆÐ¾ÑÑÐµ 23 ÐºÐ¼, Ð´.8;119027;ÐœÐ¾ÑÐºÐ²Ð°;ÐœÐ¾ÑÐºÐ¾Ð²ÑÐºÐ°Ñ Ð¾Ð±Ð»Ð°ÑÑ‚ÑŒ</t>
  </si>
  <si>
    <t>RU0708</t>
  </si>
  <si>
    <t>Ð¢Ð¦ ÐŸÐ¸Ð¾Ð½ÐµÑ€</t>
  </si>
  <si>
    <t>Ð¿Ñ€. Ð›ÐµÐ½Ð¸Ð½Ð°, 102Ð’</t>
  </si>
  <si>
    <t>Ð¢Ð¦ ÐŸÐ¸Ð¾Ð½ÐµÑ€;Ð¿Ñ€. Ð›ÐµÐ½Ð¸Ð½Ð°, 102Ð’;656002;Ð‘Ð°Ñ€Ð½Ð°ÑƒÐ»;ÐÐ»Ñ‚Ð°Ð¹ÑÐºÐ¸Ð¹ ÐºÑ€Ð°Ð¹</t>
  </si>
  <si>
    <t>RU0709</t>
  </si>
  <si>
    <t>Ð¢Ð¦ Ð¢ÐÐ£ Ð“Ð°Ð»ÐµÑ€ÐµÑ</t>
  </si>
  <si>
    <t>3 Ð”Ð°Ñ‡Ð½Ð°Ñ ÑƒÐ»Ð¸Ñ†Ð°</t>
  </si>
  <si>
    <t>Ð¢Ð¦ Ð¢ÐÐ£ Ð“Ð°Ð»ÐµÑ€ÐµÑ;3 Ð”Ð°Ñ‡Ð½Ð°Ñ ÑƒÐ»Ð¸Ñ†Ð°;410065;Ð¡Ð°Ñ€Ð°Ñ‚Ð¾Ð²;Ð¡Ð°Ñ€Ð°Ñ‚Ð¾Ð²ÑÐºÐ°Ñ Ð¾Ð±Ð»Ð°ÑÑ‚ÑŒ</t>
  </si>
  <si>
    <t>RU0710</t>
  </si>
  <si>
    <t>Ð¢Ð¦ Ð¡ÐµÑ€ÐµÐ±Ñ€ÑÐ½Ñ‹Ð¹ Ð³Ð¾Ñ€Ð¾Ð´</t>
  </si>
  <si>
    <t>Ivanovo</t>
  </si>
  <si>
    <t>Ð£Ð».8 Ð¼Ð°Ñ€Ñ‚Ð°, 32</t>
  </si>
  <si>
    <t>Ð˜Ð²Ð°Ð½Ð¾Ð²ÑÐºÐ°Ñ Ð¾Ð±Ð»Ð°ÑÑ‚ÑŒ</t>
  </si>
  <si>
    <t>Ð¢Ð¦ Ð¡ÐµÑ€ÐµÐ±Ñ€ÑÐ½Ñ‹Ð¹ Ð³Ð¾Ñ€Ð¾Ð´;Ð£Ð».8 Ð¼Ð°Ñ€Ñ‚Ð°, 32;153037;Ð˜Ð²Ð°Ð½Ð¾Ð²Ð¾;Ð˜Ð²Ð°Ð½Ð¾Ð²ÑÐºÐ°Ñ Ð¾Ð±Ð»Ð°ÑÑ‚ÑŒ</t>
  </si>
  <si>
    <t>RU0714</t>
  </si>
  <si>
    <t>Ð¢Ð¦ Ð“Ð°Ð»Ð°ÐºÑ‚Ð¸ÐºÐ°</t>
  </si>
  <si>
    <t>ÐŸÑ€Ð¾ÑÐ¿ÐµÐºÑ‚ Ð¡Ñ‚Ñ€Ð¾Ð¸Ñ‚ÐµÐ»ÐµÐ¹, 117</t>
  </si>
  <si>
    <t>Ð¢Ð¦ Ð“Ð°Ð»Ð°ÐºÑ‚Ð¸ÐºÐ°;ÐŸÑ€Ð¾ÑÐ¿ÐµÐºÑ‚ Ð¡Ñ‚Ñ€Ð¾Ð¸Ñ‚ÐµÐ»ÐµÐ¹, 117;656031;Ð‘Ð°Ñ€Ð½Ð°ÑƒÐ»;ÐÐ»Ñ‚Ð°Ð¹ÑÐºÐ¸Ð¹ ÐºÑ€Ð°Ð¹</t>
  </si>
  <si>
    <t>RU0715</t>
  </si>
  <si>
    <t>SEC VEGAS KUNTSEVO</t>
  </si>
  <si>
    <t>Khoroshevskiy proyezd, 14</t>
  </si>
  <si>
    <t>SEC VEGAS KUNTSEVO;Khoroshevskiy proyezd, 14;143025;Odintsovskiy district, Nemchinovka;Moscow Region</t>
  </si>
  <si>
    <t>RU0717</t>
  </si>
  <si>
    <t>Ð¢Ð¦ ÐžÑ…Ñ‚Ð° ÐœÐ¾Ð»Ð»</t>
  </si>
  <si>
    <t>Ð¯ÐºÐ¾Ñ€Ð½Ð°Ñ ÑƒÐ»Ð¸Ñ†Ð°, 5A</t>
  </si>
  <si>
    <t>Ð¢Ð¦ ÐžÑ…Ñ‚Ð° ÐœÐ¾Ð»Ð»;Ð¯ÐºÐ¾Ñ€Ð½Ð°Ñ ÑƒÐ»Ð¸Ñ†Ð°, 5A;195027;Ð¡Ð°Ð½ÐºÑ‚-ÐŸÐµÑ‚ÐµÑ€Ð±ÑƒÑ€Ð³;Ð›ÐµÐ½Ð¸Ð½Ð³Ñ€Ð°Ð´ÑÐºÐ°Ñ Ð¾Ð±Ð»Ð°ÑÑ‚ÑŒ</t>
  </si>
  <si>
    <t>RU0718</t>
  </si>
  <si>
    <t>Ð¢Ð Ðš ÐÑ€ÐµÐ½Ð°</t>
  </si>
  <si>
    <t>ÐŸÐ¾Ð±ÐµÐ´Ñ‹ Ð±-Ñ€, 23Ð±</t>
  </si>
  <si>
    <t>Ð¢Ð Ðš ÐÑ€ÐµÐ½Ð°;ÐŸÐ¾Ð±ÐµÐ´Ñ‹ Ð±-Ñ€, 23Ð±;394077;Ð’Ð¾Ñ€Ð¾Ð½ÐµÐ¶;Ð’Ð¾Ñ€Ð¾Ð½ÐµÐ¶ÑÐºÐ°Ñ Ð¾Ð±Ð»Ð°ÑÑ‚ÑŒ</t>
  </si>
  <si>
    <t>RU0719</t>
  </si>
  <si>
    <t>Ð¢Ð¦ Ð“ÑƒÐ´'ÐžÐº</t>
  </si>
  <si>
    <t>ÑƒÐ». ÐšÑ€Ð°ÑÐ½Ð¾Ð°Ñ€Ð¼ÐµÐ¹ÑÐºÐ°Ñ, 133</t>
  </si>
  <si>
    <t>Ð¢Ð¦ Ð“ÑƒÐ´'ÐžÐº;ÑƒÐ». ÐšÑ€Ð°ÑÐ½Ð¾Ð°Ñ€Ð¼ÐµÐ¹ÑÐºÐ°Ñ, 133;443010;Ð¡Ð°Ð¼Ð°Ñ€Ð°;Ð¡Ð°Ð¼Ð°Ñ€ÑÐºÐ°Ñ Ð¾Ð±Ð»Ð°ÑÑ‚ÑŒ</t>
  </si>
  <si>
    <t>RU0720</t>
  </si>
  <si>
    <t>Ð¢Ð¦ Ð•Ð²Ñ€Ð¾Ð¿Ð°</t>
  </si>
  <si>
    <t>Kursk</t>
  </si>
  <si>
    <t>ÑƒÐ». Ðš. ÐœÐ°Ñ€ÐºÑÐ°, 6</t>
  </si>
  <si>
    <t>ÐšÑƒÑ€ÑÐºÐ°Ñ Ð¾Ð±Ð»Ð°ÑÑ‚ÑŒ</t>
  </si>
  <si>
    <t>Ð¢Ð¦ Ð•Ð²Ñ€Ð¾Ð¿Ð°;ÑƒÐ». Ðš. ÐœÐ°Ñ€ÐºÑÐ°, 6;305004;ÐšÑƒÑ€ÑÐº;ÐšÑƒÑ€ÑÐºÐ°Ñ Ð¾Ð±Ð»Ð°ÑÑ‚ÑŒ</t>
  </si>
  <si>
    <t>RU0721</t>
  </si>
  <si>
    <t>Ð¢Ð²ÐµÑ€ÑÐºÐ°Ñ, 16</t>
  </si>
  <si>
    <t>Ð¢Ð²ÐµÑ€ÑÐºÐ°Ñ, 16;Ð¢Ð²ÐµÑ€ÑÐºÐ°Ñ, 16;109012;ÐœÐ¾ÑÐºÐ²Ð°</t>
  </si>
  <si>
    <t>RU0722</t>
  </si>
  <si>
    <t>Ð¢Ð¦ ÐœÑƒÑ€Ð¼Ð°Ð½ÑÐº ÐœÐ¾Ð»Ð»</t>
  </si>
  <si>
    <t>Murmansk</t>
  </si>
  <si>
    <t>ÐŸÑ€Ð¾ÑÐ¿ÐµÐºÑ‚ Ð›ÐµÐ½Ð¸Ð½Ð° Ð´.34</t>
  </si>
  <si>
    <t>ÐœÑƒÑ€Ð¼Ð°Ð½ÑÐºÐ°Ñ Ð¾Ð±Ð»Ð°ÑÑ‚ÑŒ</t>
  </si>
  <si>
    <t>Ð¢Ð¦ ÐœÑƒÑ€Ð¼Ð°Ð½ÑÐº ÐœÐ¾Ð»Ð»;ÐŸÑ€Ð¾ÑÐ¿ÐµÐºÑ‚ Ð›ÐµÐ½Ð¸Ð½Ð° Ð´.34;183038;ÐœÑƒÑ€Ð¼Ð°Ð½ÑÐº;ÐœÑƒÑ€Ð¼Ð°Ð½ÑÐºÐ°Ñ Ð¾Ð±Ð»Ð°ÑÑ‚ÑŒ</t>
  </si>
  <si>
    <t>RU0723</t>
  </si>
  <si>
    <t>Ð¢Ð Ð¦ Ð¡Ñ‚Ð°Ñ€ Ð¡Ð¸Ñ‚Ð¸ ÐœÐ¾Ð»Ð»</t>
  </si>
  <si>
    <t>ÑƒÐ».Ð¢Ð¸Ð¼Ð¾Ñ„ÐµÑ Ð§Ð°Ñ€ÐºÐ¾Ð²Ð°, 60</t>
  </si>
  <si>
    <t>Ð¢Ð Ð¦ Ð¡Ñ‚Ð°Ñ€ Ð¡Ð¸Ñ‚Ð¸ ÐœÐ¾Ð»Ð»;ÑƒÐ».Ð¢Ð¸Ð¼Ð¾Ñ„ÐµÑ Ð§Ð°Ñ€ÐºÐ¾Ð²Ð°, 60;625015;Ð¢ÑŽÐ¼ÐµÐ½ÑŒ;Ð¢ÑŽÐ¼ÐµÐ½ÑÐºÐ°Ñ Ð¾Ð±Ð»Ð°ÑÑ‚ÑŒ</t>
  </si>
  <si>
    <t>RU0724</t>
  </si>
  <si>
    <t>Ð¢Ð Ðš ÐŸÐ¸Ñ‚ÐµÑ€ Ð Ð°Ð´ÑƒÐ³Ð°</t>
  </si>
  <si>
    <t>ÐŸÑ€Ð¾ÑÐ¿ÐµÐºÑ‚ ÐšÐ¾ÑÐ¼Ð¾Ð½Ð°Ð²Ñ‚Ð¾Ð², 14</t>
  </si>
  <si>
    <t>Ð¢Ð Ðš ÐŸÐ¸Ñ‚ÐµÑ€ Ð Ð°Ð´ÑƒÐ³Ð°;ÐŸÑ€Ð¾ÑÐ¿ÐµÐºÑ‚ ÐšÐ¾ÑÐ¼Ð¾Ð½Ð°Ð²Ñ‚Ð¾Ð², 14;196244;Ð¡Ð°Ð½ÐºÑ‚-ÐŸÐµÑ‚ÐµÑ€Ð±ÑƒÑ€Ð³</t>
  </si>
  <si>
    <t>RU0725</t>
  </si>
  <si>
    <t>Ð¢Ð¦ Ð¡Ð¸Ñ‚Ð¸ ÐŸÐ°Ñ€Ðº</t>
  </si>
  <si>
    <t>Saransk</t>
  </si>
  <si>
    <t>ÑƒÐ». Ð’Ð¾Ð»Ð³Ð¾Ð³Ñ€Ð°Ð´ÑÐºÐ°Ñ, 87</t>
  </si>
  <si>
    <t>Ð ÐµÑÐ¿ÑƒÐ±Ð»Ð¸ÐºÐ° ÐœÐ¾Ñ€Ð´Ð¾Ð²Ð¸Ñ</t>
  </si>
  <si>
    <t>Ð¢Ð¦ Ð¡Ð¸Ñ‚Ð¸ ÐŸÐ°Ñ€Ðº;ÑƒÐ». Ð’Ð¾Ð»Ð³Ð¾Ð³Ñ€Ð°Ð´ÑÐºÐ°Ñ, 87;430009;Ð¡Ð°Ñ€Ð°Ð½ÑÐº;Ð ÐµÑÐ¿ÑƒÐ±Ð»Ð¸ÐºÐ° ÐœÐ¾Ñ€Ð´Ð¾Ð²Ð¸Ñ</t>
  </si>
  <si>
    <t>RU0727</t>
  </si>
  <si>
    <t>Ð¢Ð¦ ÐœÐµÐ³Ð°Ð“Ñ€Ð¸Ð½Ð½</t>
  </si>
  <si>
    <t>Belgorod</t>
  </si>
  <si>
    <t>ÑƒÐ». Ð‘. Ð¥Ð¼ÐµÐ»ÑŒÐ½Ð¸Ñ†ÐºÐ¾Ð³Ð¾, 137-Ð¢</t>
  </si>
  <si>
    <t>Ð‘ÐµÐ»Ð³Ð¾Ñ€Ð¾Ð´ÑÐºÐ°Ñ Ð¾Ð±Ð»Ð°ÑÑ‚ÑŒ</t>
  </si>
  <si>
    <t>Ð¢Ð¦ ÐœÐµÐ³Ð°Ð“Ñ€Ð¸Ð½Ð½;ÑƒÐ». Ð‘. Ð¥Ð¼ÐµÐ»ÑŒÐ½Ð¸Ñ†ÐºÐ¾Ð³Ð¾, 137-Ð¢;308010;Ð‘ÐµÐ»Ð³Ð¾Ñ€Ð¾Ð´;Ð‘ÐµÐ»Ð³Ð¾Ñ€Ð¾Ð´ÑÐºÐ°Ñ Ð¾Ð±Ð»Ð°ÑÑ‚ÑŒ</t>
  </si>
  <si>
    <t>RU0729</t>
  </si>
  <si>
    <t>Ð¢Ð Ð¦ ÐžÐºÐµÐ°Ð½Ð¸Ñ</t>
  </si>
  <si>
    <t>ÐšÑƒÑ‚ÑƒÐ·Ð¾Ð²ÑÐºÐ¸Ð¹ Ð¿Ñ€Ð¾ÑÐ¿ÐµÐºÑ‚, 57</t>
  </si>
  <si>
    <t>Ð¢Ð Ð¦ ÐžÐºÐµÐ°Ð½Ð¸Ñ;ÐšÑƒÑ‚ÑƒÐ·Ð¾Ð²ÑÐºÐ¸Ð¹ Ð¿Ñ€Ð¾ÑÐ¿ÐµÐºÑ‚, 57;121170;ÐœÐ¾ÑÐºÐ²Ð°;ÐœÐ¾ÑÐºÐ¾Ð²ÑÐºÐ°Ñ Ð¾Ð±Ð»Ð°ÑÑ‚ÑŒ</t>
  </si>
  <si>
    <t>RU0731</t>
  </si>
  <si>
    <t>Ð¢Ð Ð¦ Ð Ð¸Ð³Ð°-ÐœÐ¾Ð»Ð»</t>
  </si>
  <si>
    <t>Krasnogorsk</t>
  </si>
  <si>
    <t>Ð‘Ð°Ð»Ñ‚Ð¸Ñ Ð°Ð²Ñ‚Ð¾Ð´Ð¾Ñ€Ð¾Ð³Ð°, 23 ÐºÐ¼, Ð²Ð». 2, Ñ. 1</t>
  </si>
  <si>
    <t>Ð¢Ð Ð¦ Ð Ð¸Ð³Ð°-ÐœÐ¾Ð»Ð»;Ð‘Ð°Ð»Ñ‚Ð¸Ñ Ð°Ð²Ñ‚Ð¾Ð´Ð¾Ñ€Ð¾Ð³Ð°, 23 ÐºÐ¼, Ð²Ð». 2, Ñ. 1;143421;ÐšÑ€Ð°ÑÐ½Ð¾Ð³Ð¾Ñ€ÑÐºÐ¸Ð¹ Ñ€-Ð½;ÐœÐ¾ÑÐºÐ¾Ð²ÑÐºÐ°Ñ Ð¾Ð±Ð»Ð°ÑÑ‚ÑŒ</t>
  </si>
  <si>
    <t>RU0732</t>
  </si>
  <si>
    <t>Ð¢Ð¦ Ð¡Ð¿ÐµÑˆÐ¸Love</t>
  </si>
  <si>
    <t>Perm</t>
  </si>
  <si>
    <t>ÑƒÐ». Ð¡Ð¿ÐµÑˆÐ¸Ð»Ð¾Ð²Ð°, 114</t>
  </si>
  <si>
    <t>ÐŸÐµÑ€Ð¼ÑÐºÐ°Ñ Ð¾Ð±Ð»Ð°ÑÑ‚ÑŒ</t>
  </si>
  <si>
    <t>Ð¢Ð¦ Ð¡Ð¿ÐµÑˆÐ¸Love;ÑƒÐ». Ð¡Ð¿ÐµÑˆÐ¸Ð»Ð¾Ð²Ð°, 114;614067;ÐŸÐµÑ€Ð¼ÑŒ;ÐŸÐµÑ€Ð¼ÑÐºÐ°Ñ Ð¾Ð±Ð»Ð°ÑÑ‚ÑŒ</t>
  </si>
  <si>
    <t>RU0733</t>
  </si>
  <si>
    <t>ÑƒÐ». ÐÐ²Ñ‚Ð¾Ð·Ð°Ð²Ð¾Ð´ÑÐºÐ°Ñ, 18</t>
  </si>
  <si>
    <t>Ð¢Ð Ð¦ Ð Ð¸Ð²ÑŒÐµÑ€Ð°;ÑƒÐ». ÐÐ²Ñ‚Ð¾Ð·Ð°Ð²Ð¾Ð´ÑÐºÐ°Ñ, 18;115280;ÐœÐ¾ÑÐºÐ²Ð°;ÐœÐ¾ÑÐºÐ¾Ð²ÑÐºÐ°Ñ Ð¾Ð±Ð»Ð°ÑÑ‚ÑŒ</t>
  </si>
  <si>
    <t>RU0734</t>
  </si>
  <si>
    <t>Ð¢Ð¦ ÐÑÑ€Ð¾Ð¿Ð°Ñ€Ðº</t>
  </si>
  <si>
    <t>Bryansk</t>
  </si>
  <si>
    <t>ÐžÐ±ÑŠÐµÐ·Ð´Ð½Ð°Ñ ÑƒÐ»Ð¸Ñ†Ð°, 30</t>
  </si>
  <si>
    <t>Ð‘Ñ€ÑÐ½ÑÐºÐ°Ñ Ð¾Ð±Ð»Ð°ÑÑ‚ÑŒ</t>
  </si>
  <si>
    <t>Ð¢Ð¦ ÐÑÑ€Ð¾Ð¿Ð°Ñ€Ðº;ÐžÐ±ÑŠÐµÐ·Ð´Ð½Ð°Ñ ÑƒÐ»Ð¸Ñ†Ð°, 30;241023;Ð‘Ñ€ÑÐ½ÑÐº;Ð‘Ñ€ÑÐ½ÑÐºÐ°Ñ Ð¾Ð±Ð»Ð°ÑÑ‚ÑŒ</t>
  </si>
  <si>
    <t>RU0735</t>
  </si>
  <si>
    <t>Ð¢Ð¦ Ð”Ð•ÐŸÐž</t>
  </si>
  <si>
    <t>Nizhniy Tagil</t>
  </si>
  <si>
    <t>Ð¡Ð²ÐµÑ€Ð´Ð»Ð¾Ð²ÑÐºÐ¾Ðµ ÑˆÐ¾ÑÑÐµ, 31</t>
  </si>
  <si>
    <t>Ð¢Ð¦ Ð”Ð•ÐŸÐž;Ð¡Ð²ÐµÑ€Ð´Ð»Ð¾Ð²ÑÐºÐ¾Ðµ ÑˆÐ¾ÑÑÐµ, 31;622001;ÐÐ¸Ð¶Ð½Ð¸Ð¹ Ð¢Ð°Ð³Ð¸Ð»;Ð¡Ð²ÐµÑ€Ð´Ð»Ð¾Ð²ÑÐºÐ°Ñ Ð¾Ð±Ð»Ð°ÑÑ‚ÑŒ</t>
  </si>
  <si>
    <t>RU0736</t>
  </si>
  <si>
    <t>Ð¢Ð Ð¦ Ð¡Ð°Ð½Ñ€Ð°Ð¹Ð· Ð¡Ð¸Ñ‚Ð¸</t>
  </si>
  <si>
    <t>Naberezhnye Chelny</t>
  </si>
  <si>
    <t>ÐŸÑ€Ð¾ÑÐ¿ÐµÐºÑ‚ Ð¡ÑŽÑŽÐ¼Ð±Ð¸ÐºÐµ, 40</t>
  </si>
  <si>
    <t>Ð¢Ð Ð¦ Ð¡Ð°Ð½Ñ€Ð°Ð¹Ð· Ð¡Ð¸Ñ‚Ð¸;ÐŸÑ€Ð¾ÑÐ¿ÐµÐºÑ‚ Ð¡ÑŽÑŽÐ¼Ð±Ð¸ÐºÐµ, 40;423816;ÐÐ°Ð±ÐµÑ€Ð¶Ð½Ñ‹Ðµ Ð§ÐµÐ»Ð½Ñ‹;Ð ÐµÑÐ¿ÑƒÐ±Ð»Ð¸ÐºÐ° Ð¢Ð°Ñ‚Ð°Ñ€ÑÑ‚Ð°Ð½</t>
  </si>
  <si>
    <t>RU0737</t>
  </si>
  <si>
    <t>Ð¢Ð Ð¦ ÐšÐ¾ÑÐ¼Ð¾Ñ</t>
  </si>
  <si>
    <t>Stavropol</t>
  </si>
  <si>
    <t>ÑƒÐ». Ð”Ð¾Ð²Ð°Ñ‚Ð¾Ñ€Ñ†ÐµÐ², 75Ð</t>
  </si>
  <si>
    <t>Stavropol region</t>
  </si>
  <si>
    <t>Ð¢Ð Ð¦ ÐšÐ¾ÑÐ¼Ð¾Ñ;ÑƒÐ». Ð”Ð¾Ð²Ð°Ñ‚Ð¾Ñ€Ñ†ÐµÐ², 75Ð;355002;Ð¡Ñ‚Ð°Ð²Ñ€Ð¾Ð¿Ð¾Ð»ÑŒ;Stavropol region</t>
  </si>
  <si>
    <t>RU0738</t>
  </si>
  <si>
    <t>Ð¢Ð¦ ÐšÐ°Ð¿Ð¸Ñ‚Ð¾Ð»Ð¸Ð¹</t>
  </si>
  <si>
    <t>ÐŸÑ€Ð¾ÑÐ¿ÐµÐºÑ‚ Ð’ÐµÑ€Ð½Ð°Ð´ÑÐºÐ¾Ð³Ð¾, 6</t>
  </si>
  <si>
    <t>Ð¢Ð¦ ÐšÐ°Ð¿Ð¸Ñ‚Ð¾Ð»Ð¸Ð¹;ÐŸÑ€Ð¾ÑÐ¿ÐµÐºÑ‚ Ð’ÐµÑ€Ð½Ð°Ð´ÑÐºÐ¾Ð³Ð¾, 6;119311;ÐœÐ¾ÑÐºÐ²Ð°;ÐœÐ¾ÑÐºÐ¾Ð²ÑÐºÐ°Ñ Ð¾Ð±Ð»Ð°ÑÑ‚ÑŒ</t>
  </si>
  <si>
    <t>RU0739</t>
  </si>
  <si>
    <t>SC Yugra</t>
  </si>
  <si>
    <t>Nizhnevartovsk</t>
  </si>
  <si>
    <t>Lenina str, 15P</t>
  </si>
  <si>
    <t>Khanty-Mansiysk Region</t>
  </si>
  <si>
    <t>SC Yugra;Lenina str, 15P;628600;Nizhnevartovsk;Khanty-Mansiysk Region</t>
  </si>
  <si>
    <t>RU0740</t>
  </si>
  <si>
    <t>Ð¢ÐšÐ¦ Ð£Ð»ÑŒÑ‚Ñ€Ð°</t>
  </si>
  <si>
    <t>Ð‘Ð°ÐºÐ°Ð»Ð¸Ð½ÑÐºÐ°Ñ ÑƒÐ»., 27</t>
  </si>
  <si>
    <t>Ð¢ÐšÐ¦ Ð£Ð»ÑŒÑ‚Ñ€Ð°;Ð‘Ð°ÐºÐ°Ð»Ð¸Ð½ÑÐºÐ°Ñ ÑƒÐ»., 27;450022;Ð£Ñ„Ð°;Ð ÐµÑÐ¿ÑƒÐ±Ð»Ð¸ÐºÐ° Ð‘Ð°ÑˆÐºÐ¾Ñ€Ñ‚Ð¾ÑÑ‚Ð°Ð½</t>
  </si>
  <si>
    <t>RU0741</t>
  </si>
  <si>
    <t>SC Akvarel'</t>
  </si>
  <si>
    <t>Pushkino</t>
  </si>
  <si>
    <t>ter. 33-j km avtodorogi M8 Holmogory, str. 18.</t>
  </si>
  <si>
    <t>SC Akvarel';ter. 33-j km avtodorogi M8 Holmogory, str. 18.;141205;Pushkino;Moscow Region</t>
  </si>
  <si>
    <t>RU0742</t>
  </si>
  <si>
    <t>Ð¢Ð¦ ÐœÐ°Ñ‚Ñ€Ð¸Ñ†Ð°</t>
  </si>
  <si>
    <t>ÑƒÐ»Ð¸Ñ†Ð° Ð‘Ð°Ñ€Ð°Ð½Ð¾Ð²Ð°</t>
  </si>
  <si>
    <t>Ð¢Ð¦ ÐœÐ°Ñ‚Ñ€Ð¸Ñ†Ð°;ÑƒÐ»Ð¸Ñ†Ð° Ð‘Ð°Ñ€Ð°Ð½Ð¾Ð²Ð°;426006;Ð˜Ð¶ÐµÐ²ÑÐº;Ð ÐµÑÐ¿ÑƒÐ±Ð»Ð¸ÐºÐ° Ð£Ð´Ð¼ÑƒÑ€Ñ‚Ð¸Ñ</t>
  </si>
  <si>
    <t>RU0745</t>
  </si>
  <si>
    <t>SC MegaMag</t>
  </si>
  <si>
    <t>Poymennaya, 1</t>
  </si>
  <si>
    <t>Rostov Region</t>
  </si>
  <si>
    <t>SC MegaMag;Poymennaya, 1;344002;Rostov-on-Don;Rostov Region</t>
  </si>
  <si>
    <t>RU0746</t>
  </si>
  <si>
    <t>Ð¢Ð¦ Ð¡ÐµÐ´Ð°Ð½ÐºÐ° Ð¡Ð¸Ñ‚Ð¸</t>
  </si>
  <si>
    <t>Vladivostok</t>
  </si>
  <si>
    <t>ÑƒÐ». ÐŸÐ¾Ð»ÐµÑ‚Ð°ÐµÐ²Ð°, 6Ð”</t>
  </si>
  <si>
    <t>ÐŸÑ€Ð¸Ð¼Ð¾Ñ€ÑÐºÐ¸Ð¹ ÐºÑ€Ð°Ð¹</t>
  </si>
  <si>
    <t>Ð¢Ð¦ Ð¡ÐµÐ´Ð°Ð½ÐºÐ° Ð¡Ð¸Ñ‚Ð¸;ÑƒÐ». ÐŸÐ¾Ð»ÐµÑ‚Ð°ÐµÐ²Ð°, 6Ð”;690041;Ð’Ð»Ð°Ð´Ð¸Ð²Ð¾ÑÑ‚Ð¾Ðº;ÐŸÑ€Ð¸Ð¼Ð¾Ñ€ÑÐºÐ¸Ð¹ ÐºÑ€Ð°Ð¹</t>
  </si>
  <si>
    <t>RU0747</t>
  </si>
  <si>
    <t>SC Kalina Mall</t>
  </si>
  <si>
    <t>Kalinina street, 6</t>
  </si>
  <si>
    <t>Primorsky Kray</t>
  </si>
  <si>
    <t>SC Kalina Mall;Kalinina street, 6;690035;Vladivostok;Primorsky Kray</t>
  </si>
  <si>
    <t>RU0748</t>
  </si>
  <si>
    <t>Ð¢Ð¦ Ð“Ð¸Ð¿ÐµÑ€ÑÐ¸Ñ‚Ð¸</t>
  </si>
  <si>
    <t>Kurgan</t>
  </si>
  <si>
    <t>ÑƒÐ». ÐšÐ¾Ð»Ð¸ ÐœÑÐ³Ð¾Ñ‚Ð¸Ð½Ð°, 8</t>
  </si>
  <si>
    <t>ÐšÑƒÑ€Ð³Ð°Ð½ÑÐºÐ°Ñ Ð¾Ð±Ð»Ð°ÑÑ‚ÑŒ</t>
  </si>
  <si>
    <t>Ð¢Ð¦ Ð“Ð¸Ð¿ÐµÑ€ÑÐ¸Ñ‚Ð¸;ÑƒÐ». ÐšÐ¾Ð»Ð¸ ÐœÑÐ³Ð¾Ñ‚Ð¸Ð½Ð°, 8;640000;ÐšÑƒÑ€Ð³Ð°Ð½;ÐšÑƒÑ€Ð³Ð°Ð½ÑÐºÐ°Ñ Ð¾Ð±Ð»Ð°ÑÑ‚ÑŒ</t>
  </si>
  <si>
    <t>RU0749</t>
  </si>
  <si>
    <t>Ð¢Ð Ð¦ ÐšÐ°ÑˆÐ¸Ñ€ÑÐºÐ°Ñ ÐŸÐ»Ð°Ð·Ð°</t>
  </si>
  <si>
    <t>ÐšÐ°ÑˆÐ¸Ñ€ÑÐºÐ¾Ðµ ÑˆÐ¾ÑÑÐµ 61 Ðº 2</t>
  </si>
  <si>
    <t>Ð¢Ð Ð¦ ÐšÐ°ÑˆÐ¸Ñ€ÑÐºÐ°Ñ ÐŸÐ»Ð°Ð·Ð°;ÐšÐ°ÑˆÐ¸Ñ€ÑÐºÐ¾Ðµ ÑˆÐ¾ÑÑÐµ 61 Ðº 2;115563;Moscow</t>
  </si>
  <si>
    <t>RU0752</t>
  </si>
  <si>
    <t>SC Armada 2</t>
  </si>
  <si>
    <t>Orenburg</t>
  </si>
  <si>
    <t>Nezhinskoye Shosse 2Ð°</t>
  </si>
  <si>
    <t>Orenburg Region</t>
  </si>
  <si>
    <t>Nezhinskoye Shosse 2Ð°;;460051;Orenburg;Orenburg Region</t>
  </si>
  <si>
    <t>RU0753</t>
  </si>
  <si>
    <t>Ostrov Mechty</t>
  </si>
  <si>
    <t>prospekt Andropova, 1</t>
  </si>
  <si>
    <t>Ostrov Mechty;prospekt Andropova, 1;115533;Moscow</t>
  </si>
  <si>
    <t>RU0756</t>
  </si>
  <si>
    <t>SC Yolka</t>
  </si>
  <si>
    <t>Yoshkar-Ola</t>
  </si>
  <si>
    <t>Kirova st., 6</t>
  </si>
  <si>
    <t>Mary El republic</t>
  </si>
  <si>
    <t>SC Yolka;Kirova st., 6;424038;Yoshkar-Ola;Mary El republic</t>
  </si>
  <si>
    <t>RU0757</t>
  </si>
  <si>
    <t>Baltia Mall</t>
  </si>
  <si>
    <t>Kaliningrad</t>
  </si>
  <si>
    <t>Poselok Orlovka, Primorskoe koltso, 2</t>
  </si>
  <si>
    <t>Kaliningrad region</t>
  </si>
  <si>
    <t>Baltia Mall;Poselok Orlovka, Primorskoe koltso, 2;238324;Kaliningrad;Kaliningrad region</t>
  </si>
  <si>
    <t>RU0758</t>
  </si>
  <si>
    <t>RaMus MALL</t>
  </si>
  <si>
    <t>Nizhnekamsk</t>
  </si>
  <si>
    <t>Syuyumbike street, 7</t>
  </si>
  <si>
    <t>Tatarstan Republic</t>
  </si>
  <si>
    <t>RaMus MALL;Syuyumbike street, 7;423570;Nizhnekamsk;Tatarstan Republic</t>
  </si>
  <si>
    <t>RU0760</t>
  </si>
  <si>
    <t>Tver</t>
  </si>
  <si>
    <t>Ploschad' Gagarina, 5</t>
  </si>
  <si>
    <t>Tver Region</t>
  </si>
  <si>
    <t>SC RIO;Ploschad' Gagarina, 5;170100;TVER;Tver Region</t>
  </si>
  <si>
    <t>RU0761</t>
  </si>
  <si>
    <t>Kvartal W</t>
  </si>
  <si>
    <t>Aminievskoe shosse, bld. 15</t>
  </si>
  <si>
    <t>Kvartal W;Aminievskoe shosse, bld. 15;119530;Moscow</t>
  </si>
  <si>
    <t>RU0764</t>
  </si>
  <si>
    <t>Vologda</t>
  </si>
  <si>
    <t>Okruzhnoye shosse, 12</t>
  </si>
  <si>
    <t>Vologda region</t>
  </si>
  <si>
    <t>SC RIO;Okruzhnoye shosse, 12;160028;Vologda;Vologda region</t>
  </si>
  <si>
    <t>RU0766</t>
  </si>
  <si>
    <t>Ð¢Ð¦ ÐœÐµÐ³Ð°</t>
  </si>
  <si>
    <t>Ð’ÑÐµÐ²Ð¾Ð»Ð¶ÑÐºÐ¸Ð¹ Ñ€-Ð½, ÐœÑƒÑ€Ð¼Ð°Ð½ÑÐºÐ¾Ðµ Ñˆ, 12 ÐºÐ¼</t>
  </si>
  <si>
    <t>Ð¢Ð¦ ÐœÐµÐ³Ð°;Ð’ÑÐµÐ²Ð¾Ð»Ð¶ÑÐºÐ¸Ð¹ Ñ€-Ð½, ÐœÑƒÑ€Ð¼Ð°Ð½ÑÐºÐ¾Ðµ Ñˆ, 12 ÐºÐ¼;188680;Ð¡Ð°Ð½ÐºÑ‚-ÐŸÐµÑ‚ÐµÑ€Ð±ÑƒÑ€Ð³;Ð›ÐµÐ½Ð¸Ð½Ð³Ñ€Ð°Ð´ÑÐºÐ°Ñ Ð¾Ð±Ð»Ð°ÑÑ‚ÑŒ</t>
  </si>
  <si>
    <t>RU0769</t>
  </si>
  <si>
    <t>Maxi Kirov</t>
  </si>
  <si>
    <t>Kirov</t>
  </si>
  <si>
    <t>Luganskaya</t>
  </si>
  <si>
    <t>Luganskaya Street, 53</t>
  </si>
  <si>
    <t>Kirov Region</t>
  </si>
  <si>
    <t>Luganskaya;Luganskaya Street, 53;610044;Kirov;Kirov Region</t>
  </si>
  <si>
    <t>RU0771</t>
  </si>
  <si>
    <t>Planeta</t>
  </si>
  <si>
    <t>Shosse Kosmonavtov, 162</t>
  </si>
  <si>
    <t>Perm Region</t>
  </si>
  <si>
    <t>Planeta;Shosse Kosmonavtov, 162;614065;Perm;Perm Region</t>
  </si>
  <si>
    <t>RU0772</t>
  </si>
  <si>
    <t>FORT Otradnoe</t>
  </si>
  <si>
    <t>Dekabristov street, 12</t>
  </si>
  <si>
    <t>FORT Otradnoe;Dekabristov street, 12;127562;Moscow</t>
  </si>
  <si>
    <t>RU0773</t>
  </si>
  <si>
    <t>SC Fantastika</t>
  </si>
  <si>
    <t>Ulitsa Rodionova, 187B</t>
  </si>
  <si>
    <t>Nizhniy Novgorod Region</t>
  </si>
  <si>
    <t>SC Fantastika;Ulitsa Rodionova, 187B;603693;Nizhniy Novgorod;Nizhniy Novgorod Region</t>
  </si>
  <si>
    <t>RU0777</t>
  </si>
  <si>
    <t>BROSKO MALL</t>
  </si>
  <si>
    <t>Khabarovsk</t>
  </si>
  <si>
    <t>Pionerskaya Street, 2B</t>
  </si>
  <si>
    <t>Khabarovskiy Kray</t>
  </si>
  <si>
    <t>BROSKO MALL;Pionerskaya Street, 2B;680006;KHABAROVSK;Khabarovskiy Kray</t>
  </si>
  <si>
    <t>RU0780</t>
  </si>
  <si>
    <t>VEER mall</t>
  </si>
  <si>
    <t>Prospekt kosmonavtov, 108</t>
  </si>
  <si>
    <t>Sverdlovsk Region</t>
  </si>
  <si>
    <t>VEER mall;Prospekt kosmonavtov, 108;620017;Ekaterinburg;Sverdlovsk Region</t>
  </si>
  <si>
    <t>RU0781</t>
  </si>
  <si>
    <t>SC AVIAPARK</t>
  </si>
  <si>
    <t>Khodynskiy Bulvar, 4</t>
  </si>
  <si>
    <t>SC AVIAPARK;Khodynskiy Bulvar, 4;125252;Moscow</t>
  </si>
  <si>
    <t>RU0782</t>
  </si>
  <si>
    <t>21km Kaluzhskoe shosse</t>
  </si>
  <si>
    <t>Leninskiy destrict</t>
  </si>
  <si>
    <t>21km Kaluzhskoe shosse;Leninskiy destrict;142703;Moscow Region</t>
  </si>
  <si>
    <t>RU0799</t>
  </si>
  <si>
    <t>Bolshoy Prospekt 59</t>
  </si>
  <si>
    <t>Bolshoy Prospekt P.S., 59</t>
  </si>
  <si>
    <t>Bolshoy Prospekt 59;Bolshoy Prospekt P.S., 59;197101;Saint Petersburg</t>
  </si>
  <si>
    <t>SA0102</t>
  </si>
  <si>
    <t>Khorais Road</t>
  </si>
  <si>
    <t>Riyadh</t>
  </si>
  <si>
    <t>Saudi Arabia</t>
  </si>
  <si>
    <t>SA</t>
  </si>
  <si>
    <t>09:30-23:30</t>
  </si>
  <si>
    <t>16:00-23:30</t>
  </si>
  <si>
    <t>Khorais Road;;00966;Riyadh</t>
  </si>
  <si>
    <t>SA0105</t>
  </si>
  <si>
    <t>Souk Al Diyafa</t>
  </si>
  <si>
    <t>Mecca</t>
  </si>
  <si>
    <t>16:30-23:00</t>
  </si>
  <si>
    <t>Alzaher Street</t>
  </si>
  <si>
    <t>Souk Al Diyafa;Alzaher Street;Mecca;Mecca</t>
  </si>
  <si>
    <t>SA0135</t>
  </si>
  <si>
    <t>Oberoi</t>
  </si>
  <si>
    <t>Madina</t>
  </si>
  <si>
    <t>06:00-23:00</t>
  </si>
  <si>
    <t>King Faisal Bin Abdul Aziz Road</t>
  </si>
  <si>
    <t>Oberoi;King Faisal Bin Abdul Aziz Road;Madina;Madina</t>
  </si>
  <si>
    <t>SA0220</t>
  </si>
  <si>
    <t>Heraa International Mall</t>
  </si>
  <si>
    <t>Jeddah</t>
  </si>
  <si>
    <t>14:00-23:30</t>
  </si>
  <si>
    <t>Herra Street</t>
  </si>
  <si>
    <t>Heraa International Mall;Herra Street;jeddah;Jeddah</t>
  </si>
  <si>
    <t>SA0221</t>
  </si>
  <si>
    <t>AlAndalus Mall</t>
  </si>
  <si>
    <t>14:00-23:00</t>
  </si>
  <si>
    <t>Sulaimania Street</t>
  </si>
  <si>
    <t>AlAndalus Mall;Sulaimania Street;Jeddah;jeddah</t>
  </si>
  <si>
    <t>SA0226</t>
  </si>
  <si>
    <t>Abraj Al Bait</t>
  </si>
  <si>
    <t>10:00-23:30</t>
  </si>
  <si>
    <t>06:00-23:55</t>
  </si>
  <si>
    <t>Abraj Al Bait;;x</t>
  </si>
  <si>
    <t>SA0254</t>
  </si>
  <si>
    <t>Thalia Mall</t>
  </si>
  <si>
    <t>16:00-23:00</t>
  </si>
  <si>
    <t>Prince Mohammed Bin Abdulaziz St, Al-Rawdah</t>
  </si>
  <si>
    <t>Thalia Mall;Prince Mohammed Bin Abdulaziz St, Al-Rawdah;23431;Jeddah</t>
  </si>
  <si>
    <t>SA0343</t>
  </si>
  <si>
    <t>Sahara Mall</t>
  </si>
  <si>
    <t>King Abdul Aziz Rd</t>
  </si>
  <si>
    <t>Sahara Mall;King Abdul Aziz Rd;Riyadh;Riyadh</t>
  </si>
  <si>
    <t>SA0354</t>
  </si>
  <si>
    <t>Al Qasr Mall</t>
  </si>
  <si>
    <t>Al Qasr Mall;;Riyadh;Riyadh</t>
  </si>
  <si>
    <t>SA0376</t>
  </si>
  <si>
    <t>Dammam</t>
  </si>
  <si>
    <t>Abdullah street</t>
  </si>
  <si>
    <t>Dammam;Abdullah street;Dammam;Dammam</t>
  </si>
  <si>
    <t>SA0412</t>
  </si>
  <si>
    <t>Yanbu</t>
  </si>
  <si>
    <t>Dana Mall</t>
  </si>
  <si>
    <t>Yanbu;Dana Mall;41911</t>
  </si>
  <si>
    <t>SA0436</t>
  </si>
  <si>
    <t>Othaim Hofuf mall</t>
  </si>
  <si>
    <t>Hofuf</t>
  </si>
  <si>
    <t>Othaim Hofuf mall;;Hofuf;Hofuf</t>
  </si>
  <si>
    <t>SA0450</t>
  </si>
  <si>
    <t>Jamea Plaza</t>
  </si>
  <si>
    <t>Al Jamiah, Al-Thaghr</t>
  </si>
  <si>
    <t>Jamea Plaza;Al Jamiah, Al-Thaghr;22338;Jeddah</t>
  </si>
  <si>
    <t>SA0457</t>
  </si>
  <si>
    <t>Othaim Mall,Rabwa</t>
  </si>
  <si>
    <t>Abi Dhar Al-Ghaffari</t>
  </si>
  <si>
    <t>Othaim Mall,Rabwa;Abi Dhar Al-Ghaffari;12345;Riyadh</t>
  </si>
  <si>
    <t>SA0545</t>
  </si>
  <si>
    <t>Granada Mall</t>
  </si>
  <si>
    <t>Imam Abd Ibn Saud Bin Abdul Aziz Rd</t>
  </si>
  <si>
    <t>Granada Mall;Imam Abd Ibn Saud Bin Abdul Aziz Rd;Riyadh;Riyadh</t>
  </si>
  <si>
    <t>SA0547</t>
  </si>
  <si>
    <t>Red Sea Mall</t>
  </si>
  <si>
    <t>14:30-23:00</t>
  </si>
  <si>
    <t>King Abdul Aziz Square</t>
  </si>
  <si>
    <t>Red Sea Mall;King Abdul Aziz Square;123;Jeddah</t>
  </si>
  <si>
    <t>SA0596</t>
  </si>
  <si>
    <t>Al Khamis Avenue</t>
  </si>
  <si>
    <t>Khamies Mushayt</t>
  </si>
  <si>
    <t>military city road</t>
  </si>
  <si>
    <t>Al Khamis Avenue;military city road;-;Khamies Mushayt</t>
  </si>
  <si>
    <t>SA0599</t>
  </si>
  <si>
    <t>Riyadh Gallery</t>
  </si>
  <si>
    <t>King Fahad Rd</t>
  </si>
  <si>
    <t>Riyadh Gallery;King Fahad Rd;Riyadh;Riyadh</t>
  </si>
  <si>
    <t>SA0618</t>
  </si>
  <si>
    <t>King Abdulla Road</t>
  </si>
  <si>
    <t>Madinah</t>
  </si>
  <si>
    <t>King Abdulla Road;Madinah;x;Madinah KSA</t>
  </si>
  <si>
    <t>SA0744</t>
  </si>
  <si>
    <t>Al Khair Mall</t>
  </si>
  <si>
    <t>Al Malqa, 6545, Riyadh</t>
  </si>
  <si>
    <t>Al Khair Mall;Al Malqa, 6545, Riyadh;13521</t>
  </si>
  <si>
    <t>SA0750</t>
  </si>
  <si>
    <t>Othaim Mall Hail</t>
  </si>
  <si>
    <t>Hail</t>
  </si>
  <si>
    <t>14:30-23:30</t>
  </si>
  <si>
    <t>Hail, KSA</t>
  </si>
  <si>
    <t>Othaim Mall Hail;Hail, KSA;x</t>
  </si>
  <si>
    <t>SA0783</t>
  </si>
  <si>
    <t>Akamala Mall</t>
  </si>
  <si>
    <t>Taif</t>
  </si>
  <si>
    <t>Akamala Mall;;Taif;Taif</t>
  </si>
  <si>
    <t>SA0811</t>
  </si>
  <si>
    <t>Oasis Al Kharj</t>
  </si>
  <si>
    <t>Al Kharj</t>
  </si>
  <si>
    <t>Oasis Al Kharj;;x</t>
  </si>
  <si>
    <t>SA0820</t>
  </si>
  <si>
    <t>Al Wadi Mall</t>
  </si>
  <si>
    <t>Al Rass</t>
  </si>
  <si>
    <t>Al Wadi Mall;;x</t>
  </si>
  <si>
    <t>SA0883</t>
  </si>
  <si>
    <t>Malik Street</t>
  </si>
  <si>
    <t>Al Roshan Mall</t>
  </si>
  <si>
    <t>Malik Street;Al Roshan Mall;Jeddah;P.O. Box :- 18587</t>
  </si>
  <si>
    <t>SA0890</t>
  </si>
  <si>
    <t>Khourais Road</t>
  </si>
  <si>
    <t>Al Khayma Mall</t>
  </si>
  <si>
    <t>Khourais Road;Al Khayma Mall;Riyadh</t>
  </si>
  <si>
    <t>SA0959</t>
  </si>
  <si>
    <t>Kingdom Center</t>
  </si>
  <si>
    <t>King Fahad Road</t>
  </si>
  <si>
    <t>Kingdom Center;King Fahad Road;Riyadh;Riyadh</t>
  </si>
  <si>
    <t>SA0992</t>
  </si>
  <si>
    <t>Mall of Arabia</t>
  </si>
  <si>
    <t>Mall of Arabia;;0;Jeddah</t>
  </si>
  <si>
    <t>SA1001</t>
  </si>
  <si>
    <t>Rashid Mall Abha</t>
  </si>
  <si>
    <t>Abha</t>
  </si>
  <si>
    <t>Rashid Mall Abha;;x</t>
  </si>
  <si>
    <t>SA1002</t>
  </si>
  <si>
    <t>Rashid Mall Jizan</t>
  </si>
  <si>
    <t>Jizan</t>
  </si>
  <si>
    <t>Jizan, KSA</t>
  </si>
  <si>
    <t>Rashid Mall Jizan;Jizan, KSA;x;Jazan 82723</t>
  </si>
  <si>
    <t>SA1005</t>
  </si>
  <si>
    <t>Galleria Mall Jubail</t>
  </si>
  <si>
    <t>Jubail</t>
  </si>
  <si>
    <t>Galleria Mall Jubail;;x</t>
  </si>
  <si>
    <t>SA1007</t>
  </si>
  <si>
    <t>Rashid Mall Khobar</t>
  </si>
  <si>
    <t>Khobar</t>
  </si>
  <si>
    <t>16:30-23:30</t>
  </si>
  <si>
    <t>Khobar, KSA</t>
  </si>
  <si>
    <t>Rashid Mall Khobar;Khobar, KSA;x</t>
  </si>
  <si>
    <t>SA1008</t>
  </si>
  <si>
    <t>Nakhlah Plaza</t>
  </si>
  <si>
    <t>Nakhlah Plaza;;x</t>
  </si>
  <si>
    <t>SA1011</t>
  </si>
  <si>
    <t>West Avenue</t>
  </si>
  <si>
    <t>West Avenue;;x</t>
  </si>
  <si>
    <t>SA1016</t>
  </si>
  <si>
    <t>Dareen Mall</t>
  </si>
  <si>
    <t>08:00-23:00</t>
  </si>
  <si>
    <t>08:00-23:30</t>
  </si>
  <si>
    <t>Dareen Mall;;x</t>
  </si>
  <si>
    <t>SA1017</t>
  </si>
  <si>
    <t>Milagro Boutique</t>
  </si>
  <si>
    <t>Tabuk</t>
  </si>
  <si>
    <t>Al Imam Turki Ibn Abdullah Rd.</t>
  </si>
  <si>
    <t>Milagro Boutique;Al Imam Turki Ibn Abdullah Rd.;21425;Al Ulaya</t>
  </si>
  <si>
    <t>SA1022</t>
  </si>
  <si>
    <t>Onaizah Avenues</t>
  </si>
  <si>
    <t>Onizah</t>
  </si>
  <si>
    <t>Sheikh Mohammad Bin Othaimeen</t>
  </si>
  <si>
    <t>Onaizah Avenues;Sheikh Mohammad Bin Othaimeen;56468;Unayzah, KSA</t>
  </si>
  <si>
    <t>SA1026</t>
  </si>
  <si>
    <t>Rowaished Grand Mall</t>
  </si>
  <si>
    <t>Rowaished Grand Mall;Riyadh;x</t>
  </si>
  <si>
    <t>SA1027</t>
  </si>
  <si>
    <t>Valley Center</t>
  </si>
  <si>
    <t>2729 Wadi Waj Road, Hawaya</t>
  </si>
  <si>
    <t>Valley Center;2729 Wadi Waj Road, Hawaya;26513 8475;Taif</t>
  </si>
  <si>
    <t>SA1040</t>
  </si>
  <si>
    <t>Olaya Street</t>
  </si>
  <si>
    <t>Olaya Street;;XXX</t>
  </si>
  <si>
    <t>SA1042</t>
  </si>
  <si>
    <t>Tamimi Onaiza</t>
  </si>
  <si>
    <t>Zamil Abdullah Al Suleim, Al Faydah, Unayzah, KSA</t>
  </si>
  <si>
    <t>Tamimi Onaiza;Zamil Abdullah Al Suleim, Al Faydah, Unayzah, KSA;56241</t>
  </si>
  <si>
    <t>SA1045</t>
  </si>
  <si>
    <t>Lulu Hasa Avenue</t>
  </si>
  <si>
    <t>Lulu Hasa Avenue;;x</t>
  </si>
  <si>
    <t>SA1048</t>
  </si>
  <si>
    <t>Hamad Mall</t>
  </si>
  <si>
    <t>7511 King Abdul Aziz Road, An Nafal</t>
  </si>
  <si>
    <t>Hamad Mall;7511 King Abdul Aziz Road, An Nafal;13312 2222;Riyadh</t>
  </si>
  <si>
    <t>SA1051</t>
  </si>
  <si>
    <t>Majmuah Mall</t>
  </si>
  <si>
    <t>Majmaah</t>
  </si>
  <si>
    <t>8504 King Abdullah Rd, King Fahd</t>
  </si>
  <si>
    <t>Majmuah Mall;8504 King Abdullah Rd, King Fahd;15362;Al Majmaah</t>
  </si>
  <si>
    <t>SA1054</t>
  </si>
  <si>
    <t>Tafaseel Business Park</t>
  </si>
  <si>
    <t>Al Mathar Ash Shamali, Riyadh, KSA</t>
  </si>
  <si>
    <t>Tafaseel Business Park;Al Mathar Ash Shamali, Riyadh, KSA;12332</t>
  </si>
  <si>
    <t>SA1057</t>
  </si>
  <si>
    <t>Aliat Al Medina</t>
  </si>
  <si>
    <t>Al Hadiqah, Medina</t>
  </si>
  <si>
    <t>Aliat Al Medina;Al Hadiqah, Medina;42383 8098</t>
  </si>
  <si>
    <t>SA1059</t>
  </si>
  <si>
    <t>Turki Center</t>
  </si>
  <si>
    <t>7th St, Al Khobar Al Shamalia, Al Khobar, Saudi Arabia</t>
  </si>
  <si>
    <t>Turki Center;7th St, Al Khobar Al Shamalia, Al Khobar, Saudi Arabia;34427</t>
  </si>
  <si>
    <t>SA1413</t>
  </si>
  <si>
    <t>Riyadh Park, Northern Ring Road Branch</t>
  </si>
  <si>
    <t>Riyadh Park, Northern Ring Road Branch;Riyadh;13511</t>
  </si>
  <si>
    <t>SA1438</t>
  </si>
  <si>
    <t>King Faisal Rd</t>
  </si>
  <si>
    <t>King Faisal Rd;Tabuk;XXXX</t>
  </si>
  <si>
    <t>SA1442</t>
  </si>
  <si>
    <t>Al Ashriah Street, Ash Shati Ash Sharqi, Dammam</t>
  </si>
  <si>
    <t>Al Ashriah Street, Ash Shati Ash Sharqi, Dammam;;32414</t>
  </si>
  <si>
    <t>SA1544</t>
  </si>
  <si>
    <t>Riyadh Front</t>
  </si>
  <si>
    <t>Airport Road</t>
  </si>
  <si>
    <t>Airport Road;;11564</t>
  </si>
  <si>
    <t>SE0020</t>
  </si>
  <si>
    <t>Hamngatan 22</t>
  </si>
  <si>
    <t>Stockholm</t>
  </si>
  <si>
    <t>Sweden</t>
  </si>
  <si>
    <t>SE</t>
  </si>
  <si>
    <t>Hamngatan 22;;111 47;Stockholm</t>
  </si>
  <si>
    <t>SE0033</t>
  </si>
  <si>
    <t>Sergelgatan 1</t>
  </si>
  <si>
    <t>Sergelgatan 1, Drottninggatan 50</t>
  </si>
  <si>
    <t>Sergelgatan 1, Drottninggatan 50;;111 57;Stockholm</t>
  </si>
  <si>
    <t>SE0034</t>
  </si>
  <si>
    <t>H&amp;M Home Drottninggatan</t>
  </si>
  <si>
    <t>Drottninggatan 50</t>
  </si>
  <si>
    <t>Drottninggatan 50;;111 21;Stockholm</t>
  </si>
  <si>
    <t>SE0038</t>
  </si>
  <si>
    <t>Drottninggatan 56</t>
  </si>
  <si>
    <t>Drottninggatan 56;;111 21;Stockholm</t>
  </si>
  <si>
    <t>SE0060</t>
  </si>
  <si>
    <t>H&amp;M MAN</t>
  </si>
  <si>
    <t>SmÃ¥landsgatan 16</t>
  </si>
  <si>
    <t>SmÃ¥landsgatan 16;;111 46;Stockholm</t>
  </si>
  <si>
    <t>SE0099</t>
  </si>
  <si>
    <t>H&amp;M Home VÃ¥gen</t>
  </si>
  <si>
    <t>Ã–rebro</t>
  </si>
  <si>
    <t>KÃ¶pmannagatan 21</t>
  </si>
  <si>
    <t>KÃ¶pmannagatan 21;;70210;Ã–rebro</t>
  </si>
  <si>
    <t>SE0100</t>
  </si>
  <si>
    <t>H&amp;M Home Biblioteksgatan</t>
  </si>
  <si>
    <t>Biblioteksgatan 11</t>
  </si>
  <si>
    <t>Biblioteksgatan 11;;111 46;Stockholm</t>
  </si>
  <si>
    <t>SE0105</t>
  </si>
  <si>
    <t>MÃ¤rsta Centrum</t>
  </si>
  <si>
    <t>Sigtuna</t>
  </si>
  <si>
    <t>NymÃ¤rsta GrÃ¤nd 1</t>
  </si>
  <si>
    <t>NymÃ¤rsta GrÃ¤nd 1;;195 30;MÃ¤rsta</t>
  </si>
  <si>
    <t>SE0110</t>
  </si>
  <si>
    <t>VÃ¤sby Centrum</t>
  </si>
  <si>
    <t>DragonvÃ¤gen 86</t>
  </si>
  <si>
    <t>DragonvÃ¤gen 86;;194 33;Upplands VÃ¤sby</t>
  </si>
  <si>
    <t>SE0117</t>
  </si>
  <si>
    <t>Ã…kersberga Centrum</t>
  </si>
  <si>
    <t>Ã–sterÃ¥ker</t>
  </si>
  <si>
    <t>StorÃ¤ngstorget 3</t>
  </si>
  <si>
    <t>StorÃ¤ngstorget 3;;18430;Ã…kersberga</t>
  </si>
  <si>
    <t>SE0128</t>
  </si>
  <si>
    <t>Sollentuna Centrum</t>
  </si>
  <si>
    <t>SollentunavÃ¤gen 163</t>
  </si>
  <si>
    <t>SollentunavÃ¤gen 163;;191 47;Sollentuna</t>
  </si>
  <si>
    <t>SE0131</t>
  </si>
  <si>
    <t>Haninge Centrum</t>
  </si>
  <si>
    <t>Stores GrÃ¤nd 6</t>
  </si>
  <si>
    <t>Stores GrÃ¤nd 6;;136 43;Haninge</t>
  </si>
  <si>
    <t>SE0141</t>
  </si>
  <si>
    <t>VÃ¤llingby Centrum</t>
  </si>
  <si>
    <t>Ã…regatan 59</t>
  </si>
  <si>
    <t>Ã…regatan 59;;162 65;VÃ¤llingby</t>
  </si>
  <si>
    <t>SE0142</t>
  </si>
  <si>
    <t>Bromma Blocks</t>
  </si>
  <si>
    <t>UlvsundavÃ¤gen 185</t>
  </si>
  <si>
    <t>UlvsundavÃ¤gen 185;;168 67;Bromma</t>
  </si>
  <si>
    <t>SE0144</t>
  </si>
  <si>
    <t>Mall of Scandinavia</t>
  </si>
  <si>
    <t>Evenemangsgatan 14C</t>
  </si>
  <si>
    <t>Evenemangsgatan 14C;;16979;Solna</t>
  </si>
  <si>
    <t>SE0145</t>
  </si>
  <si>
    <t>Solna Centrum</t>
  </si>
  <si>
    <t>Solna Torg 10</t>
  </si>
  <si>
    <t>Solna Torg 10;;171 45;Solna</t>
  </si>
  <si>
    <t>SE0147</t>
  </si>
  <si>
    <t>Huddinge Centrum</t>
  </si>
  <si>
    <t>Forelltorget 8</t>
  </si>
  <si>
    <t>Forelltorget 8;;141 47;Huddinge</t>
  </si>
  <si>
    <t>SE0150</t>
  </si>
  <si>
    <t>SkÃ¤rholmen Centrum</t>
  </si>
  <si>
    <t>ByholmsgÃ¥ngen 2</t>
  </si>
  <si>
    <t>ByholmsgÃ¥ngen 2;;127 48;SkÃ¤rholmen</t>
  </si>
  <si>
    <t>SE0151</t>
  </si>
  <si>
    <t>TÃ¤by Centrum</t>
  </si>
  <si>
    <t>BiblioteksgÃ¥ngen 1, nr 151</t>
  </si>
  <si>
    <t>BiblioteksgÃ¥ngen 1, nr 151;;183 34;TÃ¤by</t>
  </si>
  <si>
    <t>SE0152</t>
  </si>
  <si>
    <t>Kungens Kurva</t>
  </si>
  <si>
    <t>ModulvÃ¤gen 6</t>
  </si>
  <si>
    <t>ModulvÃ¤gen 6;;14175;Kungens Kurva</t>
  </si>
  <si>
    <t>SE0158</t>
  </si>
  <si>
    <t>Nacka Forum</t>
  </si>
  <si>
    <t>VikdalsvÃ¤gen 6A</t>
  </si>
  <si>
    <t>VikdalsvÃ¤gen 6A;;131 45;Nacka</t>
  </si>
  <si>
    <t>SE0160</t>
  </si>
  <si>
    <t>VÃ¤rmdÃ¶ KÃ¶pcentrum</t>
  </si>
  <si>
    <t>Fenix vÃ¤g 4</t>
  </si>
  <si>
    <t>Fenix vÃ¤g 4;;134 44;Gustavsberg</t>
  </si>
  <si>
    <t>SE0167</t>
  </si>
  <si>
    <t>TyresÃ¶ Centrum</t>
  </si>
  <si>
    <t>Ã–stangrÃ¤nd 10</t>
  </si>
  <si>
    <t>Ã–stangrÃ¤nd 10;;135 40;TyresÃ¶</t>
  </si>
  <si>
    <t>SE0176</t>
  </si>
  <si>
    <t>Ringen</t>
  </si>
  <si>
    <t>GÃ¶tgatan 132</t>
  </si>
  <si>
    <t>GÃ¶tgatan 132;;118 62;Stockholm</t>
  </si>
  <si>
    <t>SE0177</t>
  </si>
  <si>
    <t>Farsta Centrum</t>
  </si>
  <si>
    <t>Farsta Torg 10</t>
  </si>
  <si>
    <t>Farsta Torg 10;;123 47;Farsta</t>
  </si>
  <si>
    <t>SE0178</t>
  </si>
  <si>
    <t>Globen</t>
  </si>
  <si>
    <t>ArenavÃ¤gen 59</t>
  </si>
  <si>
    <t>ArenavÃ¤gen 59;;121 77;Johanneshov</t>
  </si>
  <si>
    <t>SE0179</t>
  </si>
  <si>
    <t>Liljeholmen</t>
  </si>
  <si>
    <t>Liljeholmstorget 5</t>
  </si>
  <si>
    <t>Liljeholmstorget 5;;117 63;Stockholm</t>
  </si>
  <si>
    <t>SE0180</t>
  </si>
  <si>
    <t>Hornstull</t>
  </si>
  <si>
    <t>LÃ¥ngholmsgatan 17-21</t>
  </si>
  <si>
    <t>LÃ¥ngholmsgatan 17-21;;11733;Stockholm</t>
  </si>
  <si>
    <t>SE0181</t>
  </si>
  <si>
    <t>FÃ¤ltÃ¶versten</t>
  </si>
  <si>
    <t>Karlaplan 13</t>
  </si>
  <si>
    <t>Karlaplan 13;;115 22;Stockholm</t>
  </si>
  <si>
    <t>SE0182</t>
  </si>
  <si>
    <t>LidingÃ¶ Centrum</t>
  </si>
  <si>
    <t>FriggavÃ¤gen 32</t>
  </si>
  <si>
    <t>FriggavÃ¤gen 32;;181 32;LidingÃ¶</t>
  </si>
  <si>
    <t>SE0183</t>
  </si>
  <si>
    <t>Kista Galleria</t>
  </si>
  <si>
    <t>HanstavÃ¤gen 55 F</t>
  </si>
  <si>
    <t>HanstavÃ¤gen 55 F;;164 91;Kista</t>
  </si>
  <si>
    <t>SE0187</t>
  </si>
  <si>
    <t>VÃ¤stermalmsgallerian</t>
  </si>
  <si>
    <t>S:t Eriksgatan 45</t>
  </si>
  <si>
    <t>S:t Eriksgatan 45;;112 34;Stockholm</t>
  </si>
  <si>
    <t>SE0190</t>
  </si>
  <si>
    <t>GrÃ¤nbystaden</t>
  </si>
  <si>
    <t>Uppsala</t>
  </si>
  <si>
    <t>Marknadsgatan 1</t>
  </si>
  <si>
    <t>Marknadsgatan 1;;754 31;Uppsala</t>
  </si>
  <si>
    <t>SE0192</t>
  </si>
  <si>
    <t>Visby</t>
  </si>
  <si>
    <t>Gotland</t>
  </si>
  <si>
    <t>Ã–stervÃ¤gen 7-9</t>
  </si>
  <si>
    <t>Ã–stervÃ¤gen 7-9;;621 45;Visby</t>
  </si>
  <si>
    <t>SE0196</t>
  </si>
  <si>
    <t>MÃ¶rby Centrum</t>
  </si>
  <si>
    <t>GolfvÃ¤gen 8</t>
  </si>
  <si>
    <t>GolfvÃ¤gen 8;;182 31;Danderyd</t>
  </si>
  <si>
    <t>SE0210</t>
  </si>
  <si>
    <t>MÃ¶lndal</t>
  </si>
  <si>
    <t>Brogatan 32</t>
  </si>
  <si>
    <t>Brogatan 32;;43130;MÃ¶lndal</t>
  </si>
  <si>
    <t>SE0212</t>
  </si>
  <si>
    <t>Partille Allum</t>
  </si>
  <si>
    <t>GÃ¶teborg</t>
  </si>
  <si>
    <t>Gamla KronvÃ¤gen 7</t>
  </si>
  <si>
    <t>Gamla KronvÃ¤gen 7;;433 33;Partille</t>
  </si>
  <si>
    <t>SE0213</t>
  </si>
  <si>
    <t>KongahÃ¤lla Centrum</t>
  </si>
  <si>
    <t>KungÃ¤lv</t>
  </si>
  <si>
    <t>MarstrandsvÃ¤gen 9</t>
  </si>
  <si>
    <t>MarstrandsvÃ¤gen 9;;44247;KungÃ¤lv</t>
  </si>
  <si>
    <t>SE0215</t>
  </si>
  <si>
    <t>Elins Esplanad</t>
  </si>
  <si>
    <t>SkÃ¶vde</t>
  </si>
  <si>
    <t>KÃ¶pmannagatan 3</t>
  </si>
  <si>
    <t>KÃ¶pmannagatan 3;;541 45;SkÃ¶vde</t>
  </si>
  <si>
    <t>SE0217</t>
  </si>
  <si>
    <t>Varuhuset Femman</t>
  </si>
  <si>
    <t>Postgatan 26-32</t>
  </si>
  <si>
    <t>Postgatan 26-32;;411 06;GÃ¶teborg</t>
  </si>
  <si>
    <t>SE0221</t>
  </si>
  <si>
    <t>Nordstan</t>
  </si>
  <si>
    <t>Postgatan 24</t>
  </si>
  <si>
    <t>Postgatan 24;;411 06;GÃ¶teborg</t>
  </si>
  <si>
    <t>SE0222</t>
  </si>
  <si>
    <t>Brunnsparken GÃ¶teborg</t>
  </si>
  <si>
    <t>Ã–stra Hamngatan 23</t>
  </si>
  <si>
    <t>Ã–stra Hamngatan 23;;41110;GÃ¶teborg</t>
  </si>
  <si>
    <t>SE0238</t>
  </si>
  <si>
    <t>Katrineholm</t>
  </si>
  <si>
    <t>KÃ¶pmangatan 19</t>
  </si>
  <si>
    <t>KÃ¶pmangatan 19;;641 30;Katrineholm</t>
  </si>
  <si>
    <t>SE0244</t>
  </si>
  <si>
    <t>FrÃ¶lunda Torg</t>
  </si>
  <si>
    <t>FrÃ¶lunda Torg 42</t>
  </si>
  <si>
    <t>FrÃ¶lunda Torg 42;;421 42;VÃ¤stra FrÃ¶lunda</t>
  </si>
  <si>
    <t>SE0249</t>
  </si>
  <si>
    <t>HÃ¶gsbo</t>
  </si>
  <si>
    <t>Lona Knapes gata 1</t>
  </si>
  <si>
    <t>Lona Knapes gata 1;;421 32;VÃ¤stra FrÃ¶lunda</t>
  </si>
  <si>
    <t>SE0250</t>
  </si>
  <si>
    <t>AlingsÃ¥s</t>
  </si>
  <si>
    <t>Kungsgatan 34</t>
  </si>
  <si>
    <t>Kungsgatan 34;;44131;AlingsÃ¥s</t>
  </si>
  <si>
    <t>SE0264</t>
  </si>
  <si>
    <t>Baronen</t>
  </si>
  <si>
    <t>Kalmar</t>
  </si>
  <si>
    <t>Skeppsgatan 12</t>
  </si>
  <si>
    <t>Skeppsgatan 12;;39231;Kalmar</t>
  </si>
  <si>
    <t>SE0265</t>
  </si>
  <si>
    <t>Giraffen</t>
  </si>
  <si>
    <t>Verkstadsgatan 8</t>
  </si>
  <si>
    <t>Verkstadsgatan 8;;39239;Kalmar</t>
  </si>
  <si>
    <t>SE0280</t>
  </si>
  <si>
    <t>NÃ¤ssjÃ¶</t>
  </si>
  <si>
    <t>Storgatan 36</t>
  </si>
  <si>
    <t>Storgatan 36;;57131;NÃ¤ssjÃ¶</t>
  </si>
  <si>
    <t>SE0300</t>
  </si>
  <si>
    <t>JÃ¶nkÃ¶ping C</t>
  </si>
  <si>
    <t>JÃ¶nkÃ¶ping</t>
  </si>
  <si>
    <t>Ã–stra Storgatan 7-9</t>
  </si>
  <si>
    <t>Ã–stra Storgatan 7-9;;55321;JÃ¶nkÃ¶ping</t>
  </si>
  <si>
    <t>SE0310</t>
  </si>
  <si>
    <t>VÃ¤rnamo Pelikanen</t>
  </si>
  <si>
    <t>VÃ¤rnamo</t>
  </si>
  <si>
    <t>Storgatan 32</t>
  </si>
  <si>
    <t>Storgatan 32;;33131;VÃ¤rnamo</t>
  </si>
  <si>
    <t>SE0321</t>
  </si>
  <si>
    <t>H&amp;M Home Gustav Adolfs Torg</t>
  </si>
  <si>
    <t>MalmÃ¶</t>
  </si>
  <si>
    <t>Gustav Adolfs Torg 2</t>
  </si>
  <si>
    <t>Gustav Adolfs Torg 2;;211 38;MalmÃ¶</t>
  </si>
  <si>
    <t>SE0327</t>
  </si>
  <si>
    <t>Emporia</t>
  </si>
  <si>
    <t>Hyllie Boulevard 19</t>
  </si>
  <si>
    <t>Hyllie Boulevard 19;;215 32;MalmÃ¶</t>
  </si>
  <si>
    <t>SE0332</t>
  </si>
  <si>
    <t>Triangeln</t>
  </si>
  <si>
    <t>S. FÃ¶rstadsgatan 41</t>
  </si>
  <si>
    <t>S. FÃ¶rstadsgatan 41;;211 43;MalmÃ¶</t>
  </si>
  <si>
    <t>SE0333</t>
  </si>
  <si>
    <t>Repslagaregatan 12</t>
  </si>
  <si>
    <t>NorrkÃ¶ping</t>
  </si>
  <si>
    <t>Repslagaregatan 12;;60232;NorrkÃ¶ping</t>
  </si>
  <si>
    <t>SE0350</t>
  </si>
  <si>
    <t>Mobilia</t>
  </si>
  <si>
    <t>P-A Hanssons vÃ¤g 40</t>
  </si>
  <si>
    <t>P-A Hanssons vÃ¤g 40;;214 32;MalmÃ¶</t>
  </si>
  <si>
    <t>SE0356</t>
  </si>
  <si>
    <t>C4</t>
  </si>
  <si>
    <t>Kristianstad</t>
  </si>
  <si>
    <t>FundationsvÃ¤gen 17</t>
  </si>
  <si>
    <t>FundationsvÃ¤gen 17;;29128;Kristianstad</t>
  </si>
  <si>
    <t>SE0361</t>
  </si>
  <si>
    <t>Center Syd</t>
  </si>
  <si>
    <t>KÃ¤vlinge</t>
  </si>
  <si>
    <t>MarknadsvÃ¤gen 7</t>
  </si>
  <si>
    <t>MarknadsvÃ¤gen 7;;246 42;LÃ¶ddekÃ¶pinge</t>
  </si>
  <si>
    <t>SE0363</t>
  </si>
  <si>
    <t>SE0372</t>
  </si>
  <si>
    <t>Trelleborg</t>
  </si>
  <si>
    <t>Algatan 21</t>
  </si>
  <si>
    <t>Algatan 21;;23142;Trelleborg</t>
  </si>
  <si>
    <t>SE0378</t>
  </si>
  <si>
    <t>SmÃ¥staden</t>
  </si>
  <si>
    <t>PiteÃ¥</t>
  </si>
  <si>
    <t>Storgatan 63</t>
  </si>
  <si>
    <t>Storgatan 63;;94132;PiteÃ¥</t>
  </si>
  <si>
    <t>SE0381</t>
  </si>
  <si>
    <t>Boden</t>
  </si>
  <si>
    <t>FÃ¤rgaregatan 10</t>
  </si>
  <si>
    <t>FÃ¤rgaregatan 10;;96135;Boden</t>
  </si>
  <si>
    <t>SE0382</t>
  </si>
  <si>
    <t>Karlshamn</t>
  </si>
  <si>
    <t>Drottninggatan 57</t>
  </si>
  <si>
    <t>Drottninggatan 57;;37436;Karlshamn</t>
  </si>
  <si>
    <t>SE0383</t>
  </si>
  <si>
    <t>Ã„ngelholm C</t>
  </si>
  <si>
    <t>Ã„ngelholm</t>
  </si>
  <si>
    <t>Storgatan 29A</t>
  </si>
  <si>
    <t>Storgatan 29A;;26232;Ã„ngelholm</t>
  </si>
  <si>
    <t>SE0385</t>
  </si>
  <si>
    <t>Samarkand</t>
  </si>
  <si>
    <t>VÃ¤xjÃ¶</t>
  </si>
  <si>
    <t>MÃ¶rners vÃ¤g 111</t>
  </si>
  <si>
    <t>MÃ¶rners vÃ¤g 111;;352 46;VÃ¤xjÃ¶</t>
  </si>
  <si>
    <t>SE0386</t>
  </si>
  <si>
    <t>VÃ¤xjÃ¶ City</t>
  </si>
  <si>
    <t>Storgatan 36;;35231;VÃ¤xjÃ¶</t>
  </si>
  <si>
    <t>SE0390</t>
  </si>
  <si>
    <t>Oskarshamn</t>
  </si>
  <si>
    <t>Flanaden 8</t>
  </si>
  <si>
    <t>Flanaden 8;;57230;Oskarshamn</t>
  </si>
  <si>
    <t>SE0391</t>
  </si>
  <si>
    <t>TÃ¶cksfors</t>
  </si>
  <si>
    <t>Ã„lverudsvÃ¤gen 1</t>
  </si>
  <si>
    <t>Ã„lverudsvÃ¤gen 1;;67010;TÃ¶cksfors</t>
  </si>
  <si>
    <t>SE0397</t>
  </si>
  <si>
    <t>Karlstad Bergvik</t>
  </si>
  <si>
    <t>Karlstad</t>
  </si>
  <si>
    <t>FrykmansvÃ¤g 1</t>
  </si>
  <si>
    <t>FrykmansvÃ¤g 1;;65346;Karlstad</t>
  </si>
  <si>
    <t>SE0399</t>
  </si>
  <si>
    <t>Karlstad City</t>
  </si>
  <si>
    <t>Drottninggatan 12</t>
  </si>
  <si>
    <t>Drottninggatan 12;;65225;Karlstad</t>
  </si>
  <si>
    <t>SE0400</t>
  </si>
  <si>
    <t>BorÃ¥s Pallas</t>
  </si>
  <si>
    <t>BorÃ¥s</t>
  </si>
  <si>
    <t>Lilla Brogatan 8</t>
  </si>
  <si>
    <t>Lilla Brogatan 8;;50330;BorÃ¥s</t>
  </si>
  <si>
    <t>SE0401</t>
  </si>
  <si>
    <t>Knalleland</t>
  </si>
  <si>
    <t>Bergslenagatan 8</t>
  </si>
  <si>
    <t>Bergslenagatan 8;;506 30;BorÃ¥s</t>
  </si>
  <si>
    <t>SE0402</t>
  </si>
  <si>
    <t>Guldsmeden</t>
  </si>
  <si>
    <t>Hudiksvall</t>
  </si>
  <si>
    <t>Storgatan 25</t>
  </si>
  <si>
    <t>Storgatan 25;;824 30;Hudiksvall</t>
  </si>
  <si>
    <t>SE0404</t>
  </si>
  <si>
    <t>Ã–rebro City</t>
  </si>
  <si>
    <t>KÃ¶pmangatan 12</t>
  </si>
  <si>
    <t>KÃ¶pmangatan 12;;702 10;Ã–rebro</t>
  </si>
  <si>
    <t>SE0405</t>
  </si>
  <si>
    <t>Marieberg</t>
  </si>
  <si>
    <t>VaruvÃ¤gen 10</t>
  </si>
  <si>
    <t>VaruvÃ¤gen 10;;70236;Ã–rebro</t>
  </si>
  <si>
    <t>SE0406</t>
  </si>
  <si>
    <t>Hallarna Halmstad</t>
  </si>
  <si>
    <t>Halmstad</t>
  </si>
  <si>
    <t>PrÃ¤stvÃ¤gen 1</t>
  </si>
  <si>
    <t>PrÃ¤stvÃ¤gen 1;;302 63;Halmstad</t>
  </si>
  <si>
    <t>SE0407</t>
  </si>
  <si>
    <t>Falun</t>
  </si>
  <si>
    <t>Ã–stra Hamngatan 8</t>
  </si>
  <si>
    <t>Ã–stra Hamngatan 8;;791 71;Falun</t>
  </si>
  <si>
    <t>SE0408</t>
  </si>
  <si>
    <t>Charlottenberg</t>
  </si>
  <si>
    <t>Eda</t>
  </si>
  <si>
    <t>Helga GÃ¶rlins gata 1</t>
  </si>
  <si>
    <t>Helga GÃ¶rlins gata 1;;673 32;Charlottenberg</t>
  </si>
  <si>
    <t>SE0416</t>
  </si>
  <si>
    <t>Lund City</t>
  </si>
  <si>
    <t>Lund</t>
  </si>
  <si>
    <t>Stora SÃ¶dergatan 3</t>
  </si>
  <si>
    <t>Stora SÃ¶dergatan 3;;222 23;Lund</t>
  </si>
  <si>
    <t>SE0417</t>
  </si>
  <si>
    <t>Nova Lund</t>
  </si>
  <si>
    <t>FÃ¶retagsvÃ¤gen 10</t>
  </si>
  <si>
    <t>FÃ¶retagsvÃ¤gen 10;;227 61;Lund</t>
  </si>
  <si>
    <t>SE0421</t>
  </si>
  <si>
    <t>Tuna Park</t>
  </si>
  <si>
    <t>Eskilstuna</t>
  </si>
  <si>
    <t>Gunborg NymansvÃ¤g 2</t>
  </si>
  <si>
    <t>Gunborg NymansvÃ¤g 2;;632 22;Eskilstuna</t>
  </si>
  <si>
    <t>SE0422</t>
  </si>
  <si>
    <t>Vasagatan 13</t>
  </si>
  <si>
    <t>VÃ¤sterÃ¥s</t>
  </si>
  <si>
    <t>Vasagatan 13;;722 15;VÃ¤sterÃ¥s</t>
  </si>
  <si>
    <t>SE0423</t>
  </si>
  <si>
    <t>SvartbÃ¤cksgatan 4</t>
  </si>
  <si>
    <t>13:00-16:00</t>
  </si>
  <si>
    <t>SvartbÃ¤cksgatan 4;;753 20;Uppsala</t>
  </si>
  <si>
    <t>SE0425</t>
  </si>
  <si>
    <t>Erikslund</t>
  </si>
  <si>
    <t>Krankroksgatan 17</t>
  </si>
  <si>
    <t>Krankroksgatan 17;;721 38;VÃ¤sterÃ¥s</t>
  </si>
  <si>
    <t>SE0426</t>
  </si>
  <si>
    <t>Sala Torg</t>
  </si>
  <si>
    <t>Sala</t>
  </si>
  <si>
    <t>BrÃ¥stagatan 1</t>
  </si>
  <si>
    <t>BrÃ¥stagatan 1;;733 30;Sala</t>
  </si>
  <si>
    <t>SE0428</t>
  </si>
  <si>
    <t>A6-center</t>
  </si>
  <si>
    <t>Kompanigatan 36</t>
  </si>
  <si>
    <t>Kompanigatan 36;;55011;JÃ¶nkÃ¶ping</t>
  </si>
  <si>
    <t>SE0429</t>
  </si>
  <si>
    <t>FalkÃ¶ping</t>
  </si>
  <si>
    <t>Nygatan 25</t>
  </si>
  <si>
    <t>Nygatan 25;;52142;FalkÃ¶ping</t>
  </si>
  <si>
    <t>SE0430</t>
  </si>
  <si>
    <t>Varberg</t>
  </si>
  <si>
    <t>VÃ¤stra Vallgatan 2</t>
  </si>
  <si>
    <t>VÃ¤stra Vallgatan 2;;432 41;Varberg</t>
  </si>
  <si>
    <t>SE0438</t>
  </si>
  <si>
    <t>Eskilstuna City</t>
  </si>
  <si>
    <t>Kungsgatan 29</t>
  </si>
  <si>
    <t>Kungsgatan 29;;632 20;Eskilstuna</t>
  </si>
  <si>
    <t>SE0440</t>
  </si>
  <si>
    <t>HÃ¤rnÃ¶sand</t>
  </si>
  <si>
    <t>Storgatan 15</t>
  </si>
  <si>
    <t>Storgatan 15;;871 31;HÃ¤rnÃ¶sand</t>
  </si>
  <si>
    <t>SE0441</t>
  </si>
  <si>
    <t>NorrtÃ¤lje</t>
  </si>
  <si>
    <t>Tullportsgatan 9</t>
  </si>
  <si>
    <t>Tullportsgatan 9;;761 30;NorrtÃ¤lje</t>
  </si>
  <si>
    <t>SE0442</t>
  </si>
  <si>
    <t>Kullagatan 2</t>
  </si>
  <si>
    <t>Helsingborg</t>
  </si>
  <si>
    <t>Kullagatan 2;;252 20;Helsingborg</t>
  </si>
  <si>
    <t>SE0443</t>
  </si>
  <si>
    <t>Landskrona</t>
  </si>
  <si>
    <t>JÃ¤rnvÃ¤gsgatan 4D</t>
  </si>
  <si>
    <t>JÃ¤rnvÃ¤gsgatan 4D;;261 32;Landskrona</t>
  </si>
  <si>
    <t>SE0444</t>
  </si>
  <si>
    <t>KungsmÃ¤ssan</t>
  </si>
  <si>
    <t>Kungsbacka</t>
  </si>
  <si>
    <t>BorgmÃ¤staregatan 5</t>
  </si>
  <si>
    <t>BorgmÃ¤staregatan 5;;434 38;Kungsbacka</t>
  </si>
  <si>
    <t>SE0445</t>
  </si>
  <si>
    <t>Stenungsund</t>
  </si>
  <si>
    <t>Ã–stra KÃ¶pmansgatan 20</t>
  </si>
  <si>
    <t>Ã–stra KÃ¶pmansgatan 20;;44430;Stenungsund</t>
  </si>
  <si>
    <t>SE0446</t>
  </si>
  <si>
    <t>Tanum</t>
  </si>
  <si>
    <t>BrehogsvÃ¤gen 5</t>
  </si>
  <si>
    <t>BrehogsvÃ¤gen 5;;45732;Tanumshede</t>
  </si>
  <si>
    <t>SE0448</t>
  </si>
  <si>
    <t>Utopia</t>
  </si>
  <si>
    <t>UmeÃ¥</t>
  </si>
  <si>
    <t>RÃ¥dhusesplanaden 4C</t>
  </si>
  <si>
    <t>RÃ¥dhusesplanaden 4C;;90328;UmeÃ¥</t>
  </si>
  <si>
    <t>SE0449</t>
  </si>
  <si>
    <t>Ã–verby</t>
  </si>
  <si>
    <t>TrollhÃ¤ttan</t>
  </si>
  <si>
    <t>LadugÃ¥rdsvÃ¤gen 12</t>
  </si>
  <si>
    <t>LadugÃ¥rdsvÃ¤gen 12;;461 70;TrollhÃ¤ttan</t>
  </si>
  <si>
    <t>SE0450</t>
  </si>
  <si>
    <t>Avion Shopping</t>
  </si>
  <si>
    <t>Marknadsgatan 11</t>
  </si>
  <si>
    <t>Marknadsgatan 11;;90422;UmeÃ¥</t>
  </si>
  <si>
    <t>SE0452</t>
  </si>
  <si>
    <t>Sundsvall</t>
  </si>
  <si>
    <t>Storgatan 36;;852 30;Sundsvall</t>
  </si>
  <si>
    <t>SE0453</t>
  </si>
  <si>
    <t>SÃ¶dertÃ¤lje</t>
  </si>
  <si>
    <t>Storgatan 6</t>
  </si>
  <si>
    <t>Storgatan 6;;151 33;SÃ¶dertÃ¤lje</t>
  </si>
  <si>
    <t>SE0454</t>
  </si>
  <si>
    <t>Ã–stersund C</t>
  </si>
  <si>
    <t>Ã–stersund</t>
  </si>
  <si>
    <t>PrÃ¤stgatan 32</t>
  </si>
  <si>
    <t>PrÃ¤stgatan 32;;831 31;Ã–stersund</t>
  </si>
  <si>
    <t>SE0457</t>
  </si>
  <si>
    <t>HÃ¤ssleholm</t>
  </si>
  <si>
    <t>Frykholmsgatan 8 A</t>
  </si>
  <si>
    <t>Frykholmsgatan 8 A;;281 31;HÃ¤ssleholm</t>
  </si>
  <si>
    <t>SE0458</t>
  </si>
  <si>
    <t>Ersboda</t>
  </si>
  <si>
    <t>FormvÃ¤gen 4</t>
  </si>
  <si>
    <t>FormvÃ¤gen 4;;906 21;UmeÃ¥</t>
  </si>
  <si>
    <t>SE0459</t>
  </si>
  <si>
    <t>Kupolen</t>
  </si>
  <si>
    <t>BorlÃ¤nge</t>
  </si>
  <si>
    <t>Kupolen 53</t>
  </si>
  <si>
    <t>Kupolen 53;;781 70;BorlÃ¤nge</t>
  </si>
  <si>
    <t>SE0461</t>
  </si>
  <si>
    <t>SÃ¶derhamn</t>
  </si>
  <si>
    <t>KÃ¶pmangatan 4C</t>
  </si>
  <si>
    <t>KÃ¶pmangatan 4C;;82630;SÃ¶derhamn</t>
  </si>
  <si>
    <t>SE0466</t>
  </si>
  <si>
    <t>VÃ¤la</t>
  </si>
  <si>
    <t>MarknadsvÃ¤gen 9</t>
  </si>
  <si>
    <t>MarknadsvÃ¤gen 9;;25469;Ã–dÃ¥kra</t>
  </si>
  <si>
    <t>SE0467</t>
  </si>
  <si>
    <t>Avesta</t>
  </si>
  <si>
    <t>Markustorget 1</t>
  </si>
  <si>
    <t>Markustorget 1;;77430;Avesta</t>
  </si>
  <si>
    <t>SE0469</t>
  </si>
  <si>
    <t>Vintergatans KÃ¶pcentrum</t>
  </si>
  <si>
    <t>SkellefteÃ¥</t>
  </si>
  <si>
    <t>TrÃ¤dgÃ¥rdsgatan 15</t>
  </si>
  <si>
    <t>TrÃ¤dgÃ¥rdsgatan 15;;931 32;SkellefteÃ¥</t>
  </si>
  <si>
    <t>SE0470</t>
  </si>
  <si>
    <t>Storgatan 51</t>
  </si>
  <si>
    <t>LuleÃ¥</t>
  </si>
  <si>
    <t>Storgatan 51;;972 31;LuleÃ¥</t>
  </si>
  <si>
    <t>SE0471</t>
  </si>
  <si>
    <t>StorhedsvÃ¤gen 3</t>
  </si>
  <si>
    <t>StorhedsvÃ¤gen 3;;97345;LuleÃ¥</t>
  </si>
  <si>
    <t>SE0475</t>
  </si>
  <si>
    <t>VÃ¤stervik</t>
  </si>
  <si>
    <t>Bredgatan 3</t>
  </si>
  <si>
    <t>Bredgatan 3;;593 00;VÃ¤stervik</t>
  </si>
  <si>
    <t>SE0476</t>
  </si>
  <si>
    <t>Mora C</t>
  </si>
  <si>
    <t>Mora</t>
  </si>
  <si>
    <t>Kyrkogatan 25</t>
  </si>
  <si>
    <t>Kyrkogatan 25;;792 30;Mora</t>
  </si>
  <si>
    <t>SE0477</t>
  </si>
  <si>
    <t>GÃ¤vle city</t>
  </si>
  <si>
    <t>GÃ¤vle</t>
  </si>
  <si>
    <t>Drottninggatan 9</t>
  </si>
  <si>
    <t>Drottninggatan 9;;803 20;GÃ¤vle</t>
  </si>
  <si>
    <t>SE0479</t>
  </si>
  <si>
    <t>Birsta City</t>
  </si>
  <si>
    <t>GesÃ¤llvÃ¤gen 1</t>
  </si>
  <si>
    <t>GesÃ¤llvÃ¤gen 1;;86341;Sundsvall</t>
  </si>
  <si>
    <t>SE0480</t>
  </si>
  <si>
    <t>Ystad</t>
  </si>
  <si>
    <t>Hamngatan 4</t>
  </si>
  <si>
    <t>Hamngatan 4;;271 43;Ystad</t>
  </si>
  <si>
    <t>SE0482</t>
  </si>
  <si>
    <t>Torp KÃ¶pcentrum</t>
  </si>
  <si>
    <t>Uddevalla</t>
  </si>
  <si>
    <t>Torp KÃ¶pcentrum;;451 76;Uddevalla</t>
  </si>
  <si>
    <t>SE0484</t>
  </si>
  <si>
    <t>Valbo KÃ¶pcentrum</t>
  </si>
  <si>
    <t>ValbovÃ¤gen 309</t>
  </si>
  <si>
    <t>ValbovÃ¤gen 309;;81835;Valbo</t>
  </si>
  <si>
    <t>SE0486</t>
  </si>
  <si>
    <t>Ã–rnskÃ¶ldsvik</t>
  </si>
  <si>
    <t>Storgatan 15;;891 33;Ã–rnskÃ¶ldsvik</t>
  </si>
  <si>
    <t>SE0487</t>
  </si>
  <si>
    <t>LidkÃ¶ping</t>
  </si>
  <si>
    <t>Nya Stadens Torg 5</t>
  </si>
  <si>
    <t>Nya Stadens Torg 5;;53131;LidkÃ¶ping</t>
  </si>
  <si>
    <t>SE0488</t>
  </si>
  <si>
    <t>NykÃ¶ping</t>
  </si>
  <si>
    <t>VÃ¤stra Storgatan 27</t>
  </si>
  <si>
    <t>VÃ¤stra Storgatan 27;;611 32;NykÃ¶ping</t>
  </si>
  <si>
    <t>SE0492</t>
  </si>
  <si>
    <t>LinkÃ¶ping</t>
  </si>
  <si>
    <t>12:00-15:00</t>
  </si>
  <si>
    <t>S:t Larsgatan 29</t>
  </si>
  <si>
    <t>S:t Larsgatan 29;;582 24;LinkÃ¶ping</t>
  </si>
  <si>
    <t>SE0494</t>
  </si>
  <si>
    <t>Vetlanda</t>
  </si>
  <si>
    <t>Storgatan 10</t>
  </si>
  <si>
    <t>Storgatan 10;;574 32;Vetlanda</t>
  </si>
  <si>
    <t>SE0495</t>
  </si>
  <si>
    <t>Karlskrona</t>
  </si>
  <si>
    <t>Ronnebygatan 49</t>
  </si>
  <si>
    <t>Ronnebygatan 49;;371 34;Karlskrona</t>
  </si>
  <si>
    <t>SE0496</t>
  </si>
  <si>
    <t>Nordby KÃ¶pcenter</t>
  </si>
  <si>
    <t>Nordby</t>
  </si>
  <si>
    <t>Nordby KÃ¶pcenter VÃ¤stra</t>
  </si>
  <si>
    <t>Nordby KÃ¶pcenter VÃ¤stra;;452 92;StrÃ¶mstad</t>
  </si>
  <si>
    <t>SE0498</t>
  </si>
  <si>
    <t>Ingelsta Shopping</t>
  </si>
  <si>
    <t>Koppargatan 20</t>
  </si>
  <si>
    <t>Koppargatan 20;;602 23;NorrkÃ¶ping</t>
  </si>
  <si>
    <t>SE0499</t>
  </si>
  <si>
    <t>Karlskoga</t>
  </si>
  <si>
    <t>Centrumleden 21</t>
  </si>
  <si>
    <t>Centrumleden 21;;691 31;Karlskoga</t>
  </si>
  <si>
    <t>SE0500</t>
  </si>
  <si>
    <t>i-HUSET</t>
  </si>
  <si>
    <t>VÃ¤sta Svedengatan 7</t>
  </si>
  <si>
    <t>VÃ¤sta Svedengatan 7;;58128;LinkÃ¶ping</t>
  </si>
  <si>
    <t>SG0701</t>
  </si>
  <si>
    <t>Orchard Building</t>
  </si>
  <si>
    <t>Singapore</t>
  </si>
  <si>
    <t>SG</t>
  </si>
  <si>
    <t>1 Grange Road</t>
  </si>
  <si>
    <t>#01-01 to #04-01, Orchard Building</t>
  </si>
  <si>
    <t>1 Grange Road;#01-01 to #04-01, Orchard Building;239693;Singapore</t>
  </si>
  <si>
    <t>SG0702</t>
  </si>
  <si>
    <t>ION Orchard</t>
  </si>
  <si>
    <t>2 Orchard Turn</t>
  </si>
  <si>
    <t>#B2-28/31 &amp; B3-27/34, ION Orchard</t>
  </si>
  <si>
    <t>2 Orchard Turn;#B2-28/31 &amp; B3-27/34, ION Orchard;238801;Singapore</t>
  </si>
  <si>
    <t>SG0703</t>
  </si>
  <si>
    <t>JEM</t>
  </si>
  <si>
    <t>50 Jurong Gateway Road</t>
  </si>
  <si>
    <t>#01-01 &amp; #02-01/02/03 &amp; #03-01/02, JEM</t>
  </si>
  <si>
    <t>50 Jurong Gateway Road;#01-01 &amp; #02-01/02/03 &amp; #03-01/02, JEM;608549;Singapore</t>
  </si>
  <si>
    <t>SG0704</t>
  </si>
  <si>
    <t>1 Harbourfront Walk</t>
  </si>
  <si>
    <t>#01-18/19/20, Vivo City Mall</t>
  </si>
  <si>
    <t>1 Harbourfront Walk;#01-18/19/20, Vivo City Mall;098585;Singapore</t>
  </si>
  <si>
    <t>SG0705</t>
  </si>
  <si>
    <t>Suntec City</t>
  </si>
  <si>
    <t>3 Temasek Boulevard</t>
  </si>
  <si>
    <t>#01-307/308/309/311 &amp; #02-388, Suntec City Mall</t>
  </si>
  <si>
    <t>3 Temasek Boulevard;#01-307/308/309/311 &amp; #02-388, Suntec City Mall;038983;Singapore</t>
  </si>
  <si>
    <t>SG0707</t>
  </si>
  <si>
    <t>Kallang Wave Mall</t>
  </si>
  <si>
    <t>1 Stadium Place</t>
  </si>
  <si>
    <t>#01-01/74 to 78, Kallang Wave Mall</t>
  </si>
  <si>
    <t>1 Stadium Place;#01-01/74 to 78, Kallang Wave Mall;397691;Singapore</t>
  </si>
  <si>
    <t>SG0708</t>
  </si>
  <si>
    <t>NEX</t>
  </si>
  <si>
    <t>23 Serangoon Central</t>
  </si>
  <si>
    <t>#01-12 to #01-33 23, NEX</t>
  </si>
  <si>
    <t>23 Serangoon Central;#01-12 to #01-33 23, NEX;556083;Singapore</t>
  </si>
  <si>
    <t>SG0713</t>
  </si>
  <si>
    <t>United Square</t>
  </si>
  <si>
    <t>101 Thomson Road</t>
  </si>
  <si>
    <t>#01-04, United Square</t>
  </si>
  <si>
    <t>101 Thomson Road;#01-04, United Square;307571;Singapore</t>
  </si>
  <si>
    <t>SG0716</t>
  </si>
  <si>
    <t>Paya Lebar Quarter Mall</t>
  </si>
  <si>
    <t>10 Paya Lebar Road</t>
  </si>
  <si>
    <t>#01-01/01A/02, Paya Lebar Quarter</t>
  </si>
  <si>
    <t>10 Paya Lebar Road;#01-01/01A/02, Paya Lebar Quarter;408533;Singapore</t>
  </si>
  <si>
    <t>SI0201</t>
  </si>
  <si>
    <t>Copova ulica 42</t>
  </si>
  <si>
    <t>Ljubljana</t>
  </si>
  <si>
    <t>Slovenia</t>
  </si>
  <si>
    <t>SI</t>
  </si>
  <si>
    <t>Copova ulica 42;;1000;Ljubljana</t>
  </si>
  <si>
    <t>SI0202</t>
  </si>
  <si>
    <t>City Park</t>
  </si>
  <si>
    <t>Moskovska ulica 4</t>
  </si>
  <si>
    <t>Moskovska ulica 4;;1000;Ljubljana</t>
  </si>
  <si>
    <t>SI0203</t>
  </si>
  <si>
    <t>Vetrinjska ulica 22</t>
  </si>
  <si>
    <t>Maribor</t>
  </si>
  <si>
    <t>08:00-15:00</t>
  </si>
  <si>
    <t>Vetrinjska ulica 22;;2000;Maribor</t>
  </si>
  <si>
    <t>SI0204</t>
  </si>
  <si>
    <t>Citycenter Celje</t>
  </si>
  <si>
    <t>Celje</t>
  </si>
  <si>
    <t>Mariborska cesta 100</t>
  </si>
  <si>
    <t>Mariborska cesta 100;;3000;Celje</t>
  </si>
  <si>
    <t>SI0205</t>
  </si>
  <si>
    <t>Europark Maribor</t>
  </si>
  <si>
    <t>Pobreska cesta 18</t>
  </si>
  <si>
    <t>Pobreska cesta 18;;2000;Maribor</t>
  </si>
  <si>
    <t>SI0206</t>
  </si>
  <si>
    <t>Supernova Ljubljana Rudnik</t>
  </si>
  <si>
    <t>Jurckova cesta 223</t>
  </si>
  <si>
    <t>Jurckova cesta 223;;1000;Ljubljana</t>
  </si>
  <si>
    <t>SI0208</t>
  </si>
  <si>
    <t>Qlandia Nova Gorica</t>
  </si>
  <si>
    <t>Nova Gorica</t>
  </si>
  <si>
    <t>Cesta 25.junija 1A</t>
  </si>
  <si>
    <t>Cesta 25.junija 1A;;5000;Nova Gorica</t>
  </si>
  <si>
    <t>SI0209</t>
  </si>
  <si>
    <t>Planet KOPER</t>
  </si>
  <si>
    <t>Koper</t>
  </si>
  <si>
    <t>Ankaranska cesta 2</t>
  </si>
  <si>
    <t>Ankaranska cesta 2;;6000;Koper</t>
  </si>
  <si>
    <t>SI0210</t>
  </si>
  <si>
    <t>EKZ Maximus</t>
  </si>
  <si>
    <t>Murska Sobota</t>
  </si>
  <si>
    <t>08:00-20:00</t>
  </si>
  <si>
    <t>Ulica Stefana Kovaca 43</t>
  </si>
  <si>
    <t>Ulica Stefana Kovaca 43;;9000;Murska Sobota</t>
  </si>
  <si>
    <t>SI0211</t>
  </si>
  <si>
    <t>Qlandia Novo Mesto</t>
  </si>
  <si>
    <t>Novo Mesto</t>
  </si>
  <si>
    <t>OtoÅ¡ka cesta 5</t>
  </si>
  <si>
    <t>OtoÅ¡ka cesta 5;;8000;Novo Mesto</t>
  </si>
  <si>
    <t>SI0212</t>
  </si>
  <si>
    <t>Velenjka</t>
  </si>
  <si>
    <t>Velenje</t>
  </si>
  <si>
    <t>Celjska cesta 40</t>
  </si>
  <si>
    <t>Celjska cesta 40;;3320;Velenje</t>
  </si>
  <si>
    <t>SI0214</t>
  </si>
  <si>
    <t>Aleja</t>
  </si>
  <si>
    <t>RakuÅ¡eva ulica 1</t>
  </si>
  <si>
    <t>RakuÅ¡eva ulica 1;;1000;Ljubljana</t>
  </si>
  <si>
    <t>SK0401</t>
  </si>
  <si>
    <t>Shopping Park AVION</t>
  </si>
  <si>
    <t>Bratislava</t>
  </si>
  <si>
    <t>Slovakia</t>
  </si>
  <si>
    <t>Ivanska cesta 12</t>
  </si>
  <si>
    <t>Shopping Park AVION;Ivanska cesta 12;82104;Bratislava</t>
  </si>
  <si>
    <t>SK0402</t>
  </si>
  <si>
    <t>AUPARK</t>
  </si>
  <si>
    <t>Einsteinova 18</t>
  </si>
  <si>
    <t>AUPARK;Einsteinova 18;85101;Bratislava</t>
  </si>
  <si>
    <t>SK0403</t>
  </si>
  <si>
    <t>Eurovea</t>
  </si>
  <si>
    <t>Pribinova 1/B</t>
  </si>
  <si>
    <t>Eurovea;Pribinova 1/B;81109;Bratislava</t>
  </si>
  <si>
    <t>SK0404</t>
  </si>
  <si>
    <t>Optima Kosice</t>
  </si>
  <si>
    <t>Kosice</t>
  </si>
  <si>
    <t>Moldavska cesta 32</t>
  </si>
  <si>
    <t>Optima Kosice;Moldavska cesta 32;04011;Kosice</t>
  </si>
  <si>
    <t>SK0405</t>
  </si>
  <si>
    <t>GalÃ©ria Mlyny</t>
  </si>
  <si>
    <t>Nitra</t>
  </si>
  <si>
    <t>Å tefÃ¡nikova trieda 69</t>
  </si>
  <si>
    <t>GalÃ©ria Mlyny;Å tefÃ¡nikova trieda 69;94901;Nitra</t>
  </si>
  <si>
    <t>SK0406</t>
  </si>
  <si>
    <t>AUPARK SHOPPING CENTER Å½ILINA</t>
  </si>
  <si>
    <t>Å½ilina</t>
  </si>
  <si>
    <t>VelkÃ¡ okruÅ¾nÃ¡ 59A</t>
  </si>
  <si>
    <t>AUPARK SHOPPING CENTER Å½ILINA;VelkÃ¡ okruÅ¾nÃ¡ 59A;01001;Å½ilina</t>
  </si>
  <si>
    <t>SK0407</t>
  </si>
  <si>
    <t>Polus City Center</t>
  </si>
  <si>
    <t>VajnorskÃ¡ 100</t>
  </si>
  <si>
    <t>Polus City Center;VajnorskÃ¡ 100;831 04;Bratislava</t>
  </si>
  <si>
    <t>SK0409</t>
  </si>
  <si>
    <t>ObchodnÃ¡</t>
  </si>
  <si>
    <t>ObchodnÃ¡ 43-49</t>
  </si>
  <si>
    <t>ObchodnÃ¡;ObchodnÃ¡ 43-49;81100;Bratislava</t>
  </si>
  <si>
    <t>SK0410</t>
  </si>
  <si>
    <t>Bory Mall</t>
  </si>
  <si>
    <t>LamaÄ 6780</t>
  </si>
  <si>
    <t>Bory Mall;LamaÄ 6780;84103;Bratislava</t>
  </si>
  <si>
    <t>SK0411</t>
  </si>
  <si>
    <t>Laugaricio</t>
  </si>
  <si>
    <t>TrenÄÃ­n</t>
  </si>
  <si>
    <t>7271 Bela</t>
  </si>
  <si>
    <t>Laugaricio;7271 Bela;911 01;Trencin</t>
  </si>
  <si>
    <t>SK0413</t>
  </si>
  <si>
    <t>NÃ¡kupnÃ© centrum Korzo</t>
  </si>
  <si>
    <t>Prievidza</t>
  </si>
  <si>
    <t>NÃ¡breÅ¾nÃ¡ 1913/5A</t>
  </si>
  <si>
    <t>NÃ¡kupnÃ© centrum Korzo;NÃ¡breÅ¾nÃ¡ 1913/5A;97101;Prievidza</t>
  </si>
  <si>
    <t>SK0414</t>
  </si>
  <si>
    <t>Europa</t>
  </si>
  <si>
    <t>BanskÃ¡ Bystrica</t>
  </si>
  <si>
    <t>Na TroskÃ¡ch 25</t>
  </si>
  <si>
    <t>Europa;Na TroskÃ¡ch 25;974 01;BanskÃ¡ Bystrica</t>
  </si>
  <si>
    <t>SK0415</t>
  </si>
  <si>
    <t>Aupark Kosice</t>
  </si>
  <si>
    <t>NÃ¡mestie osloboditeÄ¾ov 1</t>
  </si>
  <si>
    <t>Aupark Kosice;NÃ¡mestie osloboditeÄ¾ov 1;04001;KoÅ¡ice</t>
  </si>
  <si>
    <t>SK0417</t>
  </si>
  <si>
    <t>City Arena</t>
  </si>
  <si>
    <t>Trnava</t>
  </si>
  <si>
    <t>KollÃ¡rova 20</t>
  </si>
  <si>
    <t>City Arena;KollÃ¡rova 20;91701;Trnava</t>
  </si>
  <si>
    <t>SK0418</t>
  </si>
  <si>
    <t>Forum Poprad</t>
  </si>
  <si>
    <t>Poprad</t>
  </si>
  <si>
    <t>NÃ¡mestie svÃ¤tÃ©ho EgÃ­dia 124</t>
  </si>
  <si>
    <t>Forum Poprad;NÃ¡mestie svÃ¤tÃ©ho EgÃ­dia 124;05801;Poprad</t>
  </si>
  <si>
    <t>SK0419</t>
  </si>
  <si>
    <t>Madaras</t>
  </si>
  <si>
    <t>SpiÅ¡skÃ¡ NovÃ¡ Ves</t>
  </si>
  <si>
    <t>MlynskÃ¡ 39</t>
  </si>
  <si>
    <t>Madaras;MlynskÃ¡ 39;05102;SpiÅ¡skÃ¡ NovÃ¡ Ves</t>
  </si>
  <si>
    <t>SK0420</t>
  </si>
  <si>
    <t>OD Dituria</t>
  </si>
  <si>
    <t>Levice</t>
  </si>
  <si>
    <t>SvÃ¤tÃ©ho Michala 5</t>
  </si>
  <si>
    <t>OD Dituria;SvÃ¤tÃ©ho Michala 5;93401;Levice</t>
  </si>
  <si>
    <t>SK0421</t>
  </si>
  <si>
    <t>GalÃ©ria LuÄenec</t>
  </si>
  <si>
    <t>LuÄenec</t>
  </si>
  <si>
    <t>NÃ¡mestie republiky 5994/32</t>
  </si>
  <si>
    <t>GalÃ©ria LuÄenec;NÃ¡mestie republiky 5994/32;98401;LuÄenec 1</t>
  </si>
  <si>
    <t>SK0423</t>
  </si>
  <si>
    <t>Eperia PreÅ¡ov</t>
  </si>
  <si>
    <t>PreÅ¡ov</t>
  </si>
  <si>
    <t>Armadneho Generala L. Svobodu 25</t>
  </si>
  <si>
    <t>Eperia PreÅ¡ov;Armadneho Generala L. Svobodu 25;08001;PreÅ¡ov</t>
  </si>
  <si>
    <t>SK0424</t>
  </si>
  <si>
    <t>GalÃ©ria Martin</t>
  </si>
  <si>
    <t>Martin</t>
  </si>
  <si>
    <t>NÃ¡mestie SNP 2</t>
  </si>
  <si>
    <t>GalÃ©ria Martin;NÃ¡mestie SNP 2;03601;Martin</t>
  </si>
  <si>
    <t>SK0425</t>
  </si>
  <si>
    <t>OC GalÃ©ria Nitra</t>
  </si>
  <si>
    <t>Bratislavska 2109/5</t>
  </si>
  <si>
    <t>OC GalÃ©ria Nitra;Bratislavska 2109/5;94901;Nitra</t>
  </si>
  <si>
    <t>SK0426</t>
  </si>
  <si>
    <t>Tesco KoÅ¡ice</t>
  </si>
  <si>
    <t>TrolejbusovÃ¡ 1</t>
  </si>
  <si>
    <t>Tesco KoÅ¡ice;TrolejbusovÃ¡ 1;040 01;TrolejbusovÃ¡ 1, 040 01 KoÅ¡ice</t>
  </si>
  <si>
    <t>SK0427</t>
  </si>
  <si>
    <t>PetrÅ¾alka</t>
  </si>
  <si>
    <t>PanÃ³nska cesta 25</t>
  </si>
  <si>
    <t>PetrÅ¾alka;PanÃ³nska cesta 25;85104</t>
  </si>
  <si>
    <t>SK0428</t>
  </si>
  <si>
    <t>City Park Trnava</t>
  </si>
  <si>
    <t>TrstÃ­nska cesta 5</t>
  </si>
  <si>
    <t>City Park Trnava;TrstÃ­nska cesta 5;917 01;TrstÃ­nska cesta 676/5</t>
  </si>
  <si>
    <t>SK0429</t>
  </si>
  <si>
    <t>DubeÅˆ Å½ilina</t>
  </si>
  <si>
    <t>VysokoÅ¡kolÃ¡kov 8069/52</t>
  </si>
  <si>
    <t>DubeÅˆ Å½ilina;VysokoÅ¡kolÃ¡kov 8069/52;01008;Zilina</t>
  </si>
  <si>
    <t>SK0430</t>
  </si>
  <si>
    <t>NÃ¡mestie legionÃ¡rov 6824/1</t>
  </si>
  <si>
    <t>NÃ¡mestie legionÃ¡rov 6824/1;NÃ¡mestie legionÃ¡rov 6824/1;08048;NÃ¡mestie legionÃ¡rov 6824/1</t>
  </si>
  <si>
    <t>SK0431</t>
  </si>
  <si>
    <t>Retail Park LiptovskÃ½ MikulÃ¡Å¡</t>
  </si>
  <si>
    <t>Liptovsky Mikulas</t>
  </si>
  <si>
    <t>KamennÃ© pole 4704/11</t>
  </si>
  <si>
    <t>Retail Park LiptovskÃ½ MikulÃ¡Å¡;KamennÃ© pole 4704/11;03101</t>
  </si>
  <si>
    <t>SK0432</t>
  </si>
  <si>
    <t>GalÃ©ria DunajskÃ¡ Streda</t>
  </si>
  <si>
    <t>Dunajska Streda</t>
  </si>
  <si>
    <t>HlavnÃ¡ 75</t>
  </si>
  <si>
    <t>GalÃ©ria DunajskÃ¡ Streda;HlavnÃ¡ 75;92901</t>
  </si>
  <si>
    <t>TH0001</t>
  </si>
  <si>
    <t>The Mall Bangkapi</t>
  </si>
  <si>
    <t>Bangkok</t>
  </si>
  <si>
    <t>Thailand</t>
  </si>
  <si>
    <t>TH</t>
  </si>
  <si>
    <t>No 3522 Ladphrao Road, Khlongchan</t>
  </si>
  <si>
    <t>The Mall Bangkapi;No 3522 Ladphrao Road, Khlongchan;10240;Bangkapi</t>
  </si>
  <si>
    <t>TH0002</t>
  </si>
  <si>
    <t>Siam Paragon Shopping Center 1st-2nd Flr.</t>
  </si>
  <si>
    <t>991 Rama 1 Road, Pathumwan</t>
  </si>
  <si>
    <t>Siam Paragon Shopping Center 1st-2nd Flr.;991 Rama 1 Road, Pathumwan;10330;Pathumwan</t>
  </si>
  <si>
    <t>TH0003</t>
  </si>
  <si>
    <t>Central World Plaza 4,4/1-4/2,4/4,</t>
  </si>
  <si>
    <t>C112-114,F101-108,F117 Rajdamri Road</t>
  </si>
  <si>
    <t>Central World Plaza 4,4/1-4/2,4/4,;C112-114,F101-108,F117 Rajdamri Road;10330;Pathumwan, Bangkok</t>
  </si>
  <si>
    <t>TH0004</t>
  </si>
  <si>
    <t>EM Quartier Shopping Complex, 1st Floor, Unit 1B03-06,1CO06</t>
  </si>
  <si>
    <t>689,8 Sukhumvit Soi 35, Klongton-Nua, Wattana</t>
  </si>
  <si>
    <t>EM Quartier Shopping Complex, 1st Floor, Unit 1B03-06,1CO06;689,8 Sukhumvit Soi 35, Klongton-Nua, Wattana;10110;Wattana, Bangkok</t>
  </si>
  <si>
    <t>TH0005</t>
  </si>
  <si>
    <t>Terminal 21 Bldg. M. Flr.RM no. SH-M-045</t>
  </si>
  <si>
    <t>Soi 19 Sukhumvit, North Klongtoei, Wattana</t>
  </si>
  <si>
    <t>Terminal 21 Bldg. M. Flr.RM no. SH-M-045;Soi 19 Sukhumvit, North Klongtoei, Wattana;10110;Wattana, Bangkok</t>
  </si>
  <si>
    <t>TH0007</t>
  </si>
  <si>
    <t>Unit no. 109, 99, 99/1, 99/2 Moo 4, Super Highway Road</t>
  </si>
  <si>
    <t>Fahaam,Muang Chiangmai</t>
  </si>
  <si>
    <t>Unit no. 109, 99, 99/1, 99/2 Moo 4, Super Highway Road;Fahaam,Muang Chiangmai;50000;50000 Thailand</t>
  </si>
  <si>
    <t>TH0008</t>
  </si>
  <si>
    <t>Unit no. 111/1 Central Festival Hatyai 1518,1518/1,1518/2</t>
  </si>
  <si>
    <t>Karnchanawanich Road, Hatyai, Songkhla</t>
  </si>
  <si>
    <t>Unit no. 111/1 Central Festival Hatyai 1518,1518/1,1518/2;Karnchanawanich Road, Hatyai, Songkhla;90110;Songkhla 90110</t>
  </si>
  <si>
    <t>TH0009</t>
  </si>
  <si>
    <t>Central Plaza Bangna, Unit 128,129-131,231-232B, 1st Flr.</t>
  </si>
  <si>
    <t>587 Bangna-Trad Rd. Bangna</t>
  </si>
  <si>
    <t>Central Plaza Bangna, Unit 128,129-131,231-232B, 1st Flr.;587 Bangna-Trad Rd. Bangna;10260;Bangna, Bangkok</t>
  </si>
  <si>
    <t>TH0010</t>
  </si>
  <si>
    <t>Fashion Island Shopping Center, 87,589,589/7-9</t>
  </si>
  <si>
    <t>UNit 1083 Ram Intra Rd.Kannayao</t>
  </si>
  <si>
    <t>Fashion Island Shopping Center, 87,589,589/7-9;UNit 1083 Ram Intra Rd.Kannayao;10230;Kannayao, Bangkok</t>
  </si>
  <si>
    <t>TH0012</t>
  </si>
  <si>
    <t>Unit nos. 102R to 250R CPN Pattaya Beach, 333/99 Moo 9,</t>
  </si>
  <si>
    <t>Pattaya</t>
  </si>
  <si>
    <t>Nong-Preu sub-district, Banglamung District, Chonburi</t>
  </si>
  <si>
    <t>Unit nos. 102R to 250R CPN Pattaya Beach, 333/99 Moo 9,;Nong-Preu sub-district, Banglamung District, Chonburi;20260;Chonburi Province 20260</t>
  </si>
  <si>
    <t>TH0013</t>
  </si>
  <si>
    <t>Unit no. 118,119-120A, 120B, 133-134, 224,225</t>
  </si>
  <si>
    <t>Phuket</t>
  </si>
  <si>
    <t>74-75 Moo5, Vichit, Muang Phuket</t>
  </si>
  <si>
    <t>Unit no. 118,119-120A, 120B, 133-134, 224,225;74-75 Moo5, Vichit, Muang Phuket;83000;Phuket 83000</t>
  </si>
  <si>
    <t>TH0014</t>
  </si>
  <si>
    <t>Mega Bangna, Unit no. 1411-13,1430,1474/1</t>
  </si>
  <si>
    <t>39 Moo, Bangna-Trad Rd. Bangkaew, Bangplee.</t>
  </si>
  <si>
    <t>Mega Bangna, Unit no. 1411-13,1430,1474/1;39 Moo, Bangna-Trad Rd. Bangkaew, Bangplee.;10540;Bangplee, Samutprakarn</t>
  </si>
  <si>
    <t>TH0015</t>
  </si>
  <si>
    <t>Unit No. 161,178,179/1,179/2,180/2, 119, 119/1,119/2 Moo 6</t>
  </si>
  <si>
    <t>Tambon Sao Thong Hin, Amphur Bangyai, Nonthaburi</t>
  </si>
  <si>
    <t>Unit No. 161,178,179/1,179/2,180/2, 119, 119/1,119/2 Moo 6;Tambon Sao Thong Hin, Amphur Bangyai, Nonthaburi;11140;11140</t>
  </si>
  <si>
    <t>TH0016</t>
  </si>
  <si>
    <t>Future Park Rangsit Plaza, Unit16-17,27-28, 009A,031-032</t>
  </si>
  <si>
    <t>No. 94 Paholyothin Rd.,Thanyaburi, Prathumthani Province</t>
  </si>
  <si>
    <t>Future Park Rangsit Plaza, Unit16-17,27-28, 009A,031-032;No. 94 Paholyothin Rd.,Thanyaburi, Prathumthani Province;12130;Thanyaburi, Pathumthani</t>
  </si>
  <si>
    <t>TH0017</t>
  </si>
  <si>
    <t>Unit 1S-C10,C14,R2,R3, The Mall Bangkae</t>
  </si>
  <si>
    <t>275 M.1 Phetkasem Rd. Bangkae Nua, Pasicharoen, Bangkae</t>
  </si>
  <si>
    <t>Unit 1S-C10,C14,R2,R3, The Mall Bangkae;275 M.1 Phetkasem Rd. Bangkae Nua, Pasicharoen, Bangkae;10600;10600</t>
  </si>
  <si>
    <t>TH0018</t>
  </si>
  <si>
    <t>Paradise Park Shopping Center, Unit nos. GC065 /1C022-26</t>
  </si>
  <si>
    <t>16 Srinakarin Road, Nong Bon, Prawet</t>
  </si>
  <si>
    <t>Paradise Park Shopping Center, Unit nos. GC065 /1C022-26;16 Srinakarin Road, Nong Bon, Prawet;10250;Prawet, Bangkok</t>
  </si>
  <si>
    <t>TH0019</t>
  </si>
  <si>
    <t>Bluport Hua Hin Resort Mall, Unit # 120 Fl. 1</t>
  </si>
  <si>
    <t>Hua Hin</t>
  </si>
  <si>
    <t>8/89 Soi Moo Baan, Nong Kae, Hua Hin</t>
  </si>
  <si>
    <t>Bluport Hua Hin Resort Mall, Unit # 120 Fl. 1;8/89 Soi Moo Baan, Nong Kae, Hua Hin;77110;Hua Hin, Prachuap Khiri Khan</t>
  </si>
  <si>
    <t>TH0020</t>
  </si>
  <si>
    <t>The Mall Korat, Unit #114 Flr. 1, 1242/2S Mittraphap Rd.</t>
  </si>
  <si>
    <t>Korat</t>
  </si>
  <si>
    <t>Naimung District, Ampur Muang, Nakhorn Ratchasima</t>
  </si>
  <si>
    <t>The Mall Korat, Unit #114 Flr. 1, 1242/2S Mittraphap Rd.;Naimung District, Ampur Muang, Nakhorn Ratchasima;30000x;30000</t>
  </si>
  <si>
    <t>TH0021</t>
  </si>
  <si>
    <t>Terminal 21, Korat Unit #G001-002, 99 Mitrtapab-Nongkhai Rd</t>
  </si>
  <si>
    <t>Tambon Naimuang Muang, Nakornratchasima</t>
  </si>
  <si>
    <t>Terminal 21, Korat Unit #G001-002, 99 Mitrtapab-Nongkhai Rd;Tambon Naimuang Muang, Nakornratchasima;30000;30000</t>
  </si>
  <si>
    <t>TH0022</t>
  </si>
  <si>
    <t>Unit 201, RP 232 Floor 2 Show DC,</t>
  </si>
  <si>
    <t>Jaturatid Rd. Huai Khwang, Bangkapi</t>
  </si>
  <si>
    <t>Unit 201, RP 232 Floor 2 Show DC,;Jaturatid Rd. Huai Khwang, Bangkapi;10310;10310</t>
  </si>
  <si>
    <t>TH0023</t>
  </si>
  <si>
    <t>Crystal Park Shopping Mall, Unit #111-120,</t>
  </si>
  <si>
    <t>213,215 Pradit Manutham Road, Khweng Lat Phrao,</t>
  </si>
  <si>
    <t>Crystal Park Shopping Mall, Unit #111-120,;213,215 Pradit Manutham Road, Khweng Lat Phrao,;10230;Lat Phrao, Bangkok</t>
  </si>
  <si>
    <t>TH0024</t>
  </si>
  <si>
    <t>Level 2, Central Plaza Udon Thani, 277/1-3,271/5</t>
  </si>
  <si>
    <t>Udon Thani</t>
  </si>
  <si>
    <t>Prajaksillapakhom Road, Muang, Udon Thani</t>
  </si>
  <si>
    <t>Level 2, Central Plaza Udon Thani, 277/1-3,271/5;Prajaksillapakhom Road, Muang, Udon Thani;41000;41000</t>
  </si>
  <si>
    <t>TH0025</t>
  </si>
  <si>
    <t>Iconsiam, Charoen Nakhon 5 Alley,</t>
  </si>
  <si>
    <t>Khlong Ton Sai, Khlong San, Bangkok</t>
  </si>
  <si>
    <t>Iconsiam, Charoen Nakhon 5 Alley,;Khlong Ton Sai, Khlong San, Bangkok;10600;10600</t>
  </si>
  <si>
    <t>TH0026</t>
  </si>
  <si>
    <t>Central Plaza Chaeng Wattana Unit #152 1Fl. Unit no 255 2Fl</t>
  </si>
  <si>
    <t>99/99 Moo 2 Tumbol Bangtalad, Amphur Pakkred, Nonthaburi</t>
  </si>
  <si>
    <t>Central Plaza Chaeng Wattana Unit #152 1Fl. Unit no 255 2Fl;99/99 Moo 2 Tumbol Bangtalad, Amphur Pakkred, Nonthaburi;11120;Nonthaburi,</t>
  </si>
  <si>
    <t>TH0028</t>
  </si>
  <si>
    <t>Maya Lifestyle Shopping Center, GF, 101,102,120,121,103/1-2,</t>
  </si>
  <si>
    <t>Chiang Mai</t>
  </si>
  <si>
    <t>55 Huay Kaew Rd, Tambon,</t>
  </si>
  <si>
    <t>Maya Lifestyle Shopping Center, GF, 101,102,120,121,103/1-2,;55 Huay Kaew Rd, Tambon,;50300;Chang Wat, Chiang Mai</t>
  </si>
  <si>
    <t>TH0029</t>
  </si>
  <si>
    <t>Terminal 21 Pattaya, Pattay City,</t>
  </si>
  <si>
    <t>Bang Lamung District, Chon Buri</t>
  </si>
  <si>
    <t>Terminal 21 Pattaya, Pattay City,;Bang Lamung District, Chon Buri;20150;20150</t>
  </si>
  <si>
    <t>TH0030</t>
  </si>
  <si>
    <t>Thanon Pracha Rat Sai 2, Khwaeng Bang Sue</t>
  </si>
  <si>
    <t>Khet Bang Sue, Krung Thep Nakhon</t>
  </si>
  <si>
    <t>Thanon Pracha Rat Sai 2, Khwaeng Bang Sue;Khet Bang Sue, Krung Thep Nakhon;10800;10800</t>
  </si>
  <si>
    <t>TH0031</t>
  </si>
  <si>
    <t>Central Plaza Khon Kaen, 99,99/1 Mittraphap-Srichan road</t>
  </si>
  <si>
    <t>Khon Kaen</t>
  </si>
  <si>
    <t>Intersection, Naimuang, Muang, Khon Kaen</t>
  </si>
  <si>
    <t>Central Plaza Khon Kaen, 99,99/1 Mittraphap-Srichan road;Intersection, Naimuang, Muang, Khon Kaen;40000;40000</t>
  </si>
  <si>
    <t>TH0032</t>
  </si>
  <si>
    <t>Unit 212- 224, Level 2, Cenral Plaza Grand Rama 9, 9/9 Rama</t>
  </si>
  <si>
    <t>IX Soi 4, Khwaeng Huai Khwang, Krung Thep Maha Nakhon</t>
  </si>
  <si>
    <t>Unit 212- 224, Level 2, Cenral Plaza Grand Rama 9, 9/9 Rama;IX Soi 4, Khwaeng Huai Khwang, Krung Thep Maha Nakhon;10310;10310</t>
  </si>
  <si>
    <t>TH0033</t>
  </si>
  <si>
    <t>Central Plaza Chonburi, 55/58 1 Sukhuvit Rd. Tambon Samet,</t>
  </si>
  <si>
    <t>CHONBURI</t>
  </si>
  <si>
    <t>Central Plaza Choburi, 55/58  1  Sukhuvit Rd. Tambon Samet,</t>
  </si>
  <si>
    <t>Amphoe Mueang, Chon Buri</t>
  </si>
  <si>
    <t>Central Plaza Choburi, 55/58  1  Sukhuvit Rd. Tambon Samet,;Amphoe Mueang, Chon Buri;20000;X</t>
  </si>
  <si>
    <t>TH0034</t>
  </si>
  <si>
    <t>Central Ladprao Footway, Huai Khwang</t>
  </si>
  <si>
    <t>Districk, Bangkok</t>
  </si>
  <si>
    <t>Central Ladprao Footway, Huai Khwang;Districk, Bangkok;10310</t>
  </si>
  <si>
    <t>TH0038</t>
  </si>
  <si>
    <t>Siripong Road, Phra Nakhon</t>
  </si>
  <si>
    <t>Samutprakarn</t>
  </si>
  <si>
    <t>District, Bangkok</t>
  </si>
  <si>
    <t>Siripong Road, Phra Nakhon;District, Bangkok;10200</t>
  </si>
  <si>
    <t>TH0048</t>
  </si>
  <si>
    <t>30/39-50 Moo2, Unit 101/1 Ngamwongwan road,</t>
  </si>
  <si>
    <t>Nonthaburi</t>
  </si>
  <si>
    <t>Bang Khen, Mueang Nonthaburi District, Nonthaburi</t>
  </si>
  <si>
    <t>30/39-50 Moo2, Unit 101/1 Ngamwongwan road,;Bang Khen, Mueang Nonthaburi District, Nonthaburi;11000</t>
  </si>
  <si>
    <t>TH0053</t>
  </si>
  <si>
    <t>Central World Plaza 4,4/1-4/2,4/4</t>
  </si>
  <si>
    <t>C112-114, F101-108,F117 Rajdam Road</t>
  </si>
  <si>
    <t>Central World Plaza 4,4/1-4/2,4/4;C112-114, F101-108,F117 Rajdam Road;10330</t>
  </si>
  <si>
    <t>TN1427</t>
  </si>
  <si>
    <t>Azur City Mall</t>
  </si>
  <si>
    <t>Tunis</t>
  </si>
  <si>
    <t>Tunisia</t>
  </si>
  <si>
    <t>TN</t>
  </si>
  <si>
    <t>Ben Arous, Tunis, Tunisia</t>
  </si>
  <si>
    <t>Azur City Mall;Ben Arous, Tunis, Tunisia;x</t>
  </si>
  <si>
    <t>TN1428</t>
  </si>
  <si>
    <t>Tunis City Shopping Center</t>
  </si>
  <si>
    <t>Cebalat , Tunisia</t>
  </si>
  <si>
    <t>Tunis City Shopping Center;Cebalat , Tunisia;2032</t>
  </si>
  <si>
    <t>TR0001</t>
  </si>
  <si>
    <t>Ä°STANBUL FORUM AVM</t>
  </si>
  <si>
    <t>Istanbul</t>
  </si>
  <si>
    <t>Turkey</t>
  </si>
  <si>
    <t>TR</t>
  </si>
  <si>
    <t>Kocatepe Mahallesi PaÅŸa Caddesi</t>
  </si>
  <si>
    <t>MARMARA</t>
  </si>
  <si>
    <t>Kocatepe Mahallesi PaÅŸa Caddesi;;34045;BayrampaÅŸa - Ä°stanbul;MARMARA</t>
  </si>
  <si>
    <t>TR0002</t>
  </si>
  <si>
    <t>Ä°STANBUL Ä°STÄ°NYE PARK AVM</t>
  </si>
  <si>
    <t>PÄ±nar Mahallesi. Katar Caddesi, No: 73 Ä°stinye</t>
  </si>
  <si>
    <t>PÄ±nar Mahallesi. Katar Caddesi, No: 73 Ä°stinye;;34460;SarÄ±yer - Istanbul;MARMARA</t>
  </si>
  <si>
    <t>TR0003</t>
  </si>
  <si>
    <t>Ä°STANBUL MARMARA FORUM AVM</t>
  </si>
  <si>
    <t>Osmaniye Mah., Ekrem Kurt BulvarÄ±, E5 Yolu Ãœzeri</t>
  </si>
  <si>
    <t>Osmaniye Mah., Ekrem Kurt BulvarÄ±, E5 Yolu Ãœzeri;;34144;BakirkÃ¶y - Ä°stanbul;MARMARA</t>
  </si>
  <si>
    <t>TR0005</t>
  </si>
  <si>
    <t>Ä°STANBUL TORIUM AVM</t>
  </si>
  <si>
    <t>Saadet Dere Mh., E-5 Ãœzeri Haramidere</t>
  </si>
  <si>
    <t>Saadet Dere Mh., E-5 Ãœzeri Haramidere;;34522;Esenyurt - Ä°stanbul;MARMARA</t>
  </si>
  <si>
    <t>TR0006</t>
  </si>
  <si>
    <t>Ä°STANBUL AKBATI AVM</t>
  </si>
  <si>
    <t>Sanayi Mah. 1655. Sok. No:6 KapÄ± no:60</t>
  </si>
  <si>
    <t>Sanayi Mah. 1655. Sok. No:6 KapÄ± no:60;;34535;Esenyurt - Ä°stanbul;MARMARA</t>
  </si>
  <si>
    <t>TR0007</t>
  </si>
  <si>
    <t>ANKARA CEPA AVM</t>
  </si>
  <si>
    <t>Ankara</t>
  </si>
  <si>
    <t>Eskisehir Yolu 7. km. Mustafa Kemal Mah. 17. Sok. No.2</t>
  </si>
  <si>
    <t>IC ANADOLU</t>
  </si>
  <si>
    <t>Eskisehir Yolu 7. km. Mustafa Kemal Mah. 17. Sok. No.2;;06520;Ankara;IC ANADOLU</t>
  </si>
  <si>
    <t>TR0008</t>
  </si>
  <si>
    <t>ANKARA GORDION AVM</t>
  </si>
  <si>
    <t>Ãœmit Mah. AnkaralÄ±lar Cad.</t>
  </si>
  <si>
    <t>Ãœmit Mah. AnkaralÄ±lar Cad.;;06810;Ankara;IC ANADOLU</t>
  </si>
  <si>
    <t>TR0012</t>
  </si>
  <si>
    <t>Ä°STANBUL MARMARA PARK AVM</t>
  </si>
  <si>
    <t>GÃ¼zelyurt Mah. 1. Cadde No:33A</t>
  </si>
  <si>
    <t>GÃ¼zelyurt Mah. 1. Cadde No:33A;;34515;Esenyurt - Ä°stanbul;MARMARA</t>
  </si>
  <si>
    <t>TR0013</t>
  </si>
  <si>
    <t>ANKARA ARMADA AVM</t>
  </si>
  <si>
    <t>EskiÅŸehir Yolu No:6</t>
  </si>
  <si>
    <t>EskiÅŸehir Yolu No:6;;06520;SÃ¶ÄŸÃ¼tÃ¶zÃ¼ - ANKARA;IC ANADOLU</t>
  </si>
  <si>
    <t>TR0014</t>
  </si>
  <si>
    <t>GAZÄ°ANTEP SANKOPARK AVM</t>
  </si>
  <si>
    <t>Gaziantep</t>
  </si>
  <si>
    <t>SarÄ±gÃ¼llÃ¼k Mah. Ä°.Rafet Ä°ÅŸitmen Cad.</t>
  </si>
  <si>
    <t>GUNEYDOGU ANADOLU</t>
  </si>
  <si>
    <t>SarÄ±gÃ¼llÃ¼k Mah. Ä°.Rafet Ä°ÅŸitmen Cad.;;27200;Åžehitkamil-GAZÄ°ANTEP;GUNEYDOGU ANADOLU</t>
  </si>
  <si>
    <t>TR0015</t>
  </si>
  <si>
    <t>Ä°STANBUL Ä°STÄ°KLAL CADDESÄ°</t>
  </si>
  <si>
    <t>Katip Mustafa Ã‡elebi Mah. Ä°stiklal Cad. No: 85 BeyoÄŸlu</t>
  </si>
  <si>
    <t>Katip Mustafa Ã‡elebi Mah. Ä°stiklal Cad. No: 85 BeyoÄŸlu;;34433;Ä°STANBUL;MARMARA</t>
  </si>
  <si>
    <t>TR0016</t>
  </si>
  <si>
    <t>Ä°STANBUL BRANDIUM AVM</t>
  </si>
  <si>
    <t>KÃ¼Ã§Ã¼kbakkalkÃ¶y Mah. Dereboyu Cad. No: 29</t>
  </si>
  <si>
    <t>KÃ¼Ã§Ã¼kbakkalkÃ¶y Mah. Dereboyu Cad. No: 29;;34750;AtaÅŸehir - Ä°stanbul;MARMARA</t>
  </si>
  <si>
    <t>TR0017</t>
  </si>
  <si>
    <t>ANTALYA ERASTA AVM</t>
  </si>
  <si>
    <t>Antalya</t>
  </si>
  <si>
    <t>Fabrikalar Mah. DumlupÄ±nar BulvarÄ± No:49</t>
  </si>
  <si>
    <t>AKDENIZ</t>
  </si>
  <si>
    <t>Fabrikalar Mah. DumlupÄ±nar BulvarÄ± No:49;;07090;Kepez - Antalya;AKDENIZ</t>
  </si>
  <si>
    <t>TR0018</t>
  </si>
  <si>
    <t>SAMSUN PIAZZA AVM</t>
  </si>
  <si>
    <t>Samsun</t>
  </si>
  <si>
    <t>Ã‡arÅŸamba Caddesi No:52 Eski Garajlar Mevkii San. Sitesi YanÄ±</t>
  </si>
  <si>
    <t>KARADENIZ</t>
  </si>
  <si>
    <t>Ã‡arÅŸamba Caddesi No:52 Eski Garajlar Mevkii San. Sitesi YanÄ±;;55080;Samsun;KARADENIZ</t>
  </si>
  <si>
    <t>TR0019</t>
  </si>
  <si>
    <t>ANKARA TAURUS AVM</t>
  </si>
  <si>
    <t>Mevlana BulvarÄ± (Konya Yolu) No: 190</t>
  </si>
  <si>
    <t>Mevlana BulvarÄ± (Konya Yolu) No: 190;;06520;Ã‡ankaya-Ankara;IC ANADOLU</t>
  </si>
  <si>
    <t>TR0020</t>
  </si>
  <si>
    <t>Ä°STANBUL ZORLU CENTER AVM</t>
  </si>
  <si>
    <t>Zincirlikuyu Caddesi</t>
  </si>
  <si>
    <t>Zincirlikuyu Caddesi;;34340;BeÅŸiktaÅŸ-Ä°stanbul;MARMARA</t>
  </si>
  <si>
    <t>TR0022</t>
  </si>
  <si>
    <t>ANKARA ANKAMALL AVM</t>
  </si>
  <si>
    <t>Mevlana BulvarÄ± No:2 AkkÃ¶prÃ¼ Mevkii</t>
  </si>
  <si>
    <t>Mevlana BulvarÄ± No:2 AkkÃ¶prÃ¼ Mevkii;;063330;Yenimahalle - Ankara;IC ANADOLU</t>
  </si>
  <si>
    <t>TR0024</t>
  </si>
  <si>
    <t>ANTALYA MARKANTALYA AVM</t>
  </si>
  <si>
    <t>TahÄ±lpazarÄ± Mah. Yener Ulusoy BulvarÄ± No:1</t>
  </si>
  <si>
    <t>TahÄ±lpazarÄ± Mah. Yener Ulusoy BulvarÄ± No:1;;07600;MuratpaÅŸa-Antalya;AKDENIZ</t>
  </si>
  <si>
    <t>TR0026</t>
  </si>
  <si>
    <t>HATAY PALLADIUM ANTAKYA AVM</t>
  </si>
  <si>
    <t>Hatay</t>
  </si>
  <si>
    <t>HaraparasÄ± Mah. Ä°zzet GÃ¼Ã§lÃ¼ Cad. No:26</t>
  </si>
  <si>
    <t>HaraparasÄ± Mah. Ä°zzet GÃ¼Ã§lÃ¼ Cad. No:26;;31060;Antakya - Hatay;AKDENIZ</t>
  </si>
  <si>
    <t>TR0027</t>
  </si>
  <si>
    <t>Ä°STANBUL MALL OF ISTANBUL AVM</t>
  </si>
  <si>
    <t>SÃ¼leyman Demirel BulvarÄ± Ziya GÃ¶kalp Mah.</t>
  </si>
  <si>
    <t>SÃ¼leyman Demirel BulvarÄ± Ziya GÃ¶kalp Mah.;;34490;BaÅŸakÅŸehir-Ä°stanbul;MARMARA</t>
  </si>
  <si>
    <t>TR0028</t>
  </si>
  <si>
    <t>Ä°STANBUL Ã–ZDÄ°LEK PARK AVM</t>
  </si>
  <si>
    <t>Esentepe Mahallesi BÃ¼yÃ¼kdere Caddesi No: 181 Sisli</t>
  </si>
  <si>
    <t>Esentepe Mahallesi BÃ¼yÃ¼kdere Caddesi No: 181 Sisli;;34394;Ä°stanbul;MARMARA</t>
  </si>
  <si>
    <t>TR0030</t>
  </si>
  <si>
    <t>Ä°STANBUL BAÄžDAT CADDESÄ°</t>
  </si>
  <si>
    <t>BaÄŸdat Cad. No: 423 Suadiye, KadÄ±kÃ¶y</t>
  </si>
  <si>
    <t>BaÄŸdat Cad. No: 423 Suadiye, KadÄ±kÃ¶y;;34740;Ä°STANBUL;MARMARA</t>
  </si>
  <si>
    <t>TR0033</t>
  </si>
  <si>
    <t>SAKARYA SERDIVAN PARK AVM</t>
  </si>
  <si>
    <t>Sakarya</t>
  </si>
  <si>
    <t>ArabacÄ± AlanÄ± Mah. Mert Sok. No:25/A AdapazarÄ±</t>
  </si>
  <si>
    <t>ArabacÄ± AlanÄ± Mah. Mert Sok. No:25/A AdapazarÄ±;;54100;Sakarya;MARMARA</t>
  </si>
  <si>
    <t>TR0034</t>
  </si>
  <si>
    <t>Ä°STANBUL AQUA FLORYA AVM</t>
  </si>
  <si>
    <t>ÅženlikkÃ¶y Mh. YeÅŸilkÃ¶y HalkalÄ± Cd. No: 93/1 Florya</t>
  </si>
  <si>
    <t>ÅženlikkÃ¶y Mh. YeÅŸilkÃ¶y HalkalÄ± Cd. No: 93/1 Florya;;34153;Ä°stanbul;MARMARA</t>
  </si>
  <si>
    <t>TR0037</t>
  </si>
  <si>
    <t>CANAKKALE 17 BURDA AVM</t>
  </si>
  <si>
    <t>Ã‡anakkale</t>
  </si>
  <si>
    <t>Barbaros Mah. AtatÃ¼rk Cad. No:207</t>
  </si>
  <si>
    <t>Barbaros Mah. AtatÃ¼rk Cad. No:207;;17020;Ã‡ANAKKALE;MARMARA</t>
  </si>
  <si>
    <t>TR0038</t>
  </si>
  <si>
    <t>MUÄžLA MIDTOWN AVM</t>
  </si>
  <si>
    <t>MuÄŸla</t>
  </si>
  <si>
    <t>Kemer Mevkii, Cumhuriyet Caddesi, No:6/1, Ortakent</t>
  </si>
  <si>
    <t>EGE</t>
  </si>
  <si>
    <t>Kemer Mevkii, Cumhuriyet Caddesi, No:6/1, Ortakent;;48420;Bodrum - MuÄŸla;EGE</t>
  </si>
  <si>
    <t>TR0039</t>
  </si>
  <si>
    <t>Ä°ZMÄ°R POINT BORNOVA AVM</t>
  </si>
  <si>
    <t>Izmir</t>
  </si>
  <si>
    <t>YeÅŸilova Mah. 4174 Sok. B1-B2 Blok No: 84 Bornova</t>
  </si>
  <si>
    <t>YeÅŸilova Mah. 4174 Sok. B1-B2 Blok No: 84 Bornova;;35080;Ä°ZMÄ°R;EGE</t>
  </si>
  <si>
    <t>TR0041</t>
  </si>
  <si>
    <t>KOCAELÄ° SYMBOL AVM</t>
  </si>
  <si>
    <t>Izmit</t>
  </si>
  <si>
    <t>Yahya Kaptan D-100 Karayolu Ãœzeri No:28 BaÅŸiskele</t>
  </si>
  <si>
    <t>Yahya Kaptan D-100 Karayolu Ãœzeri No:28 BaÅŸiskele;;41110;KOCAELÄ°;MARMARA</t>
  </si>
  <si>
    <t>TR0045</t>
  </si>
  <si>
    <t>KOCAELÄ° 41 BURDA AVM</t>
  </si>
  <si>
    <t>Ã–mer TÃ¼rkÃ§akal Cad. No:7 Ä°zmit</t>
  </si>
  <si>
    <t>Ã–mer TÃ¼rkÃ§akal Cad. No:7 Ä°zmit;;41040;KOCAELÄ°;MARMARA</t>
  </si>
  <si>
    <t>TR0048</t>
  </si>
  <si>
    <t>BOLU 14 BURDA AVM</t>
  </si>
  <si>
    <t>Bolu</t>
  </si>
  <si>
    <t>PaÅŸakÃ¶y Mah. D-100 Karayolu No: 8-16</t>
  </si>
  <si>
    <t>PaÅŸakÃ¶y Mah. D-100 Karayolu No: 8-16;;14100;BOLU;KARADENIZ</t>
  </si>
  <si>
    <t>TR0049</t>
  </si>
  <si>
    <t>ANKARA ONE TOWER AVM</t>
  </si>
  <si>
    <t>Oran Mah. Kudus Cad. No:6 Dikmen</t>
  </si>
  <si>
    <t>Oran Mah. Kudus Cad. No:6 Dikmen;;06450;ANKARA;IC ANADOLU</t>
  </si>
  <si>
    <t>TR0051</t>
  </si>
  <si>
    <t>KONYA KULESÄ°TE AVM</t>
  </si>
  <si>
    <t>Konya</t>
  </si>
  <si>
    <t>Musalla BaÄŸlarÄ± Mah. Kule Cad. No: 8 SelÃ§uklu</t>
  </si>
  <si>
    <t>Musalla BaÄŸlarÄ± Mah. Kule Cad. No: 8 SelÃ§uklu;;42060;KONYA;IC ANADOLU</t>
  </si>
  <si>
    <t>TR0055</t>
  </si>
  <si>
    <t>HATAY PARK FORBES AVM</t>
  </si>
  <si>
    <t>AtatÃ¼rk BulvarÄ± No: 97</t>
  </si>
  <si>
    <t>AtatÃ¼rk BulvarÄ± No: 97;;31200;Ä°skenderun-Hatay;AKDENIZ</t>
  </si>
  <si>
    <t>TR0056</t>
  </si>
  <si>
    <t>ADANA OPTIMUM AVM</t>
  </si>
  <si>
    <t>Adana</t>
  </si>
  <si>
    <t>YÃ¼reÄŸir Mahallesi, HacÄ± SabancÄ± BulvarÄ±, No: 28</t>
  </si>
  <si>
    <t>YÃ¼reÄŸir Mahallesi, HacÄ± SabancÄ± BulvarÄ±, No: 28;;01150;Adana;AKDENIZ</t>
  </si>
  <si>
    <t>TR0057</t>
  </si>
  <si>
    <t>BALIKESÄ°R NOVADA EDREMÄ°T AVM</t>
  </si>
  <si>
    <t>Balikesir</t>
  </si>
  <si>
    <t>EroÄŸlan Mah. Ã‡anakkale Yolu Cad. Edremit</t>
  </si>
  <si>
    <t>EroÄŸlan Mah. Ã‡anakkale Yolu Cad. Edremit;;10300;BalÄ±kesir;MARMARA</t>
  </si>
  <si>
    <t>TR0059</t>
  </si>
  <si>
    <t>ANTALYA NOVAMALL MANAVGAT AVM</t>
  </si>
  <si>
    <t>Sorkun Mahallesi, 8096 Sokak, No: 5, Manavgat</t>
  </si>
  <si>
    <t>Sorkun Mahallesi, 8096 Sokak, No: 5, Manavgat;;07600;Antalya;AKDENIZ</t>
  </si>
  <si>
    <t>TR0062</t>
  </si>
  <si>
    <t>DENÄ°ZLÄ° AQUAMALL AVM</t>
  </si>
  <si>
    <t>Denizli</t>
  </si>
  <si>
    <t>Kayalar Mahallesi, Adnan Menderes BulvarÄ±, No:185</t>
  </si>
  <si>
    <t>Kayalar Mahallesi, Adnan Menderes BulvarÄ±, No:185;;20805;Denizli;EGE</t>
  </si>
  <si>
    <t>TR0065</t>
  </si>
  <si>
    <t>Ä°STANBUL CAPITOL AVM</t>
  </si>
  <si>
    <t>Mahir Ä°z Caddesi, No: 4/1 ÃœskÃ¼dar</t>
  </si>
  <si>
    <t>Mahir Ä°z Caddesi, No: 4/1 ÃœskÃ¼dar;;34662;Ä°stanbul;MARMARA</t>
  </si>
  <si>
    <t>TR0067</t>
  </si>
  <si>
    <t>ANATOLIUM BURSA AVM</t>
  </si>
  <si>
    <t>Bursa</t>
  </si>
  <si>
    <t>AlaÅŸar Mah. Yeni Yalova Cad. No:487 Osmangazi-Bursa</t>
  </si>
  <si>
    <t>AlaÅŸar Mah. Yeni Yalova Cad. No:487 Osmangazi-Bursa;;16245;Bursa;MARMARA</t>
  </si>
  <si>
    <t>TR0070</t>
  </si>
  <si>
    <t>Ä°STANBUL PALLADIUM ATAÅžEHÄ°R AVM</t>
  </si>
  <si>
    <t>Barbaros Mah. Halk Cad. No:8-B AtaÅŸehir</t>
  </si>
  <si>
    <t>Barbaros Mah. Halk Cad. No:8-B AtaÅŸehir;;34746;Ä°STANBUL;MARMARA</t>
  </si>
  <si>
    <t>TR0071</t>
  </si>
  <si>
    <t>BURSA Ã–ZDÄ°LEKPARK AVM</t>
  </si>
  <si>
    <t>Alaaddinbey Mahallesi, Ä°zmir Yolu, No: 307</t>
  </si>
  <si>
    <t>Alaaddinbey Mahallesi, Ä°zmir Yolu, No: 307;;16120;Bursa;MARMARA</t>
  </si>
  <si>
    <t>TR0073</t>
  </si>
  <si>
    <t>EDÄ°RNE ERASTA AVM</t>
  </si>
  <si>
    <t>Edirne</t>
  </si>
  <si>
    <t>Abdurrahman Mah. TalatpaÅŸa Cad. No: 59</t>
  </si>
  <si>
    <t>Abdurrahman Mah. TalatpaÅŸa Cad. No: 59;;2200;Edirne;MARMARA</t>
  </si>
  <si>
    <t>TR0074</t>
  </si>
  <si>
    <t>ANTALYA MALL OF ANTALYA AVM</t>
  </si>
  <si>
    <t>AltÄ±nove Sinan Mah. Serik Caddesi, No: 309 Kepez - Antalya</t>
  </si>
  <si>
    <t>AltÄ±nove Sinan Mah. Serik Caddesi, No: 309 Kepez - Antalya;;07170;Antalya;AKDENIZ</t>
  </si>
  <si>
    <t>TR0075</t>
  </si>
  <si>
    <t>Ä°ZMÄ°R OPTIMUM AVM</t>
  </si>
  <si>
    <t>AkÃ§ay Cad. No:103,</t>
  </si>
  <si>
    <t>AkÃ§ay Cad. No:103,;;35410;Ä°zmir;EGE</t>
  </si>
  <si>
    <t>TR0076</t>
  </si>
  <si>
    <t>ANKARA METRO MALL AVM</t>
  </si>
  <si>
    <t>Eryaman, DumlupÄ±nar 30 AÄŸustos Cad. 2/A, Etimesgut - Ankara</t>
  </si>
  <si>
    <t>Eryaman, DumlupÄ±nar 30 AÄŸustos Cad. 2/A, Etimesgut - Ankara;;06824;ANKARA;IC ANADOLU</t>
  </si>
  <si>
    <t>TR0083</t>
  </si>
  <si>
    <t>M1 MERKEZ ADANA AVM</t>
  </si>
  <si>
    <t>Ã–ÄŸretmenler Blv. 87071 Sokak No:5 Yenimahalle Seyhan</t>
  </si>
  <si>
    <t>Ã–ÄŸretmenler Blv. 87071 Sokak No:5 Yenimahalle Seyhan;;01200;Adana;AKDENIZ</t>
  </si>
  <si>
    <t>TR0085</t>
  </si>
  <si>
    <t>Ä°STANBUL HILLTOWN AVM</t>
  </si>
  <si>
    <t>AydÄ±nevler Mahallesi, Ä°nÃ¶nÃ¼ Caddesi, No:20 KÃ¼Ã§Ã¼kyalÄ±</t>
  </si>
  <si>
    <t>AydÄ±nevler Mahallesi, Ä°nÃ¶nÃ¼ Caddesi, No:20 KÃ¼Ã§Ã¼kyalÄ±;;34840;KÃ¼Ã§Ã¼kyalÄ± - Ä°stanbul;MARMARA</t>
  </si>
  <si>
    <t>TR0092</t>
  </si>
  <si>
    <t>Ä°STANBUL MALTEPE PIAZZA AVM</t>
  </si>
  <si>
    <t>Tugay Yolu Caddesi No:69 Maltepe</t>
  </si>
  <si>
    <t>Tugay Yolu Caddesi No:69 Maltepe;;34846;Istanbul;MARMARA</t>
  </si>
  <si>
    <t>TR0093</t>
  </si>
  <si>
    <t>KarÅŸÄ±yaka Hilltown</t>
  </si>
  <si>
    <t>YalÄ± Mah. 6522. Sok. No:3 KarÅŸÄ±yaka Ä°zmir</t>
  </si>
  <si>
    <t>YalÄ± Mah. 6522. Sok. No:3 KarÅŸÄ±yaka Ä°zmir;;35550;EGE</t>
  </si>
  <si>
    <t>TR0094</t>
  </si>
  <si>
    <t>Akasya AVM</t>
  </si>
  <si>
    <t>AcÄ±badem Mahallesi Ã‡eÃ§en Sokak No:25 ÃœskÃ¼dar Ä°stanbul</t>
  </si>
  <si>
    <t>AcÄ±badem Mahallesi Ã‡eÃ§en Sokak No:25 ÃœskÃ¼dar Ä°stanbul;;34660;AKDENIZ</t>
  </si>
  <si>
    <t>TR0098</t>
  </si>
  <si>
    <t>Meydan Istanbul AVM</t>
  </si>
  <si>
    <t>Fatih Sultan Mehmet Mah, Balkan Cad</t>
  </si>
  <si>
    <t>No:62 Umraniye Istanbul</t>
  </si>
  <si>
    <t>Fatih Sultan Mehmet Mah, Balkan Cad;No:62 Umraniye Istanbul;34771;MARMARA</t>
  </si>
  <si>
    <t>TW0501</t>
  </si>
  <si>
    <t>Taipei Breeze Song Gao Store</t>
  </si>
  <si>
    <t>Taipei</t>
  </si>
  <si>
    <t>Taiwan Region</t>
  </si>
  <si>
    <t>TW</t>
  </si>
  <si>
    <t>1-3F, No.16 Song Gao Road</t>
  </si>
  <si>
    <t>Taipei Breeze Song Gao Store;1-3F, No.16 Song Gao Road;110;Taipei</t>
  </si>
  <si>
    <t>TW0502</t>
  </si>
  <si>
    <t>Taipei Ximen Flagship Store</t>
  </si>
  <si>
    <t>1-5 Floor, No.116 Hanzhong Street</t>
  </si>
  <si>
    <t>Taipei Ximen Flagship Store;1-5 Floor, No.116 Hanzhong Street;108;TAIPEI</t>
  </si>
  <si>
    <t>TW0503</t>
  </si>
  <si>
    <t>Kaohsiung Dream Mall Store</t>
  </si>
  <si>
    <t>Kaohsiung</t>
  </si>
  <si>
    <t>1-2 Floor, No.789, Zhonghua 5th Rd</t>
  </si>
  <si>
    <t>Kaohsiung Dream Mall Store;1-2 Floor, No.789, Zhonghua 5th Rd;806;Kaohsiung</t>
  </si>
  <si>
    <t>TW0507</t>
  </si>
  <si>
    <t>Taichung Chung Yo Store</t>
  </si>
  <si>
    <t>Taichung</t>
  </si>
  <si>
    <t>B1-2 Floor, No.161, Section 3, Sanmin Road</t>
  </si>
  <si>
    <t>Taichung Chung Yo Store;B1-2 Floor, No.161, Section 3, Sanmin Road;404;Taichung</t>
  </si>
  <si>
    <t>TW0508</t>
  </si>
  <si>
    <t>Kaohsiung Hanshin Arena Store</t>
  </si>
  <si>
    <t>2 Floor, No. 777, Bo Ai 2nd Road, Zuoying Dist</t>
  </si>
  <si>
    <t>Kaohsiung Hanshin Arena Store;2 Floor, No. 777, Bo Ai 2nd Road, Zuoying Dist;813;Kaohsiung</t>
  </si>
  <si>
    <t>TW0510</t>
  </si>
  <si>
    <t>Taichung Top City Store</t>
  </si>
  <si>
    <t>South Wing, B1, No. 251, Sec.3, Taiwan Blvd, Xitun Dist.</t>
  </si>
  <si>
    <t>Taichung Top City Store;South Wing, B1, No. 251, Sec.3, Taiwan Blvd, Xitun Dist.;407;Taichung</t>
  </si>
  <si>
    <t>TW0511</t>
  </si>
  <si>
    <t>Hsinchu Big City Store</t>
  </si>
  <si>
    <t>Hsinchu</t>
  </si>
  <si>
    <t>1-3 Floor, No. 229 Zhongyang Road</t>
  </si>
  <si>
    <t>Hsinchu Big City Store;1-3 Floor, No. 229 Zhongyang Road;300;Hsin Chu</t>
  </si>
  <si>
    <t>TW0513</t>
  </si>
  <si>
    <t>Kaohsiung Taroko Park Store</t>
  </si>
  <si>
    <t>1-2 F, No.100, Zhongshan 4th Rd, Qianzhen Dist</t>
  </si>
  <si>
    <t>Kaohsiung Taroko Park Store;1-2 F, No.100, Zhongshan 4th Rd, Qianzhen Dist;806;Kaohsiung City</t>
  </si>
  <si>
    <t>TW0515</t>
  </si>
  <si>
    <t>Taoyuan Metro Walk Store</t>
  </si>
  <si>
    <t>Taoyuan</t>
  </si>
  <si>
    <t>1 Floor, No. 501, Section 2 Zhongyuan Road, Zhongli Dist</t>
  </si>
  <si>
    <t>Taoyuan Metro Walk Store;1 Floor, No. 501, Section 2 Zhongyuan Road, Zhongli Dist;320;Taoyuan City</t>
  </si>
  <si>
    <t>TW0516</t>
  </si>
  <si>
    <t>Taichung Taroko Mall Store</t>
  </si>
  <si>
    <t>1F, Fuxing Road, section 4, No.186, East Dist. Taichung City</t>
  </si>
  <si>
    <t>Taichung Taroko Mall Store;1F, Fuxing Road, section 4, No.186, East Dist. Taichung City;401;Taichung City</t>
  </si>
  <si>
    <t>TW0517</t>
  </si>
  <si>
    <t>Hualien FarEastern Store</t>
  </si>
  <si>
    <t>Hualien</t>
  </si>
  <si>
    <t>1-2F, No.581, Heping Road</t>
  </si>
  <si>
    <t>Hualien FarEastern Store;1-2F, No.581, Heping Road;97050;Hualien City</t>
  </si>
  <si>
    <t>TW0524</t>
  </si>
  <si>
    <t>Tainan FarEastern Gongyuan Store</t>
  </si>
  <si>
    <t>Tainan</t>
  </si>
  <si>
    <t>1&amp; 2F, No.60, Gongyuan Rd, West Central Dist, Tainan City</t>
  </si>
  <si>
    <t>Tainan FarEastern Gongyuan Store;1&amp; 2F, No.60, Gongyuan Rd, West Central Dist, Tainan City;700;Tainan</t>
  </si>
  <si>
    <t>TW0527</t>
  </si>
  <si>
    <t>Taipei Zhong Xiao Store</t>
  </si>
  <si>
    <t>1-3 Floor, No. 180, Section 4, Zhongxiao East Road, Taipei</t>
  </si>
  <si>
    <t>Taipei Zhong Xiao Store;1-3 Floor, No. 180, Section 4, Zhongxiao East Road, Taipei;106</t>
  </si>
  <si>
    <t>TW0528</t>
  </si>
  <si>
    <t>T.S Mall</t>
  </si>
  <si>
    <t>No. 366, Section 1, Zhonghua East Road, Tainan</t>
  </si>
  <si>
    <t>T.S Mall;No. 366, Section 1, Zhonghua East Road, Tainan;701;Tainan</t>
  </si>
  <si>
    <t>UA0001</t>
  </si>
  <si>
    <t>Lavina Mall</t>
  </si>
  <si>
    <t>Kyiv</t>
  </si>
  <si>
    <t>Ukraine</t>
  </si>
  <si>
    <t>UA</t>
  </si>
  <si>
    <t>Berkovetska St, 6D</t>
  </si>
  <si>
    <t>Kyiv region</t>
  </si>
  <si>
    <t>Lavina Mall;Berkovetska St, 6D;04128;Kiev;Kyiv region</t>
  </si>
  <si>
    <t>UA0004</t>
  </si>
  <si>
    <t>Shopping Centre Sky Mall</t>
  </si>
  <si>
    <t>Henerala Vatutina Ave, 2T</t>
  </si>
  <si>
    <t>Shopping Centre Sky Mall;Henerala Vatutina Ave, 2T;02-000;Kyiv;Kyiv region</t>
  </si>
  <si>
    <t>UA0006</t>
  </si>
  <si>
    <t>River Mall</t>
  </si>
  <si>
    <t>10-14 Dneprovskaya Naberezhnaya St</t>
  </si>
  <si>
    <t>River Mall;10-14 Dneprovskaya Naberezhnaya St;02-000;Kyiv;Kyiv region</t>
  </si>
  <si>
    <t>UA0007</t>
  </si>
  <si>
    <t>Retroville</t>
  </si>
  <si>
    <t>47 Pravdy Ave.</t>
  </si>
  <si>
    <t>Retroville;47 Pravdy Ave.;02000;Kiev;Kyiv region</t>
  </si>
  <si>
    <t>UA0008</t>
  </si>
  <si>
    <t>H&amp;M DreamTown</t>
  </si>
  <si>
    <t>Obolonskyi Ave, 1B</t>
  </si>
  <si>
    <t>Obolonskyi Ave, 1B;;04205;Obolonskyi Ave, 1B, Kyiv, Ukraine,;Kyiv region</t>
  </si>
  <si>
    <t>UA0009</t>
  </si>
  <si>
    <t>Victoria Gardens</t>
  </si>
  <si>
    <t>Lviv</t>
  </si>
  <si>
    <t>Kulparkivska St 226Ð°</t>
  </si>
  <si>
    <t>Dnipropetrovsk</t>
  </si>
  <si>
    <t>Kulparkivska St 226Ð°;;79000;Lviv;Dnipropetrovsk</t>
  </si>
  <si>
    <t>UA0010</t>
  </si>
  <si>
    <t>H&amp;M Riviera Odesa</t>
  </si>
  <si>
    <t>Odesa</t>
  </si>
  <si>
    <t>Riviera Shopping City</t>
  </si>
  <si>
    <t>Riviera Shopping City;;67562;Odeska Oblast;Odesa</t>
  </si>
  <si>
    <t>UA0011</t>
  </si>
  <si>
    <t>Nikolsky</t>
  </si>
  <si>
    <t>Kharkiv</t>
  </si>
  <si>
    <t>Pushkins'ka St 2a</t>
  </si>
  <si>
    <t>Kharkov</t>
  </si>
  <si>
    <t>Pushkins'ka St 2a;;61000;Kharkivs'ka Oblast;Kharkov</t>
  </si>
  <si>
    <t>UA0017</t>
  </si>
  <si>
    <t>Ð¢Ð Ð¦ Respublika Park</t>
  </si>
  <si>
    <t>Vulytsya KilÊ¹tseva Doroha, 1, Kyiv, Ukraina, 03134</t>
  </si>
  <si>
    <t>Ð²ÑƒÐ»Ð¸Ñ†Ñ ÐšÑ–Ð»ÑŒÑ†ÐµÐ²Ð° Ð´Ð¾Ñ€Ð¾Ð³Ð°, 1, ÐšÐ¸Ñ—Ð², 03134</t>
  </si>
  <si>
    <t>Vulytsya KilÊ¹tseva Doroha, 1, Kyiv, Ukraina, 03134;Ð²ÑƒÐ»Ð¸Ñ†Ñ ÐšÑ–Ð»ÑŒÑ†ÐµÐ²Ð° Ð´Ð¾Ñ€Ð¾Ð³Ð°, 1, ÐšÐ¸Ñ—Ð², 03134;03134;Kiev;Kyiv region</t>
  </si>
  <si>
    <t>US0003</t>
  </si>
  <si>
    <t>Westfield Garden State Plaza</t>
  </si>
  <si>
    <t>Paramus</t>
  </si>
  <si>
    <t>1 Garden State Plaza Blvd</t>
  </si>
  <si>
    <t>New Jersey</t>
  </si>
  <si>
    <t>Westfield Garden State Plaza;1 Garden State Plaza Blvd;07653;Paramus;New Jersey</t>
  </si>
  <si>
    <t>US0004</t>
  </si>
  <si>
    <t>Palisades Center</t>
  </si>
  <si>
    <t>West Nyack</t>
  </si>
  <si>
    <t>1731 Palisades Ctr. Dr.</t>
  </si>
  <si>
    <t>New York</t>
  </si>
  <si>
    <t>Palisades Center;1731 Palisades Ctr. Dr.;10994;West Nyack;New York</t>
  </si>
  <si>
    <t>US0007</t>
  </si>
  <si>
    <t>Carousel Center</t>
  </si>
  <si>
    <t>Syracuse</t>
  </si>
  <si>
    <t>1 Destiny USA Drive</t>
  </si>
  <si>
    <t>Carousel Center;1 Destiny USA Drive;13204;Syracuse;New York</t>
  </si>
  <si>
    <t>US0009</t>
  </si>
  <si>
    <t>Crossgates Center</t>
  </si>
  <si>
    <t>Albany</t>
  </si>
  <si>
    <t>1 Crossgates Mall Rd.</t>
  </si>
  <si>
    <t>Crossgates Center;1 Crossgates Mall Rd.;12203;Albany;New York</t>
  </si>
  <si>
    <t>US0010</t>
  </si>
  <si>
    <t>Holyoke Mall</t>
  </si>
  <si>
    <t>Holyoke</t>
  </si>
  <si>
    <t>50 Holyoke Street</t>
  </si>
  <si>
    <t>Massachusetts</t>
  </si>
  <si>
    <t>Holyoke Mall;50 Holyoke Street;01040;Holyoke;Massachusetts</t>
  </si>
  <si>
    <t>US0012</t>
  </si>
  <si>
    <t>Poughkeepsie Galleria</t>
  </si>
  <si>
    <t>Poughkeepsie</t>
  </si>
  <si>
    <t>2001 South Road</t>
  </si>
  <si>
    <t>Poughkeepsie Galleria;2001 South Road;12601;Poughkeepsie;New York</t>
  </si>
  <si>
    <t>US0016</t>
  </si>
  <si>
    <t>Smith Haven Mall</t>
  </si>
  <si>
    <t>Lake Grove</t>
  </si>
  <si>
    <t>118 Smith Haven Mall</t>
  </si>
  <si>
    <t>Smith Haven Mall;118 Smith Haven Mall;11755;Lake Grove;New York</t>
  </si>
  <si>
    <t>US0018</t>
  </si>
  <si>
    <t>Broadway Mall</t>
  </si>
  <si>
    <t>Hicksville</t>
  </si>
  <si>
    <t>906 Broadway Mall</t>
  </si>
  <si>
    <t>Broadway Mall;906 Broadway Mall;11801;Hicksville;New York</t>
  </si>
  <si>
    <t>US0020</t>
  </si>
  <si>
    <t>Dulles Town Center</t>
  </si>
  <si>
    <t>Dulles</t>
  </si>
  <si>
    <t>21100 Dulles Town Circle</t>
  </si>
  <si>
    <t>Virginia</t>
  </si>
  <si>
    <t>Dulles Town Center;21100 Dulles Town Circle;20166;Dulles;Virginia</t>
  </si>
  <si>
    <t>US0021</t>
  </si>
  <si>
    <t>Sunrise Mall</t>
  </si>
  <si>
    <t>Massapequa</t>
  </si>
  <si>
    <t>12:00-19:00</t>
  </si>
  <si>
    <t>1105 Sunrise Mall Rd</t>
  </si>
  <si>
    <t>Sunrise Mall;1105 Sunrise Mall Rd;11758;Massapequa;New York</t>
  </si>
  <si>
    <t>US0022</t>
  </si>
  <si>
    <t>White Plains Galleria</t>
  </si>
  <si>
    <t>White Plains</t>
  </si>
  <si>
    <t>100 Main Street</t>
  </si>
  <si>
    <t>White Plains Galleria;100 Main Street;10601;White Plains;New York</t>
  </si>
  <si>
    <t>US0024</t>
  </si>
  <si>
    <t>Jersey Gardens Mall</t>
  </si>
  <si>
    <t>Elizabeth</t>
  </si>
  <si>
    <t>651 Kapkowski Road</t>
  </si>
  <si>
    <t>Jersey Gardens Mall;651 Kapkowski Road;07201;Elizabeth;New Jersey</t>
  </si>
  <si>
    <t>US0032</t>
  </si>
  <si>
    <t>Livingston Mall</t>
  </si>
  <si>
    <t>Livingston</t>
  </si>
  <si>
    <t>112 Eisenhower Parkway</t>
  </si>
  <si>
    <t>Livingston Mall;112 Eisenhower Parkway;07039;Livingston;New Jersey</t>
  </si>
  <si>
    <t>US0033</t>
  </si>
  <si>
    <t>South Shore Plaza</t>
  </si>
  <si>
    <t>Braintree</t>
  </si>
  <si>
    <t>250 Granite Street</t>
  </si>
  <si>
    <t>South Shore Plaza;250 Granite Street;02184;Braintree;Massachusetts</t>
  </si>
  <si>
    <t>US0034</t>
  </si>
  <si>
    <t>Queens Center Mall</t>
  </si>
  <si>
    <t>Queens</t>
  </si>
  <si>
    <t>90-15 Queens Blvd</t>
  </si>
  <si>
    <t>Queens Center Mall;90-15 Queens Blvd;11373;Elmhurst;New York</t>
  </si>
  <si>
    <t>US0035</t>
  </si>
  <si>
    <t>Kings Plaza Mall</t>
  </si>
  <si>
    <t>Brooklyn</t>
  </si>
  <si>
    <t>5100 Kings Plaza</t>
  </si>
  <si>
    <t>Kings Plaza Mall;5100 Kings Plaza;11234;Brooklyn;New York</t>
  </si>
  <si>
    <t>US0036</t>
  </si>
  <si>
    <t>Cherry Hill Mall</t>
  </si>
  <si>
    <t>Cherry Hill</t>
  </si>
  <si>
    <t>2000 Route 38</t>
  </si>
  <si>
    <t>Cherry Hill Mall;2000 Route 38;08002;Cherry Hill;New Jersey</t>
  </si>
  <si>
    <t>US0039</t>
  </si>
  <si>
    <t>Square One Mall</t>
  </si>
  <si>
    <t>Saugus</t>
  </si>
  <si>
    <t>1277 Broadway</t>
  </si>
  <si>
    <t>Square One Mall;1277 Broadway;01906;Saugus;Massachusetts</t>
  </si>
  <si>
    <t>US0042</t>
  </si>
  <si>
    <t>Roosevelt Field Mall</t>
  </si>
  <si>
    <t>Garden City</t>
  </si>
  <si>
    <t>630 Old Country Road</t>
  </si>
  <si>
    <t>Roosevelt Field Mall;630 Old Country Road;11530;Garden City;New York</t>
  </si>
  <si>
    <t>US0043</t>
  </si>
  <si>
    <t>Concord Mall</t>
  </si>
  <si>
    <t>Wilmington, NC</t>
  </si>
  <si>
    <t>4737 Concord Pike</t>
  </si>
  <si>
    <t>Delaware</t>
  </si>
  <si>
    <t>Concord Mall;4737 Concord Pike;19803;Wilmington;Delaware</t>
  </si>
  <si>
    <t>US0044</t>
  </si>
  <si>
    <t>Woodbridge Center</t>
  </si>
  <si>
    <t>Woodbridge, NJ</t>
  </si>
  <si>
    <t>291 Woodbridge Center Dr</t>
  </si>
  <si>
    <t>Woodbridge Center;291 Woodbridge Center Dr;07095;Woodbridge;New Jersey</t>
  </si>
  <si>
    <t>US0046</t>
  </si>
  <si>
    <t>Park City Center</t>
  </si>
  <si>
    <t>Lancaster</t>
  </si>
  <si>
    <t>142 Park City Center</t>
  </si>
  <si>
    <t>Pennsylvania</t>
  </si>
  <si>
    <t>Park City Center;142 Park City Center;17601;Lancaster;Pennsylvania</t>
  </si>
  <si>
    <t>US0048</t>
  </si>
  <si>
    <t>125th St</t>
  </si>
  <si>
    <t>New York City</t>
  </si>
  <si>
    <t>125 West 125th Street</t>
  </si>
  <si>
    <t>125th St;125 West 125th Street;10027;New York;New York</t>
  </si>
  <si>
    <t>US0049</t>
  </si>
  <si>
    <t>Chestnut St</t>
  </si>
  <si>
    <t>Philadelphia</t>
  </si>
  <si>
    <t>1530 Chestnut Street</t>
  </si>
  <si>
    <t>Chestnut St;1530 Chestnut Street;19103;Philadelphia;Pennsylvania</t>
  </si>
  <si>
    <t>US0053</t>
  </si>
  <si>
    <t>Arundel Mills</t>
  </si>
  <si>
    <t>Hanover</t>
  </si>
  <si>
    <t>7000 Arundel Mills Circle</t>
  </si>
  <si>
    <t>Maryland</t>
  </si>
  <si>
    <t>Arundel Mills;7000 Arundel Mills Circle;21076;Hanover;Maryland</t>
  </si>
  <si>
    <t>US0054</t>
  </si>
  <si>
    <t>F Street</t>
  </si>
  <si>
    <t>Washington, DC</t>
  </si>
  <si>
    <t>1025 F Street NW</t>
  </si>
  <si>
    <t>District of Columbia</t>
  </si>
  <si>
    <t>F Street;1025 F Street NW;20005;Washington, D.C.;District of Columbia</t>
  </si>
  <si>
    <t>US0055</t>
  </si>
  <si>
    <t>Potomac Mills</t>
  </si>
  <si>
    <t>Woodbridge, VA</t>
  </si>
  <si>
    <t>2700 Potomac Mills Circle</t>
  </si>
  <si>
    <t>Potomac Mills;2700 Potomac Mills Circle;22192;Woodbridge;Virginia</t>
  </si>
  <si>
    <t>US0056</t>
  </si>
  <si>
    <t>Manassas Mall</t>
  </si>
  <si>
    <t>Manassas</t>
  </si>
  <si>
    <t>8300 Sudley Road</t>
  </si>
  <si>
    <t>Manassas Mall;8300 Sudley Road;20109;Manassas;Virginia</t>
  </si>
  <si>
    <t>US0057</t>
  </si>
  <si>
    <t>Green Acres Mall</t>
  </si>
  <si>
    <t>Valley Stream</t>
  </si>
  <si>
    <t>2034 Green Acres Mall</t>
  </si>
  <si>
    <t>Green Acres Mall;2034 Green Acres Mall;11581;Valley Stream;New York</t>
  </si>
  <si>
    <t>US0060</t>
  </si>
  <si>
    <t>Michigan Avenue</t>
  </si>
  <si>
    <t>Chicago</t>
  </si>
  <si>
    <t>840 North Michigan Ave</t>
  </si>
  <si>
    <t>Illinois</t>
  </si>
  <si>
    <t>Michigan Avenue;840 North Michigan Ave;60611;Chicago;Illinois</t>
  </si>
  <si>
    <t>US0062</t>
  </si>
  <si>
    <t>Woodfield Shopping Center</t>
  </si>
  <si>
    <t>Schaumburg</t>
  </si>
  <si>
    <t>5 Woodfield Shopping Center</t>
  </si>
  <si>
    <t>Woodfield Shopping Center;5 Woodfield Shopping Center;60173;Schaumburg;Illinois</t>
  </si>
  <si>
    <t>US0065</t>
  </si>
  <si>
    <t>Soho</t>
  </si>
  <si>
    <t>515 Broadway</t>
  </si>
  <si>
    <t>Soho;515 Broadway;10015;New York;New York</t>
  </si>
  <si>
    <t>US0066</t>
  </si>
  <si>
    <t>Franklin Mills</t>
  </si>
  <si>
    <t>1455 Franklin Mills</t>
  </si>
  <si>
    <t>Franklin Mills;1455 Franklin Mills;19154;Philadelphia;Pennsylvania</t>
  </si>
  <si>
    <t>US0067</t>
  </si>
  <si>
    <t>Short Pump Mall</t>
  </si>
  <si>
    <t>11800 West Broad Street</t>
  </si>
  <si>
    <t>Short Pump Mall;11800 West Broad Street;23233;Richmond;Virginia</t>
  </si>
  <si>
    <t>US0068</t>
  </si>
  <si>
    <t>Buckland Hills Mall</t>
  </si>
  <si>
    <t>Manchester, CT</t>
  </si>
  <si>
    <t>194 Buckland Hills Dr</t>
  </si>
  <si>
    <t>Connecticut</t>
  </si>
  <si>
    <t>Buckland Hills Mall;194 Buckland Hills Dr;06042;Manchester;Connecticut</t>
  </si>
  <si>
    <t>US0072</t>
  </si>
  <si>
    <t>Gurnee Mills Mall</t>
  </si>
  <si>
    <t>Gurnee</t>
  </si>
  <si>
    <t>6170  Grand Avenue</t>
  </si>
  <si>
    <t>Gurnee Mills Mall;6170  Grand Avenue;60031;Gurnee;Illinois</t>
  </si>
  <si>
    <t>US0073</t>
  </si>
  <si>
    <t>Tanger Outlets Atlantic City</t>
  </si>
  <si>
    <t>Atlantic City</t>
  </si>
  <si>
    <t>116 North Michigan Avenue, Suite #215</t>
  </si>
  <si>
    <t>Tanger Outlets Atlantic City;116 North Michigan Avenue, Suite #215;08401;Atlantic City;New Jersey</t>
  </si>
  <si>
    <t>US0074</t>
  </si>
  <si>
    <t>Cambridgeside Galleria</t>
  </si>
  <si>
    <t>100 Cambridgeside Place</t>
  </si>
  <si>
    <t>Cambridgeside Galleria;100 Cambridgeside Place;02141;Cambridge;Massachusetts</t>
  </si>
  <si>
    <t>US0075</t>
  </si>
  <si>
    <t>Orland Square</t>
  </si>
  <si>
    <t>Orland Park</t>
  </si>
  <si>
    <t>288 Orland Square Park</t>
  </si>
  <si>
    <t>Orland Square;288 Orland Square Park;60462;Orland Park;Illinois</t>
  </si>
  <si>
    <t>US0076</t>
  </si>
  <si>
    <t>Fox Valley Center</t>
  </si>
  <si>
    <t>Aurora, IL</t>
  </si>
  <si>
    <t>1276 Fox Valley Center</t>
  </si>
  <si>
    <t>Fox Valley Center;1276 Fox Valley Center;60504;Aurora;Illinois</t>
  </si>
  <si>
    <t>US0078</t>
  </si>
  <si>
    <t>Glenbrook Square</t>
  </si>
  <si>
    <t>Fort Wayne</t>
  </si>
  <si>
    <t>4201 Coldwater Rd</t>
  </si>
  <si>
    <t>Indiana</t>
  </si>
  <si>
    <t>Glenbrook Square;4201 Coldwater Rd;46805;Fort Wayne;Indiana</t>
  </si>
  <si>
    <t>US0079</t>
  </si>
  <si>
    <t>Galleria at Tyler</t>
  </si>
  <si>
    <t>Riverside</t>
  </si>
  <si>
    <t>1002 Galleria At Tyler</t>
  </si>
  <si>
    <t>California</t>
  </si>
  <si>
    <t>Galleria at Tyler;1002 Galleria At Tyler;92503;Riverside;California</t>
  </si>
  <si>
    <t>US0081</t>
  </si>
  <si>
    <t>Lynnhaven Mall</t>
  </si>
  <si>
    <t>Virginia Beach</t>
  </si>
  <si>
    <t>701 Lynnhaven Pkwy</t>
  </si>
  <si>
    <t>Lynnhaven Mall;701 Lynnhaven Pkwy;23452;Virginia Beach;Virginia</t>
  </si>
  <si>
    <t>US0082</t>
  </si>
  <si>
    <t>Circle Center</t>
  </si>
  <si>
    <t>Indianapolis</t>
  </si>
  <si>
    <t>49 W Maryland St</t>
  </si>
  <si>
    <t>Circle Center;49 W Maryland St;46204;Indianapolis;Indiana</t>
  </si>
  <si>
    <t>US0083</t>
  </si>
  <si>
    <t>Hawthorn Mall</t>
  </si>
  <si>
    <t>Vernon Hills</t>
  </si>
  <si>
    <t>109 Hawthorn Center</t>
  </si>
  <si>
    <t>Hawthorn Mall;109 Hawthorn Center;60061;Vernon Hills;Illinois</t>
  </si>
  <si>
    <t>US0086</t>
  </si>
  <si>
    <t>West County Center</t>
  </si>
  <si>
    <t>Des Peres</t>
  </si>
  <si>
    <t>80 West County Center</t>
  </si>
  <si>
    <t>Missouri</t>
  </si>
  <si>
    <t>West County Center;80 West County Center;63131;Des Peres;Missouri</t>
  </si>
  <si>
    <t>US0087</t>
  </si>
  <si>
    <t>Fair Oaks Mall</t>
  </si>
  <si>
    <t>Fairfax</t>
  </si>
  <si>
    <t>11750 Fair Oaks Mall</t>
  </si>
  <si>
    <t>Fair Oaks Mall;11750 Fair Oaks Mall;22033;Fairfax;Virginia</t>
  </si>
  <si>
    <t>US0088</t>
  </si>
  <si>
    <t>Tyson Corner Center</t>
  </si>
  <si>
    <t>McLean</t>
  </si>
  <si>
    <t>1961 Chain Bridge Rd</t>
  </si>
  <si>
    <t>Tyson Corner Center;1961 Chain Bridge Rd;22102;McLean;Virginia</t>
  </si>
  <si>
    <t>US0089</t>
  </si>
  <si>
    <t>Brookfield Square</t>
  </si>
  <si>
    <t>Milwaukee</t>
  </si>
  <si>
    <t>95 North Moorland Road</t>
  </si>
  <si>
    <t>Wisconsin</t>
  </si>
  <si>
    <t>Brookfield Square;95 North Moorland Road;53005;Brookfield;Wisconsin</t>
  </si>
  <si>
    <t>US0090</t>
  </si>
  <si>
    <t>Saint Louis Galleria</t>
  </si>
  <si>
    <t>St Louis</t>
  </si>
  <si>
    <t>1155 Saint Louis Galleria</t>
  </si>
  <si>
    <t>Saint Louis Galleria;1155 Saint Louis Galleria;63117;Saint Louis;Missouri</t>
  </si>
  <si>
    <t>US0092</t>
  </si>
  <si>
    <t>Tuttle Crossing</t>
  </si>
  <si>
    <t>5043 Tuttle Crossing Blvd</t>
  </si>
  <si>
    <t>Ohio</t>
  </si>
  <si>
    <t>Tuttle Crossing;5043 Tuttle Crossing Blvd;43016;Dublin;Ohio</t>
  </si>
  <si>
    <t>US0094</t>
  </si>
  <si>
    <t>West Towne Mall</t>
  </si>
  <si>
    <t>Madison</t>
  </si>
  <si>
    <t>52 West Towne Mall</t>
  </si>
  <si>
    <t>West Towne Mall;52 West Towne Mall;53719;Madison;Wisconsin</t>
  </si>
  <si>
    <t>US0097</t>
  </si>
  <si>
    <t>MacArthur Center</t>
  </si>
  <si>
    <t>Norfolk</t>
  </si>
  <si>
    <t>300 Monticello Avenue</t>
  </si>
  <si>
    <t>MacArthur Center;300 Monticello Avenue;23510;Norfolk;Virginia</t>
  </si>
  <si>
    <t>US0098</t>
  </si>
  <si>
    <t>5th Ave at 18th Street</t>
  </si>
  <si>
    <t>111 5th Ave</t>
  </si>
  <si>
    <t>5th Ave at 18th Street;111 5th Ave;10003;New York;New York</t>
  </si>
  <si>
    <t>US0100</t>
  </si>
  <si>
    <t>Newbury Street</t>
  </si>
  <si>
    <t>Boston</t>
  </si>
  <si>
    <t>100 Newbury Street</t>
  </si>
  <si>
    <t>Newbury Street;100 Newbury Street;02116;Boston;Massachusetts</t>
  </si>
  <si>
    <t>US0101</t>
  </si>
  <si>
    <t>Westfield San Francisco Centre</t>
  </si>
  <si>
    <t>San Francisco</t>
  </si>
  <si>
    <t>845 Market Street</t>
  </si>
  <si>
    <t>Westfield San Francisco Centre;845 Market Street;94103;San Francisco;California</t>
  </si>
  <si>
    <t>US0102</t>
  </si>
  <si>
    <t>Lexington Ave at 86th St</t>
  </si>
  <si>
    <t>150 East 86th Street</t>
  </si>
  <si>
    <t>Lexington Ave at 86th St;150 East 86th Street;10028;New York;New York</t>
  </si>
  <si>
    <t>US0104</t>
  </si>
  <si>
    <t>Ross Park Mall</t>
  </si>
  <si>
    <t>Pittsburgh</t>
  </si>
  <si>
    <t>1000 Ross Park Mall Dr, Suite A01F</t>
  </si>
  <si>
    <t>Ross Park Mall;1000 Ross Park Mall Dr, Suite A01F;15237;Pittsburgh;Pennsylvania</t>
  </si>
  <si>
    <t>US0105</t>
  </si>
  <si>
    <t>Beverly Center</t>
  </si>
  <si>
    <t>Los Angeles</t>
  </si>
  <si>
    <t>8500 Beverly Blvd</t>
  </si>
  <si>
    <t>Beverly Center;8500 Beverly Blvd;90048;Los Angeles;California</t>
  </si>
  <si>
    <t>US0106</t>
  </si>
  <si>
    <t>Americana at Brand</t>
  </si>
  <si>
    <t>Glendale</t>
  </si>
  <si>
    <t>891 Americana Way</t>
  </si>
  <si>
    <t>Americana at Brand;891 Americana Way;91210;Glendale;California</t>
  </si>
  <si>
    <t>US0108</t>
  </si>
  <si>
    <t>Westfield Topanga</t>
  </si>
  <si>
    <t>Canoga Park</t>
  </si>
  <si>
    <t>6600 Topanga Canyon</t>
  </si>
  <si>
    <t>Westfield Topanga;6600 Topanga Canyon;91303;Canoga Park;California</t>
  </si>
  <si>
    <t>US0112</t>
  </si>
  <si>
    <t>Westfield Connecticut Post</t>
  </si>
  <si>
    <t>Milford</t>
  </si>
  <si>
    <t>1201 Boston Road</t>
  </si>
  <si>
    <t>Westfield Connecticut Post;1201 Boston Road;06460;Milford;Connecticut</t>
  </si>
  <si>
    <t>US0115</t>
  </si>
  <si>
    <t>Westfield Annapolis Mall</t>
  </si>
  <si>
    <t>Annapolis</t>
  </si>
  <si>
    <t>2140 Annapolis Mall</t>
  </si>
  <si>
    <t>Westfield Annapolis Mall;2140 Annapolis Mall;21401;Annapolis;Maryland</t>
  </si>
  <si>
    <t>US0118</t>
  </si>
  <si>
    <t>Easton Town Center</t>
  </si>
  <si>
    <t>Columbus, OH</t>
  </si>
  <si>
    <t>140 Easton Town Center</t>
  </si>
  <si>
    <t>Easton Town Center;140 Easton Town Center;43219;Columbus;Ohio</t>
  </si>
  <si>
    <t>US0119</t>
  </si>
  <si>
    <t>Westfield SouthPark</t>
  </si>
  <si>
    <t>Strongsville</t>
  </si>
  <si>
    <t>1050 Southpark Center</t>
  </si>
  <si>
    <t>Westfield SouthPark;1050 Southpark Center;44136;Strongsville;Ohio</t>
  </si>
  <si>
    <t>US0120</t>
  </si>
  <si>
    <t>Westfield Santa Anita</t>
  </si>
  <si>
    <t>Arcadia</t>
  </si>
  <si>
    <t>400 S Baldwin Ave</t>
  </si>
  <si>
    <t>Westfield Santa Anita;400 S Baldwin Ave;91007;Arcadia;California</t>
  </si>
  <si>
    <t>US0121</t>
  </si>
  <si>
    <t>Brea Mall</t>
  </si>
  <si>
    <t>Brea</t>
  </si>
  <si>
    <t>1058A Brea Mall</t>
  </si>
  <si>
    <t>Brea Mall;1058A Brea Mall;92821;Brea;California</t>
  </si>
  <si>
    <t>US0122</t>
  </si>
  <si>
    <t>Oakbrook Center</t>
  </si>
  <si>
    <t>Oakbrook</t>
  </si>
  <si>
    <t>466 Oakbrook Center</t>
  </si>
  <si>
    <t>Oakbrook Center;466 Oakbrook Center;60523;Oak Brook;Illinois</t>
  </si>
  <si>
    <t>US0124</t>
  </si>
  <si>
    <t>Willow Grove Park</t>
  </si>
  <si>
    <t>Willow Grove</t>
  </si>
  <si>
    <t>2500 Moreland Road</t>
  </si>
  <si>
    <t>Willow Grove Park;2500 Moreland Road;19090;Willow Grove;Pennsylvania</t>
  </si>
  <si>
    <t>US0125</t>
  </si>
  <si>
    <t>Bayshore Town Center</t>
  </si>
  <si>
    <t>5765 North Bayshore Drive</t>
  </si>
  <si>
    <t>Bayshore Town Center;5765 North Bayshore Drive;53217;Glendale;Wisconsin</t>
  </si>
  <si>
    <t>US0126</t>
  </si>
  <si>
    <t>The Mall in Columbia</t>
  </si>
  <si>
    <t>Columbia, MD</t>
  </si>
  <si>
    <t>10300 Little Patuxent Parkway</t>
  </si>
  <si>
    <t>The Mall in Columbia;10300 Little Patuxent Parkway;21044;Columbia;Maryland</t>
  </si>
  <si>
    <t>US0127</t>
  </si>
  <si>
    <t>Towson Town Center</t>
  </si>
  <si>
    <t>Towson</t>
  </si>
  <si>
    <t>825 Dulaney Valley Road</t>
  </si>
  <si>
    <t>Towson Town Center;825 Dulaney Valley Road;21204;Towson;Maryland</t>
  </si>
  <si>
    <t>US0128</t>
  </si>
  <si>
    <t>Westfield Galleria at Roseville</t>
  </si>
  <si>
    <t>Roseville, CA</t>
  </si>
  <si>
    <t>1151 Galleria Blvd.</t>
  </si>
  <si>
    <t>Westfield Galleria at Roseville;1151 Galleria Blvd.;95678;Roseville;California</t>
  </si>
  <si>
    <t>US0132</t>
  </si>
  <si>
    <t>Northshore Mall</t>
  </si>
  <si>
    <t>Peabody</t>
  </si>
  <si>
    <t>210 Andover Street</t>
  </si>
  <si>
    <t>Northshore Mall;210 Andover Street;01960;Peabody;Massachusetts</t>
  </si>
  <si>
    <t>US0134</t>
  </si>
  <si>
    <t>Staten Island Mall</t>
  </si>
  <si>
    <t>Staten Island</t>
  </si>
  <si>
    <t>2655 Richmond Avenue</t>
  </si>
  <si>
    <t>Staten Island Mall;2655 Richmond Avenue;10314;Staten Island;New York</t>
  </si>
  <si>
    <t>US0135</t>
  </si>
  <si>
    <t>Stonestown Galleria</t>
  </si>
  <si>
    <t>3251 20th Avenue</t>
  </si>
  <si>
    <t>Stonestown Galleria;3251 20th Avenue;94132;San Francisco;California</t>
  </si>
  <si>
    <t>US0136</t>
  </si>
  <si>
    <t>Fairlane Town Center</t>
  </si>
  <si>
    <t>Dearborn</t>
  </si>
  <si>
    <t>18900 Michigan Avenue</t>
  </si>
  <si>
    <t>Michigan</t>
  </si>
  <si>
    <t>Fairlane Town Center;18900 Michigan Avenue;48126;Dearborn;Michigan</t>
  </si>
  <si>
    <t>US0139</t>
  </si>
  <si>
    <t>Great Lakes Crossing</t>
  </si>
  <si>
    <t>Auburn Hills</t>
  </si>
  <si>
    <t>4696 Baldwin Road</t>
  </si>
  <si>
    <t>Great Lakes Crossing;4696 Baldwin Road;48326;Auburn Hills;Michigan</t>
  </si>
  <si>
    <t>US0141</t>
  </si>
  <si>
    <t>Westfarms Mall</t>
  </si>
  <si>
    <t>Farmington, CT</t>
  </si>
  <si>
    <t>31 Westfarms Mall</t>
  </si>
  <si>
    <t>Westfarms Mall;31 Westfarms Mall;06032;Farmington;Connecticut</t>
  </si>
  <si>
    <t>US0143</t>
  </si>
  <si>
    <t>Townsquare Las Vegas</t>
  </si>
  <si>
    <t>Las Vegas</t>
  </si>
  <si>
    <t>6611 Las Vegas Blvd Suite 159</t>
  </si>
  <si>
    <t>Nevada</t>
  </si>
  <si>
    <t>Townsquare Las Vegas;6611 Las Vegas Blvd Suite 159;89119;Las Vegas;Nevada</t>
  </si>
  <si>
    <t>US0144</t>
  </si>
  <si>
    <t>Stoneridge Mall</t>
  </si>
  <si>
    <t>Pleasanton</t>
  </si>
  <si>
    <t>1004 Stoneridge Mall Road Suite A 105</t>
  </si>
  <si>
    <t>Stoneridge Mall;1004 Stoneridge Mall Road Suite A 105;94588;Pleasanton;California</t>
  </si>
  <si>
    <t>US0145</t>
  </si>
  <si>
    <t>Bay Street Emeryville</t>
  </si>
  <si>
    <t>Emeryville</t>
  </si>
  <si>
    <t>5630 Bay Street</t>
  </si>
  <si>
    <t>Bay Street Emeryville;5630 Bay Street;94608;Emeryville;California</t>
  </si>
  <si>
    <t>US0146</t>
  </si>
  <si>
    <t>South Coast Plaza</t>
  </si>
  <si>
    <t>Costa Mesa</t>
  </si>
  <si>
    <t>3333 Bear Street</t>
  </si>
  <si>
    <t>South Coast Plaza;3333 Bear Street;92626;Costa Mesa;California</t>
  </si>
  <si>
    <t>US0148</t>
  </si>
  <si>
    <t>Menlo Park</t>
  </si>
  <si>
    <t>Edison</t>
  </si>
  <si>
    <t>510 Menlo Park</t>
  </si>
  <si>
    <t>Menlo Park;510 Menlo Park;08837;Edison;New Jersey</t>
  </si>
  <si>
    <t>US0149</t>
  </si>
  <si>
    <t>The Promenade - Bolingbrook</t>
  </si>
  <si>
    <t>Bolingbrook</t>
  </si>
  <si>
    <t>619 East Boughton Road</t>
  </si>
  <si>
    <t>The Promenade - Bolingbrook;619 East Boughton Road;60440;Bolingbrook;Illinois</t>
  </si>
  <si>
    <t>US0150</t>
  </si>
  <si>
    <t>Fulton Street</t>
  </si>
  <si>
    <t>497-501 Fulton Street</t>
  </si>
  <si>
    <t>Fulton Street;497-501 Fulton Street;11201;Brooklyn;New York</t>
  </si>
  <si>
    <t>US0152</t>
  </si>
  <si>
    <t>Miracle Mile Shops at Planet Hollywood</t>
  </si>
  <si>
    <t>3663 Las Vegas Blvd</t>
  </si>
  <si>
    <t>Miracle Mile Shops at Planet Hollywood;3663 Las Vegas Blvd;89109;Las Vegas;Nevada</t>
  </si>
  <si>
    <t>US0153</t>
  </si>
  <si>
    <t>Great Mall</t>
  </si>
  <si>
    <t>Milpitas</t>
  </si>
  <si>
    <t>1220 Great Mall Drive</t>
  </si>
  <si>
    <t>Great Mall;1220 Great Mall Drive;95035;Milpitas;California</t>
  </si>
  <si>
    <t>US0154</t>
  </si>
  <si>
    <t>Castleton Square Mall</t>
  </si>
  <si>
    <t>6020 East 82nd Street</t>
  </si>
  <si>
    <t>Castleton Square Mall;6020 East 82nd Street;46250;Indianopolis;Indiana</t>
  </si>
  <si>
    <t>US0156</t>
  </si>
  <si>
    <t>Emerald Square Mall</t>
  </si>
  <si>
    <t>North Attleboro</t>
  </si>
  <si>
    <t>151 Emerald Square</t>
  </si>
  <si>
    <t>Emerald Square Mall;151 Emerald Square;02760;North Attelboro;Massachusetts</t>
  </si>
  <si>
    <t>US0157</t>
  </si>
  <si>
    <t>Montclair Plaza</t>
  </si>
  <si>
    <t>Montclair</t>
  </si>
  <si>
    <t>5007 Montclair Plaza Lane</t>
  </si>
  <si>
    <t>Montclair Plaza;5007 Montclair Plaza Lane;91763;Montclair;California</t>
  </si>
  <si>
    <t>US0158</t>
  </si>
  <si>
    <t>University Village</t>
  </si>
  <si>
    <t>Seattle</t>
  </si>
  <si>
    <t>2604 NE University Village</t>
  </si>
  <si>
    <t>Washington</t>
  </si>
  <si>
    <t>University Village;2604 NE University Village;98105;Seattle;Washington</t>
  </si>
  <si>
    <t>US0159</t>
  </si>
  <si>
    <t>Westfield Southcenter</t>
  </si>
  <si>
    <t>Tukwila</t>
  </si>
  <si>
    <t>867 Southcenter</t>
  </si>
  <si>
    <t>Westfield Southcenter;867 Southcenter;98188;Tukwila;Washington</t>
  </si>
  <si>
    <t>US0160</t>
  </si>
  <si>
    <t>Atlantic Station</t>
  </si>
  <si>
    <t>Atlanta</t>
  </si>
  <si>
    <t>231 18th St NW</t>
  </si>
  <si>
    <t>231 18th St NW;;30363;Atlanta;Georgia</t>
  </si>
  <si>
    <t>US0161</t>
  </si>
  <si>
    <t>Downtown Santa Monica</t>
  </si>
  <si>
    <t>Santa Monica</t>
  </si>
  <si>
    <t>1452 Third Street Promenade</t>
  </si>
  <si>
    <t>Downtown Santa Monica;1452 Third Street Promenade;90401;Santa Monica;California</t>
  </si>
  <si>
    <t>US0162</t>
  </si>
  <si>
    <t>Fashion Valley Mall</t>
  </si>
  <si>
    <t>San Diego</t>
  </si>
  <si>
    <t>7007 Friars Road</t>
  </si>
  <si>
    <t>Fashion Valley Mall;7007 Friars Road;92108;San Diego;California</t>
  </si>
  <si>
    <t>US0163</t>
  </si>
  <si>
    <t>The Shoppes at Chino Hills</t>
  </si>
  <si>
    <t>Chino Hills</t>
  </si>
  <si>
    <t>13920 City Center Drive</t>
  </si>
  <si>
    <t>The Shoppes at Chino Hills;13920 City Center Drive;91709;Chino Hills;California</t>
  </si>
  <si>
    <t>US0164</t>
  </si>
  <si>
    <t>Otay Ranch Town Center</t>
  </si>
  <si>
    <t>Chula Vista</t>
  </si>
  <si>
    <t>2015 Birch Road</t>
  </si>
  <si>
    <t>Otay Ranch Town Center;2015 Birch Road;91915;Chula Vista;California</t>
  </si>
  <si>
    <t>US0166</t>
  </si>
  <si>
    <t>North Point Mall</t>
  </si>
  <si>
    <t>Alpharetta</t>
  </si>
  <si>
    <t>1081 North Point Mall</t>
  </si>
  <si>
    <t>North Point Mall;1081 North Point Mall;30022;Alpharetta;Georgia</t>
  </si>
  <si>
    <t>US0168</t>
  </si>
  <si>
    <t>Willowbrook Mall</t>
  </si>
  <si>
    <t>Wayne</t>
  </si>
  <si>
    <t>2015 Willowbrook Mall</t>
  </si>
  <si>
    <t>Willowbrook Mall;2015 Willowbrook Mall;07470;Wayne;New Jersey</t>
  </si>
  <si>
    <t>US0170</t>
  </si>
  <si>
    <t>Tacoma Mall</t>
  </si>
  <si>
    <t>Tacoma</t>
  </si>
  <si>
    <t>4502 South Steele St</t>
  </si>
  <si>
    <t>Tacoma Mall;4502 South Steele St;98409;Tacoma;Washington</t>
  </si>
  <si>
    <t>US0171</t>
  </si>
  <si>
    <t>Westfield Plaza Bonita</t>
  </si>
  <si>
    <t>National City</t>
  </si>
  <si>
    <t>3030 Plaza Bonita Road</t>
  </si>
  <si>
    <t>Westfield Plaza Bonita;3030 Plaza Bonita Road;91950;National city;California</t>
  </si>
  <si>
    <t>US0172</t>
  </si>
  <si>
    <t>Mall of Georgia</t>
  </si>
  <si>
    <t>Buford</t>
  </si>
  <si>
    <t>3333 Buford Drive</t>
  </si>
  <si>
    <t>Mall of Georgia;3333 Buford Drive;30519;Buford;Georgia</t>
  </si>
  <si>
    <t>US0175</t>
  </si>
  <si>
    <t>Forum Shops at Caesars</t>
  </si>
  <si>
    <t>3500 Las Vegas Blvd South</t>
  </si>
  <si>
    <t>Forum Shops at Caesars;3500 Las Vegas Blvd South;89109;Las Vegas;Nevada</t>
  </si>
  <si>
    <t>US0177</t>
  </si>
  <si>
    <t>Ontario Mills</t>
  </si>
  <si>
    <t>One Mills Circle</t>
  </si>
  <si>
    <t>Ontario Mills;One Mills Circle;91764;Ontario;California</t>
  </si>
  <si>
    <t>US0178</t>
  </si>
  <si>
    <t>Denver Pavilions</t>
  </si>
  <si>
    <t>Denver</t>
  </si>
  <si>
    <t>500 16th Street Suite 130</t>
  </si>
  <si>
    <t>Colorado</t>
  </si>
  <si>
    <t>Denver Pavilions;500 16th Street Suite 130;80202;Denver;Colorado</t>
  </si>
  <si>
    <t>US0179</t>
  </si>
  <si>
    <t>Legacy Place</t>
  </si>
  <si>
    <t>Dedham</t>
  </si>
  <si>
    <t>206 Legacy Place</t>
  </si>
  <si>
    <t>Legacy Place;206 Legacy Place;02026;Dedham;Massachusetts</t>
  </si>
  <si>
    <t>US0180</t>
  </si>
  <si>
    <t>Newport Centre</t>
  </si>
  <si>
    <t>Jersey City</t>
  </si>
  <si>
    <t>30 Mall Dr W</t>
  </si>
  <si>
    <t>Newport Centre;30 Mall Dr W;07310;Jersey City;New Jersey</t>
  </si>
  <si>
    <t>US0181</t>
  </si>
  <si>
    <t>Roosevelt Collection</t>
  </si>
  <si>
    <t>150 W Roosevelt Rd</t>
  </si>
  <si>
    <t>Roosevelt Collection;150 W Roosevelt Rd;60605;Chicago;Illinois</t>
  </si>
  <si>
    <t>US0182</t>
  </si>
  <si>
    <t>Cross County Shopping Center</t>
  </si>
  <si>
    <t>Yonkers</t>
  </si>
  <si>
    <t>6 Xavier Drive</t>
  </si>
  <si>
    <t>Cross County Shopping Center;6 Xavier Drive;10704;Yonkers;New York</t>
  </si>
  <si>
    <t>US0183</t>
  </si>
  <si>
    <t>Rancho Cucamonga</t>
  </si>
  <si>
    <t>12410 South Mainstreet</t>
  </si>
  <si>
    <t>Victoria Gardens;12410 South Mainstreet;91739;Rancho Cucamonga;California</t>
  </si>
  <si>
    <t>US0187</t>
  </si>
  <si>
    <t>Warwick Mall</t>
  </si>
  <si>
    <t>Warwick</t>
  </si>
  <si>
    <t>400 Bald Hill Road</t>
  </si>
  <si>
    <t>Rhode Island</t>
  </si>
  <si>
    <t>Warwick Mall;400 Bald Hill Road;02886;Warwick;Rhode Island</t>
  </si>
  <si>
    <t>US0189</t>
  </si>
  <si>
    <t>The Florida Mall</t>
  </si>
  <si>
    <t>Orlando</t>
  </si>
  <si>
    <t>8001 South Orange Blossom Trail, Suite #1400</t>
  </si>
  <si>
    <t>Florida</t>
  </si>
  <si>
    <t>The Florida Mall;8001 South Orange Blossom Trail, Suite #1400;32809;Orlando;Florida</t>
  </si>
  <si>
    <t>US0192</t>
  </si>
  <si>
    <t>Cumberland Mall</t>
  </si>
  <si>
    <t>1620 Cumberland Mall</t>
  </si>
  <si>
    <t>Cumberland Mall;1620 Cumberland Mall;30339;Atlanta;Georgia</t>
  </si>
  <si>
    <t>US0193</t>
  </si>
  <si>
    <t>St. Charles Towne Center</t>
  </si>
  <si>
    <t>Waldorf</t>
  </si>
  <si>
    <t>11110 Mall Circle Dr</t>
  </si>
  <si>
    <t>St. Charles Towne Center;11110 Mall Circle Dr;20603;Waldorf;Maryland</t>
  </si>
  <si>
    <t>US0194</t>
  </si>
  <si>
    <t>Westfield Oakridge</t>
  </si>
  <si>
    <t>San Jose</t>
  </si>
  <si>
    <t>925 Blossom Hill Road</t>
  </si>
  <si>
    <t>Westfield Oakridge;925 Blossom Hill Road;95123;San Jose;California</t>
  </si>
  <si>
    <t>US0196</t>
  </si>
  <si>
    <t>Northridge Fashion Center</t>
  </si>
  <si>
    <t>Northridge</t>
  </si>
  <si>
    <t>9301 Tampa Avenue</t>
  </si>
  <si>
    <t>Northridge Fashion Center;9301 Tampa Avenue;91324;Northridge;California</t>
  </si>
  <si>
    <t>US0199</t>
  </si>
  <si>
    <t>Westfield North County</t>
  </si>
  <si>
    <t>Escondido</t>
  </si>
  <si>
    <t>200 E Via Rancho Parkway</t>
  </si>
  <si>
    <t>Westfield North County;200 E Via Rancho Parkway;92025;Escondido;California</t>
  </si>
  <si>
    <t>US0201</t>
  </si>
  <si>
    <t>Vintage Faire Mall</t>
  </si>
  <si>
    <t>Modesto</t>
  </si>
  <si>
    <t>3401 Dale Road</t>
  </si>
  <si>
    <t>Vintage Faire Mall;3401 Dale Road;95356;Modesto;California</t>
  </si>
  <si>
    <t>US0202</t>
  </si>
  <si>
    <t>Westfield Culver City</t>
  </si>
  <si>
    <t>Culver City</t>
  </si>
  <si>
    <t>6000 Sepulveda Boulevard</t>
  </si>
  <si>
    <t>Westfield Culver City;6000 Sepulveda Boulevard;90230;Culver City;California</t>
  </si>
  <si>
    <t>US0203</t>
  </si>
  <si>
    <t>Citadel Outlets</t>
  </si>
  <si>
    <t>Commerce, CA</t>
  </si>
  <si>
    <t>100 Citadel Dr</t>
  </si>
  <si>
    <t>Citadel Outlets;100 Citadel Dr;90040;City of Commerce;California</t>
  </si>
  <si>
    <t>US0205</t>
  </si>
  <si>
    <t>Maplewood Mall</t>
  </si>
  <si>
    <t>Maplewood</t>
  </si>
  <si>
    <t>3001 White Bear Ave</t>
  </si>
  <si>
    <t>Minnesota</t>
  </si>
  <si>
    <t>3001 White Bear Ave;;55109;St Paul;Minnesota</t>
  </si>
  <si>
    <t>US0206</t>
  </si>
  <si>
    <t>Crabtree Valley Mall</t>
  </si>
  <si>
    <t>Raleigh</t>
  </si>
  <si>
    <t>4325 Glenwood Avenue</t>
  </si>
  <si>
    <t>North Carolina</t>
  </si>
  <si>
    <t>Crabtree Valley Mall;4325 Glenwood Avenue;27612;Raleigh;North Carolina</t>
  </si>
  <si>
    <t>US0207</t>
  </si>
  <si>
    <t>NorthPark Center</t>
  </si>
  <si>
    <t>Dallas</t>
  </si>
  <si>
    <t>8687 North Central Expressway</t>
  </si>
  <si>
    <t>Texas</t>
  </si>
  <si>
    <t>NorthPark Center;8687 North Central Expressway;75225;Dallas;Texas</t>
  </si>
  <si>
    <t>US0208</t>
  </si>
  <si>
    <t>Peninsula Town Center</t>
  </si>
  <si>
    <t>Hampton</t>
  </si>
  <si>
    <t>2521 McMenamin Street</t>
  </si>
  <si>
    <t>Peninsula Town Center;2521 McMenamin Street;23666;Hampton;Virginia</t>
  </si>
  <si>
    <t>US0209</t>
  </si>
  <si>
    <t>Scottsdale Fashion Square</t>
  </si>
  <si>
    <t>Scottsdale</t>
  </si>
  <si>
    <t>7014 E Camelback Rd</t>
  </si>
  <si>
    <t>Arizona</t>
  </si>
  <si>
    <t>Scottsdale Fashion Square;7014 E Camelback Rd;85251;Scottsdale;Arizona</t>
  </si>
  <si>
    <t>US0210</t>
  </si>
  <si>
    <t>Tucson Mall</t>
  </si>
  <si>
    <t>Tucson</t>
  </si>
  <si>
    <t>4500 N Oracle Rd</t>
  </si>
  <si>
    <t>Tucson Mall;4500 N Oracle Rd;85705;Tucson;Arizona</t>
  </si>
  <si>
    <t>US0211</t>
  </si>
  <si>
    <t>The Outlets at Orange</t>
  </si>
  <si>
    <t>Orange</t>
  </si>
  <si>
    <t>20 City Blvd W</t>
  </si>
  <si>
    <t>The Outlets at Orange;20 City Blvd W;92868;Orange;California</t>
  </si>
  <si>
    <t>US0212</t>
  </si>
  <si>
    <t>Christiana Mall</t>
  </si>
  <si>
    <t>Newark, DE</t>
  </si>
  <si>
    <t>106 Christiana Mall</t>
  </si>
  <si>
    <t>Christiana Mall;106 Christiana Mall;19702;Newark;Delaware</t>
  </si>
  <si>
    <t>US0214</t>
  </si>
  <si>
    <t>Pioneer Place</t>
  </si>
  <si>
    <t>Portland</t>
  </si>
  <si>
    <t>340 SW Morrison St</t>
  </si>
  <si>
    <t>Oregon</t>
  </si>
  <si>
    <t>Pioneer Place;340 SW Morrison St;97204;Portland;Oregon</t>
  </si>
  <si>
    <t>US0215</t>
  </si>
  <si>
    <t>Westfield Trumbull</t>
  </si>
  <si>
    <t>Trumbull</t>
  </si>
  <si>
    <t>5065 Main Street</t>
  </si>
  <si>
    <t>Westfield Trumbull;5065 Main Street;06611;Trumbull;Connecticut</t>
  </si>
  <si>
    <t>US0216</t>
  </si>
  <si>
    <t>Westfield West Covina</t>
  </si>
  <si>
    <t>West Covina</t>
  </si>
  <si>
    <t>1480 Plaza Drive</t>
  </si>
  <si>
    <t>Westfield West Covina;1480 Plaza Drive;91790;West Covina;California</t>
  </si>
  <si>
    <t>US0217</t>
  </si>
  <si>
    <t>Westfield MainPlace</t>
  </si>
  <si>
    <t>Santa Ana</t>
  </si>
  <si>
    <t>2800 N. Main Street</t>
  </si>
  <si>
    <t>Westfield MainPlace;2800 N. Main Street;92705;Santa Ana;California</t>
  </si>
  <si>
    <t>US0218</t>
  </si>
  <si>
    <t>Freehold Raceway Mall</t>
  </si>
  <si>
    <t>Freehold</t>
  </si>
  <si>
    <t xml:space="preserve"> 3710 Route 9,  Space #C236</t>
  </si>
  <si>
    <t>Freehold Raceway Mall; 3710 Route 9,  Space #C236; 07728;Freehold;New Jersey</t>
  </si>
  <si>
    <t>US0220</t>
  </si>
  <si>
    <t>Washington Square</t>
  </si>
  <si>
    <t>9524 SW Washington Square Rd</t>
  </si>
  <si>
    <t>Washington Square;9524 SW Washington Square Rd;97223;Portland;Oregon</t>
  </si>
  <si>
    <t>US0221</t>
  </si>
  <si>
    <t>Shops at Mission Viejo</t>
  </si>
  <si>
    <t>Mission Viejo</t>
  </si>
  <si>
    <t>1011-1699 The Shops Blvd</t>
  </si>
  <si>
    <t>Shops at Mission Viejo;1011-1699 The Shops Blvd;92691;Mission Viejo;California</t>
  </si>
  <si>
    <t>US0222</t>
  </si>
  <si>
    <t>Park Place</t>
  </si>
  <si>
    <t>5870 E Broadway Blvd</t>
  </si>
  <si>
    <t>Park Place;5870 E Broadway Blvd;85711;Tucson;Arizona</t>
  </si>
  <si>
    <t>US0223</t>
  </si>
  <si>
    <t>Serramonte Center</t>
  </si>
  <si>
    <t>Daly City</t>
  </si>
  <si>
    <t>16 Serramonte Center</t>
  </si>
  <si>
    <t>Serramonte Center;16 Serramonte Center;94015;Daly City;California</t>
  </si>
  <si>
    <t>US0224</t>
  </si>
  <si>
    <t>Harborplace</t>
  </si>
  <si>
    <t>Baltimore</t>
  </si>
  <si>
    <t>301 Light Street Suite 1575</t>
  </si>
  <si>
    <t>Harborplace;301 Light Street Suite 1575;21202;Baltimore;Maryland</t>
  </si>
  <si>
    <t>US0225</t>
  </si>
  <si>
    <t>Altamonte Mall</t>
  </si>
  <si>
    <t>Altamonte Springs</t>
  </si>
  <si>
    <t>451 E Altamonte Drive</t>
  </si>
  <si>
    <t>Altamonte Mall;451 E Altamonte Drive;32701;Altamonte Springs;Florida</t>
  </si>
  <si>
    <t>US0226</t>
  </si>
  <si>
    <t>Clackamas Town Center</t>
  </si>
  <si>
    <t>Happy Valley</t>
  </si>
  <si>
    <t>12000 SE 82nd Ave. Suite 1065</t>
  </si>
  <si>
    <t>Clackamas Town Center;12000 SE 82nd Ave. Suite 1065;97086;Happy Valley;Oregon</t>
  </si>
  <si>
    <t>US0227</t>
  </si>
  <si>
    <t>Northbrook Court</t>
  </si>
  <si>
    <t>Northbrook</t>
  </si>
  <si>
    <t>1044 Northbrook Court</t>
  </si>
  <si>
    <t>Northbrook Court;1044 Northbrook Court;60062;Northbrook;Illinois</t>
  </si>
  <si>
    <t>US0228</t>
  </si>
  <si>
    <t>State Street- Santa Barbara</t>
  </si>
  <si>
    <t>Santa Barbara</t>
  </si>
  <si>
    <t>827-833 State St.</t>
  </si>
  <si>
    <t>State Street- Santa Barbara;827-833 State St.;93101;Santa Barbara;California</t>
  </si>
  <si>
    <t>US0229</t>
  </si>
  <si>
    <t>The Forum Carlsbad</t>
  </si>
  <si>
    <t>Carlsbad</t>
  </si>
  <si>
    <t>1905 Calle Barcelona, Suite 120</t>
  </si>
  <si>
    <t>The Forum Carlsbad;1905 Calle Barcelona, Suite 120;92009;Carlsbad;California</t>
  </si>
  <si>
    <t>US0230</t>
  </si>
  <si>
    <t>Ridge Hill</t>
  </si>
  <si>
    <t>195 Market Street</t>
  </si>
  <si>
    <t>Ridge Hill;195 Market Street;10710;Yonkers;New York</t>
  </si>
  <si>
    <t>US0232</t>
  </si>
  <si>
    <t>Walden Galleria</t>
  </si>
  <si>
    <t>Buffalo</t>
  </si>
  <si>
    <t>1 Walden Galleria</t>
  </si>
  <si>
    <t>Walden Galleria;1 Walden Galleria;14225;Buffalo;New York</t>
  </si>
  <si>
    <t>US0233</t>
  </si>
  <si>
    <t>FlatIron Crossing</t>
  </si>
  <si>
    <t>Broomfield</t>
  </si>
  <si>
    <t>1 W. FlatIron Crossing</t>
  </si>
  <si>
    <t>FlatIron Crossing;1 W. FlatIron Crossing;80021;Broomfield;Colorado</t>
  </si>
  <si>
    <t>US0234</t>
  </si>
  <si>
    <t>Galleria Dallas</t>
  </si>
  <si>
    <t>13350 Dallas Parkway</t>
  </si>
  <si>
    <t>Galleria Dallas;13350 Dallas Parkway;75240;Dallas;Texas</t>
  </si>
  <si>
    <t>US0235</t>
  </si>
  <si>
    <t>Ocean County Mall</t>
  </si>
  <si>
    <t>Toms River, NJ</t>
  </si>
  <si>
    <t>1201 Hooper Ave</t>
  </si>
  <si>
    <t>Ocean County Mall;1201 Hooper Ave;08753;Toms River;New Jersey</t>
  </si>
  <si>
    <t>US0236</t>
  </si>
  <si>
    <t>Palladio at Broadstone</t>
  </si>
  <si>
    <t>Folsom</t>
  </si>
  <si>
    <t>410 Palladio Parkway, Ste 1609</t>
  </si>
  <si>
    <t>Palladio at Broadstone;410 Palladio Parkway, Ste 1609;95630;Folsom;California</t>
  </si>
  <si>
    <t>US0237</t>
  </si>
  <si>
    <t>Southridge Mall</t>
  </si>
  <si>
    <t>5300 S 76th St</t>
  </si>
  <si>
    <t>Southridge Mall;5300 S 76th St;53129;Greendale;Wisconsin</t>
  </si>
  <si>
    <t>US0238</t>
  </si>
  <si>
    <t>The Avenues</t>
  </si>
  <si>
    <t>Jacksonville</t>
  </si>
  <si>
    <t>10300 Southside Blvd</t>
  </si>
  <si>
    <t>The Avenues;10300 Southside Blvd;32256;Jacksonville;Florida</t>
  </si>
  <si>
    <t>US0239</t>
  </si>
  <si>
    <t>Fashion Place Mall</t>
  </si>
  <si>
    <t>Murray</t>
  </si>
  <si>
    <t>6187 S. State Street</t>
  </si>
  <si>
    <t>Utah</t>
  </si>
  <si>
    <t>Fashion Place Mall;6187 S. State Street;84107;Murray;Utah</t>
  </si>
  <si>
    <t>US0240</t>
  </si>
  <si>
    <t>Lincoln Road</t>
  </si>
  <si>
    <t>Miami Beach</t>
  </si>
  <si>
    <t>551 Lincoln Road</t>
  </si>
  <si>
    <t>Lincoln Road;551 Lincoln Road;33139;Miami;Florida</t>
  </si>
  <si>
    <t>US0241</t>
  </si>
  <si>
    <t>Cherry Creek Shopping Center</t>
  </si>
  <si>
    <t>3000 East 1st Avenue</t>
  </si>
  <si>
    <t>Cherry Creek Shopping Center;3000 East 1st Avenue;80206;Denver;Colorado</t>
  </si>
  <si>
    <t>US0242</t>
  </si>
  <si>
    <t>International Plaza</t>
  </si>
  <si>
    <t>Tampa</t>
  </si>
  <si>
    <t>2223 N West Shore Blvd</t>
  </si>
  <si>
    <t>International Plaza;2223 N West Shore Blvd;33607;Tampa;Florida</t>
  </si>
  <si>
    <t>US0243</t>
  </si>
  <si>
    <t>Shops at Willow Bend</t>
  </si>
  <si>
    <t>Plano</t>
  </si>
  <si>
    <t>6121 W Park Blvd</t>
  </si>
  <si>
    <t>Shops at Willow Bend;6121 W Park Blvd;75093;Plano;Texas</t>
  </si>
  <si>
    <t>US0244</t>
  </si>
  <si>
    <t>Westfield Wheaton</t>
  </si>
  <si>
    <t>Wheaton</t>
  </si>
  <si>
    <t>11160 Veirs Mill Road</t>
  </si>
  <si>
    <t>Westfield Wheaton;11160 Veirs Mill Road;20902;Wheaton;Maryland</t>
  </si>
  <si>
    <t>US0246</t>
  </si>
  <si>
    <t>Roseville Center</t>
  </si>
  <si>
    <t>Roseville, MN</t>
  </si>
  <si>
    <t>1595 Highway 36 W</t>
  </si>
  <si>
    <t>Roseville Center;1595 Highway 36 W;55113;Roseville;Minnesota</t>
  </si>
  <si>
    <t>US0247</t>
  </si>
  <si>
    <t>South Bay Galleria</t>
  </si>
  <si>
    <t>Redondo Beach</t>
  </si>
  <si>
    <t>1815 Hawthorne Blvd</t>
  </si>
  <si>
    <t>South Bay Galleria;1815 Hawthorne Blvd;90278;Redondo Beach;California</t>
  </si>
  <si>
    <t>US0249</t>
  </si>
  <si>
    <t>Hillsdale Shopping Center</t>
  </si>
  <si>
    <t>San Mateo</t>
  </si>
  <si>
    <t>397 Hillsdale Shopping Center</t>
  </si>
  <si>
    <t>Hillsdale Shopping Center;397 Hillsdale Shopping Center;94403;San Mateo;California</t>
  </si>
  <si>
    <t>US0250</t>
  </si>
  <si>
    <t>Hanes Mall</t>
  </si>
  <si>
    <t>Winston-Salem</t>
  </si>
  <si>
    <t>3320 Silas Creek Pkwy</t>
  </si>
  <si>
    <t>Hanes Mall;3320 Silas Creek Pkwy;27103;Winston-Salem;North Carolina</t>
  </si>
  <si>
    <t>US0252</t>
  </si>
  <si>
    <t>Arizona Mills</t>
  </si>
  <si>
    <t>Tempe</t>
  </si>
  <si>
    <t>5000 South Arizona Mills Circle,</t>
  </si>
  <si>
    <t>Arizona Mills;5000 South Arizona Mills Circle,;85283;Tempe;Arizona</t>
  </si>
  <si>
    <t>US0253</t>
  </si>
  <si>
    <t>Promenade at Temecula</t>
  </si>
  <si>
    <t>Temecula</t>
  </si>
  <si>
    <t>40820 Winchester Road</t>
  </si>
  <si>
    <t>Promenade at Temecula;40820 Winchester Road;92591;Temecula;California</t>
  </si>
  <si>
    <t>US0254</t>
  </si>
  <si>
    <t>Country Club Plaza</t>
  </si>
  <si>
    <t>Kansas City</t>
  </si>
  <si>
    <t>440 West 47th Street</t>
  </si>
  <si>
    <t>Country Club Plaza;440 West 47th Street;64112;Kansas City;Missouri</t>
  </si>
  <si>
    <t>US0255</t>
  </si>
  <si>
    <t>Town East Mall</t>
  </si>
  <si>
    <t>Mesquite</t>
  </si>
  <si>
    <t>2063 Town East Mall</t>
  </si>
  <si>
    <t>Town East Mall;2063 Town East Mall;75150;Mesquite;Texas</t>
  </si>
  <si>
    <t>US0256</t>
  </si>
  <si>
    <t>Del Monte Center</t>
  </si>
  <si>
    <t>Monterey</t>
  </si>
  <si>
    <t>700 Del Monte Center</t>
  </si>
  <si>
    <t>Del Monte Center;700 Del Monte Center;93940;Monterey;California</t>
  </si>
  <si>
    <t>US0257</t>
  </si>
  <si>
    <t>City Creek Center</t>
  </si>
  <si>
    <t>Salt Lake City</t>
  </si>
  <si>
    <t>30 S MAIN ST</t>
  </si>
  <si>
    <t>City Creek Center;30 S MAIN ST;84101;Salt Lake City;Utah</t>
  </si>
  <si>
    <t>US0258</t>
  </si>
  <si>
    <t>Hamilton Mall</t>
  </si>
  <si>
    <t>Mays Landing</t>
  </si>
  <si>
    <t>4403 Black Horse Pike</t>
  </si>
  <si>
    <t>Hamilton Mall;4403 Black Horse Pike;08330;May's Landing;New Jersey</t>
  </si>
  <si>
    <t>US0259</t>
  </si>
  <si>
    <t>Polaris Fashion Place</t>
  </si>
  <si>
    <t>1500 Polaris Parkway</t>
  </si>
  <si>
    <t>Polaris Fashion Place;1500 Polaris Parkway;43240;Columbus;Ohio</t>
  </si>
  <si>
    <t>US0260</t>
  </si>
  <si>
    <t>Baybrook Mall</t>
  </si>
  <si>
    <t>Friendswood</t>
  </si>
  <si>
    <t>500 Baybrook Mall</t>
  </si>
  <si>
    <t>Baybrook Mall;500 Baybrook Mall;77546;Friendswood;Texas</t>
  </si>
  <si>
    <t>US0261</t>
  </si>
  <si>
    <t>Lloyd Center</t>
  </si>
  <si>
    <t>2201 Lloyd Center</t>
  </si>
  <si>
    <t>Lloyd Center;2201 Lloyd Center;97232;Portland;Oregon</t>
  </si>
  <si>
    <t>US0262</t>
  </si>
  <si>
    <t>Tyrone Square Mall</t>
  </si>
  <si>
    <t>St. Petersburg</t>
  </si>
  <si>
    <t>6901 22nd Ave North</t>
  </si>
  <si>
    <t>Tyrone Square Mall;6901 22nd Ave North;33710;St. Petersburg;Florida</t>
  </si>
  <si>
    <t>US0263</t>
  </si>
  <si>
    <t>Houston, TX</t>
  </si>
  <si>
    <t>1156 Willowbrook Mall</t>
  </si>
  <si>
    <t>Willowbrook Mall;1156 Willowbrook Mall;77070;Houston;Texas</t>
  </si>
  <si>
    <t>US0264</t>
  </si>
  <si>
    <t>King of Prussia - Plaza</t>
  </si>
  <si>
    <t>King of Prussia</t>
  </si>
  <si>
    <t>160 N Gulph Rd</t>
  </si>
  <si>
    <t>King of Prussia - Plaza;160 N Gulph Rd;19406;King of Prussia;Pennsylvania</t>
  </si>
  <si>
    <t>US0266</t>
  </si>
  <si>
    <t>Grapevine Mills</t>
  </si>
  <si>
    <t>Grapevine</t>
  </si>
  <si>
    <t>3000 Grapevine Mills Parkway</t>
  </si>
  <si>
    <t>Grapevine Mills;3000 Grapevine Mills Parkway;76051;Grapevine;Texas</t>
  </si>
  <si>
    <t>US0267</t>
  </si>
  <si>
    <t>Quaker Bridge Mall</t>
  </si>
  <si>
    <t>Lawrenceville, GA</t>
  </si>
  <si>
    <t>3320 Brunswick Pike, 1239A and ST04</t>
  </si>
  <si>
    <t>Quaker Bridge Mall;3320 Brunswick Pike, 1239A and ST04;08648;Lawrence Township;New Jersey</t>
  </si>
  <si>
    <t>US0268</t>
  </si>
  <si>
    <t>Galleria at Sunset</t>
  </si>
  <si>
    <t>Henderson</t>
  </si>
  <si>
    <t>1300 West Sunset Road</t>
  </si>
  <si>
    <t>Galleria at Sunset;1300 West Sunset Road;89014;Henderson;Nevada</t>
  </si>
  <si>
    <t>US0269</t>
  </si>
  <si>
    <t>WestShore Plaza</t>
  </si>
  <si>
    <t>250 Westshore Plaza, Suite WW02A</t>
  </si>
  <si>
    <t>WestShore Plaza;250 Westshore Plaza, Suite WW02A;33609;Tampa;Florida</t>
  </si>
  <si>
    <t>US0270</t>
  </si>
  <si>
    <t>Tanger Outlets - Riverhead</t>
  </si>
  <si>
    <t>Riverhead</t>
  </si>
  <si>
    <t>200 Tanger Mall Drive</t>
  </si>
  <si>
    <t>Tanger Outlets - Riverhead;200 Tanger Mall Drive;11901;Riverhead;New York</t>
  </si>
  <si>
    <t>US0272</t>
  </si>
  <si>
    <t>Jamaica Center</t>
  </si>
  <si>
    <t>160-08 Jamaica Avenue</t>
  </si>
  <si>
    <t>Jamaica Center;160-08 Jamaica Avenue;11432;Jamaica (Queens);New York</t>
  </si>
  <si>
    <t>US0273</t>
  </si>
  <si>
    <t>Bridge Street Town Centre</t>
  </si>
  <si>
    <t>Huntsville</t>
  </si>
  <si>
    <t>340 The Bridge Street</t>
  </si>
  <si>
    <t>Alabama</t>
  </si>
  <si>
    <t>Bridge Street Town Centre;340 The Bridge Street;35806;Huntsville;Alabama</t>
  </si>
  <si>
    <t>US0274</t>
  </si>
  <si>
    <t>Tippecanoe Mall</t>
  </si>
  <si>
    <t>Lafayette, IN</t>
  </si>
  <si>
    <t>2415 Sagamore Pkwy South</t>
  </si>
  <si>
    <t>Tippecanoe Mall;2415 Sagamore Pkwy South;47905;Lafayette;Indiana</t>
  </si>
  <si>
    <t>US0275</t>
  </si>
  <si>
    <t>Chandler Fashion Center</t>
  </si>
  <si>
    <t>Chandler</t>
  </si>
  <si>
    <t>3111 West Chandler Boulevard</t>
  </si>
  <si>
    <t>Chandler Fashion Center;3111 West Chandler Boulevard;85226;Chandler;Arizona</t>
  </si>
  <si>
    <t>US0276</t>
  </si>
  <si>
    <t>Aventura Mall</t>
  </si>
  <si>
    <t>Aventura</t>
  </si>
  <si>
    <t>19501 Biscayne Boulevard</t>
  </si>
  <si>
    <t>Aventura Mall;19501 Biscayne Boulevard;33180;Aventura;Florida</t>
  </si>
  <si>
    <t>US0277</t>
  </si>
  <si>
    <t>Arbor Place</t>
  </si>
  <si>
    <t>Douglasville</t>
  </si>
  <si>
    <t>6700 Douglas Boulevard</t>
  </si>
  <si>
    <t>Arbor Place;6700 Douglas Boulevard;30135;Douglassville;Georgia</t>
  </si>
  <si>
    <t>US0278</t>
  </si>
  <si>
    <t>Silver Spring</t>
  </si>
  <si>
    <t>8518 Fenton St</t>
  </si>
  <si>
    <t>Silver Spring;8518 Fenton St;20910;Silver Spring;Maryland</t>
  </si>
  <si>
    <t>US0279</t>
  </si>
  <si>
    <t>The Shops at Columbus Circle</t>
  </si>
  <si>
    <t>10 Columbus Circle</t>
  </si>
  <si>
    <t>The Shops at Columbus Circle;10 Columbus Circle;10019;New York;New York</t>
  </si>
  <si>
    <t>US0280</t>
  </si>
  <si>
    <t>The Domain</t>
  </si>
  <si>
    <t>Austin</t>
  </si>
  <si>
    <t>11410 Century Oaks Terrace</t>
  </si>
  <si>
    <t>The Domain;11410 Century Oaks Terrace;78758;Austin;Texas</t>
  </si>
  <si>
    <t>US0282</t>
  </si>
  <si>
    <t>Alderwood Mall</t>
  </si>
  <si>
    <t>Lynnwood</t>
  </si>
  <si>
    <t>3000 184th Street SW</t>
  </si>
  <si>
    <t>Alderwood Mall;3000 184th Street SW;98037;Lynwood;Washington</t>
  </si>
  <si>
    <t>US0283</t>
  </si>
  <si>
    <t>Cherryvale Mall</t>
  </si>
  <si>
    <t>Rockford</t>
  </si>
  <si>
    <t>7200 Harrison</t>
  </si>
  <si>
    <t>Cherryvale Mall;7200 Harrison;61112;Rockford;Illinois</t>
  </si>
  <si>
    <t>US0284</t>
  </si>
  <si>
    <t>Springfield, MO</t>
  </si>
  <si>
    <t>2501 Wabash Ave</t>
  </si>
  <si>
    <t>White Oaks Mall;2501 Wabash Ave;62704;Springfield;Illinois</t>
  </si>
  <si>
    <t>US0285</t>
  </si>
  <si>
    <t>Augusta Mall</t>
  </si>
  <si>
    <t>Augusta</t>
  </si>
  <si>
    <t>3450 Wrightsboro Road</t>
  </si>
  <si>
    <t>Augusta Mall;3450 Wrightsboro Road;30909;Augusta;Georgia</t>
  </si>
  <si>
    <t>US0286</t>
  </si>
  <si>
    <t>Spokane Valley Mall</t>
  </si>
  <si>
    <t>Spokane</t>
  </si>
  <si>
    <t>14700 East Indiana Ave</t>
  </si>
  <si>
    <t>Spokane Valley Mall;14700 East Indiana Ave;99216;Spokane;Washington</t>
  </si>
  <si>
    <t>US0287</t>
  </si>
  <si>
    <t>Coastland Center</t>
  </si>
  <si>
    <t>Naples</t>
  </si>
  <si>
    <t>1900 Tamiami Trail North</t>
  </si>
  <si>
    <t>Coastland Center;1900 Tamiami Trail North;34102;Naples;Florida</t>
  </si>
  <si>
    <t>US0288</t>
  </si>
  <si>
    <t>614 King Street</t>
  </si>
  <si>
    <t>King Street;614 King Street;22314;Alexandria;Virginia</t>
  </si>
  <si>
    <t>US0289</t>
  </si>
  <si>
    <t>Station Park</t>
  </si>
  <si>
    <t>320 N. Station Parkway</t>
  </si>
  <si>
    <t>Station Park;320 N. Station Parkway;84025;Farmington;Utah</t>
  </si>
  <si>
    <t>US0290</t>
  </si>
  <si>
    <t>Tanger Outlets - Westgate</t>
  </si>
  <si>
    <t>Glendale, AZ</t>
  </si>
  <si>
    <t>6800 N. 95th Avenue</t>
  </si>
  <si>
    <t>Tanger Outlets - Westgate;6800 N. 95th Avenue;85305;Glendale;Arizona</t>
  </si>
  <si>
    <t>US0291</t>
  </si>
  <si>
    <t>Santana Row</t>
  </si>
  <si>
    <t>334 Santana Row</t>
  </si>
  <si>
    <t>Santana Row;334 Santana Row;95128;San Jose;California</t>
  </si>
  <si>
    <t>US0292</t>
  </si>
  <si>
    <t>281 King Street</t>
  </si>
  <si>
    <t>Charleston, WV</t>
  </si>
  <si>
    <t>South Carolina</t>
  </si>
  <si>
    <t>281 King Street;281 King Street;29401;Charleston;South Carolina</t>
  </si>
  <si>
    <t>US0293</t>
  </si>
  <si>
    <t>Puente Hills Mall</t>
  </si>
  <si>
    <t>City of Industry</t>
  </si>
  <si>
    <t>1600 Azusa Ave</t>
  </si>
  <si>
    <t>Puente Hills Mall;1600 Azusa Ave;91748;City of Industry;California</t>
  </si>
  <si>
    <t>US0294</t>
  </si>
  <si>
    <t>Woodland Mall</t>
  </si>
  <si>
    <t>Grand Rapids, MI</t>
  </si>
  <si>
    <t>3195 28th Street SE</t>
  </si>
  <si>
    <t>Woodland Mall;3195 28th Street SE;49512;Grand Rapids;Michigan</t>
  </si>
  <si>
    <t>US0295</t>
  </si>
  <si>
    <t>Boise Town Square</t>
  </si>
  <si>
    <t>Boise</t>
  </si>
  <si>
    <t>350 North Milwaukee</t>
  </si>
  <si>
    <t>Idaho</t>
  </si>
  <si>
    <t>Boise Town Square;350 North Milwaukee;83704;Boise;Idaho</t>
  </si>
  <si>
    <t>US0296</t>
  </si>
  <si>
    <t>Calhoun Square</t>
  </si>
  <si>
    <t>Minneapolis</t>
  </si>
  <si>
    <t>3001 Hennepin Ave S</t>
  </si>
  <si>
    <t>Calhoun Square;3001 Hennepin Ave S;55408;Minneapolis;Minnesota</t>
  </si>
  <si>
    <t>US0298</t>
  </si>
  <si>
    <t>The Shops at 69th Street</t>
  </si>
  <si>
    <t>Upper Darby</t>
  </si>
  <si>
    <t>2 South 69th Street</t>
  </si>
  <si>
    <t>The Shops at 69th Street;2 South 69th Street;19082;Upper Darby;Pennsylvania</t>
  </si>
  <si>
    <t>US0299</t>
  </si>
  <si>
    <t>The Mall at Millenia</t>
  </si>
  <si>
    <t>4200 Conroy Road</t>
  </si>
  <si>
    <t>The Mall at Millenia;4200 Conroy Road;32839;Orlando;Florida</t>
  </si>
  <si>
    <t>US0300</t>
  </si>
  <si>
    <t>3700 Rivertown Parkway S.W.</t>
  </si>
  <si>
    <t>Grandvillie</t>
  </si>
  <si>
    <t>3700 Rivertown Parkway S.W.;;49418;Grandville;Michigan</t>
  </si>
  <si>
    <t>US0301</t>
  </si>
  <si>
    <t>Oak Park Mall</t>
  </si>
  <si>
    <t>Overland Park</t>
  </si>
  <si>
    <t>11149 West 95th Street</t>
  </si>
  <si>
    <t>Kansas</t>
  </si>
  <si>
    <t>Oak Park Mall;11149 West 95th Street;66214;Overland Park;Kansas</t>
  </si>
  <si>
    <t>US0302</t>
  </si>
  <si>
    <t>Destin Commons</t>
  </si>
  <si>
    <t>Destin</t>
  </si>
  <si>
    <t>4261 Legendary Drive</t>
  </si>
  <si>
    <t>Destin Commons;4261 Legendary Drive;32541;Destin;Florida</t>
  </si>
  <si>
    <t>US0303</t>
  </si>
  <si>
    <t>Outlets at the Border</t>
  </si>
  <si>
    <t>San Ysidro</t>
  </si>
  <si>
    <t>4461 Camino de la Plaza Suite 301</t>
  </si>
  <si>
    <t>Outlets at the Border;4461 Camino de la Plaza Suite 301;92173;San Ysidro;California</t>
  </si>
  <si>
    <t>US0304</t>
  </si>
  <si>
    <t>The Streets of Tanasbourne</t>
  </si>
  <si>
    <t>Hillsboro</t>
  </si>
  <si>
    <t>19350 NW Emma Way</t>
  </si>
  <si>
    <t>The Streets of Tanasbourne;19350 NW Emma Way;97124;Hillsboro;Oregon</t>
  </si>
  <si>
    <t>US0307</t>
  </si>
  <si>
    <t>3222 M Street The Shops at Georgetown Park</t>
  </si>
  <si>
    <t>3222 M Street Northwest</t>
  </si>
  <si>
    <t>3222 M Street The Shops at Georgetown Park;3222 M Street Northwest;20007;Washington;District of Columbia</t>
  </si>
  <si>
    <t>US0308</t>
  </si>
  <si>
    <t>The Streets at SouthGlenn</t>
  </si>
  <si>
    <t>Centennial</t>
  </si>
  <si>
    <t>6851 S Gaylord St</t>
  </si>
  <si>
    <t>The Streets at SouthGlenn;6851 S Gaylord St;80122;Centennial;Colorado</t>
  </si>
  <si>
    <t>US0309</t>
  </si>
  <si>
    <t>Carolina Place</t>
  </si>
  <si>
    <t>Pineville</t>
  </si>
  <si>
    <t>11025 Carolina Place Parkway</t>
  </si>
  <si>
    <t>Carolina Place;11025 Carolina Place Parkway;28134;Pineville;North Carolina</t>
  </si>
  <si>
    <t>US0310</t>
  </si>
  <si>
    <t>Perimeter Mall</t>
  </si>
  <si>
    <t>4400 Ashford Dunwoody Road</t>
  </si>
  <si>
    <t>Perimeter Mall;4400 Ashford Dunwoody Road;30346;Atlanta;Georgia</t>
  </si>
  <si>
    <t>US0311</t>
  </si>
  <si>
    <t>Outlet Collection Seattle</t>
  </si>
  <si>
    <t>Auburn</t>
  </si>
  <si>
    <t>1101 SuperMall Way</t>
  </si>
  <si>
    <t>Outlet Collection Seattle;1101 SuperMall Way;98001;Auburn;Washington</t>
  </si>
  <si>
    <t>US0312</t>
  </si>
  <si>
    <t>Solomon Pond Mall</t>
  </si>
  <si>
    <t>Marlborough</t>
  </si>
  <si>
    <t>601 Donald Lynch Blvd</t>
  </si>
  <si>
    <t>Solomon Pond Mall;601 Donald Lynch Blvd;01752;Marlborough;Massachusetts</t>
  </si>
  <si>
    <t>US0313</t>
  </si>
  <si>
    <t>Boulevard Mall</t>
  </si>
  <si>
    <t>Amherst</t>
  </si>
  <si>
    <t>730 Alberta Drive</t>
  </si>
  <si>
    <t>Boulevard Mall;730 Alberta Drive;14226;Amherst;New York</t>
  </si>
  <si>
    <t>US0314</t>
  </si>
  <si>
    <t>Oxmoor Center</t>
  </si>
  <si>
    <t>Louisville</t>
  </si>
  <si>
    <t>7900 Shelbyville Road</t>
  </si>
  <si>
    <t>Kentucky</t>
  </si>
  <si>
    <t>Oxmoor Center;7900 Shelbyville Road;40222;Louisville;Kentucky</t>
  </si>
  <si>
    <t>US0315</t>
  </si>
  <si>
    <t>Ridgedale Center</t>
  </si>
  <si>
    <t>Minnetonka</t>
  </si>
  <si>
    <t>12401 Wayzata Boulevard</t>
  </si>
  <si>
    <t>Ridgedale Center;12401 Wayzata Boulevard;55305;Minnetonka;Minnesota</t>
  </si>
  <si>
    <t>US0316</t>
  </si>
  <si>
    <t>Rosemary Square</t>
  </si>
  <si>
    <t>West Palm Beach</t>
  </si>
  <si>
    <t>700 S Rosemary Avenue</t>
  </si>
  <si>
    <t>Rosemary Square;700 S Rosemary Avenue;33401;West Palm Beach;Florida</t>
  </si>
  <si>
    <t>US0317</t>
  </si>
  <si>
    <t>The Collection at Riverpark</t>
  </si>
  <si>
    <t>Oxnard</t>
  </si>
  <si>
    <t>500 Town Center Drive</t>
  </si>
  <si>
    <t>The Collection at Riverpark;500 Town Center Drive;93036;Oxnard;California</t>
  </si>
  <si>
    <t>US0318</t>
  </si>
  <si>
    <t>French Quarter</t>
  </si>
  <si>
    <t>New Orleans</t>
  </si>
  <si>
    <t>418 North Peters Street</t>
  </si>
  <si>
    <t>Louisiana</t>
  </si>
  <si>
    <t>French Quarter;418 North Peters Street;70130;New Orleans;Louisiana</t>
  </si>
  <si>
    <t>US0319</t>
  </si>
  <si>
    <t>Tanger Outlets at National Harbor</t>
  </si>
  <si>
    <t>Oxon Hill</t>
  </si>
  <si>
    <t>6800 Oxon Hill Road, suite 100</t>
  </si>
  <si>
    <t>Tanger Outlets at National Harbor;6800 Oxon Hill Road, suite 100;20745;Oxon Hill;Maryland</t>
  </si>
  <si>
    <t>US0320</t>
  </si>
  <si>
    <t>Southpark Mall</t>
  </si>
  <si>
    <t>Charlotte</t>
  </si>
  <si>
    <t>4400 Sharon Road</t>
  </si>
  <si>
    <t>Southpark Mall;4400 Sharon Road;28211;Charlotte;North Carolina</t>
  </si>
  <si>
    <t>US0321</t>
  </si>
  <si>
    <t>Pembroke Lakes Mall</t>
  </si>
  <si>
    <t>Pembroke Pines</t>
  </si>
  <si>
    <t>11401 Pines Boulevard</t>
  </si>
  <si>
    <t>Pembroke Lakes Mall;11401 Pines Boulevard;33026;Pembroke Pines;Florida</t>
  </si>
  <si>
    <t>US0323</t>
  </si>
  <si>
    <t>Valley River Center</t>
  </si>
  <si>
    <t>Eugene</t>
  </si>
  <si>
    <t>293 Valley River Center</t>
  </si>
  <si>
    <t>Valley River Center;293 Valley River Center;97401;Eugene;Oregon</t>
  </si>
  <si>
    <t>US0324</t>
  </si>
  <si>
    <t>Monroeville Mall</t>
  </si>
  <si>
    <t>Monroeville</t>
  </si>
  <si>
    <t>200 Monroeville Mall</t>
  </si>
  <si>
    <t>Monroeville Mall;200 Monroeville Mall;15146;Monroeville;Pennsylvania</t>
  </si>
  <si>
    <t>US0325</t>
  </si>
  <si>
    <t>Meadowood Mall</t>
  </si>
  <si>
    <t>Reno</t>
  </si>
  <si>
    <t>5000 Meadowood Mall Circle</t>
  </si>
  <si>
    <t>Meadowood Mall;5000 Meadowood Mall Circle;89502;Reno;Nevada</t>
  </si>
  <si>
    <t>US0326</t>
  </si>
  <si>
    <t>Mall at Wellington Green</t>
  </si>
  <si>
    <t>10300 W Forest Hill Blvd</t>
  </si>
  <si>
    <t>Mall at Wellington Green;10300 W Forest Hill Blvd;33414;Wellington;Florida</t>
  </si>
  <si>
    <t>US0327</t>
  </si>
  <si>
    <t>Colorado Mills</t>
  </si>
  <si>
    <t>Lakewood, CO</t>
  </si>
  <si>
    <t>14500 W Colfax Ave</t>
  </si>
  <si>
    <t>Colorado Mills;14500 W Colfax Ave;80401;Lakewood;Colorado</t>
  </si>
  <si>
    <t>US0328</t>
  </si>
  <si>
    <t>Northlake Mall</t>
  </si>
  <si>
    <t>6801 Northlake Mall Dr.</t>
  </si>
  <si>
    <t>Northlake Mall;6801 Northlake Mall Dr.;28216;Charlotte;North Carolina</t>
  </si>
  <si>
    <t>US0329</t>
  </si>
  <si>
    <t>University Place</t>
  </si>
  <si>
    <t>Orem</t>
  </si>
  <si>
    <t>575 E University Parkway</t>
  </si>
  <si>
    <t>University Place;575 E University Parkway;84097;Orem;Utah</t>
  </si>
  <si>
    <t>US0330</t>
  </si>
  <si>
    <t>Opry Mills</t>
  </si>
  <si>
    <t>Nashville</t>
  </si>
  <si>
    <t>433 Opry Mills Dr.</t>
  </si>
  <si>
    <t>Tennessee</t>
  </si>
  <si>
    <t>Opry Mills;433 Opry Mills Dr.;37214;Nashville;Tennessee</t>
  </si>
  <si>
    <t>US0331</t>
  </si>
  <si>
    <t>Chapel Hills Mall</t>
  </si>
  <si>
    <t>Colorado Springs</t>
  </si>
  <si>
    <t>1710 Briargate Blvd</t>
  </si>
  <si>
    <t>Chapel Hills Mall;1710 Briargate Blvd;80920;Colorado Springs;Colorado</t>
  </si>
  <si>
    <t>US0332</t>
  </si>
  <si>
    <t>Four Seasons Town Centre</t>
  </si>
  <si>
    <t>Greensboro</t>
  </si>
  <si>
    <t>236 Four Seasons Town Centre</t>
  </si>
  <si>
    <t>Four Seasons Town Centre;236 Four Seasons Town Centre;27427;Greensboro;North Carolina</t>
  </si>
  <si>
    <t>US0333</t>
  </si>
  <si>
    <t>Waikiki Business Plaza</t>
  </si>
  <si>
    <t>Honolulu</t>
  </si>
  <si>
    <t>2270 Kalakaua Avenue</t>
  </si>
  <si>
    <t>Hawaii</t>
  </si>
  <si>
    <t>Waikiki Business Plaza;2270 Kalakaua Avenue;96815;Honolulu;Hawaii</t>
  </si>
  <si>
    <t>US0334</t>
  </si>
  <si>
    <t>The Outlets at Bergen Town Center</t>
  </si>
  <si>
    <t>680 Bergen Town Center - Suite A10</t>
  </si>
  <si>
    <t>The Outlets at Bergen Town Center;680 Bergen Town Center - Suite A10;07652;Paramus;New Jersey</t>
  </si>
  <si>
    <t>US0335</t>
  </si>
  <si>
    <t>Oxford Valley Mall</t>
  </si>
  <si>
    <t>Langhorn</t>
  </si>
  <si>
    <t>23 East Lincoln Highway</t>
  </si>
  <si>
    <t>Oxford Valley Mall;23 East Lincoln Highway;19047;Langhorne;Pennsylvania</t>
  </si>
  <si>
    <t>US0336</t>
  </si>
  <si>
    <t>Springfield Town Center</t>
  </si>
  <si>
    <t>6500 Springfield Mall</t>
  </si>
  <si>
    <t>Springfield Town Center;6500 Springfield Mall;22150;Springfield;Virginia</t>
  </si>
  <si>
    <t>US0337</t>
  </si>
  <si>
    <t>Solano Town Center</t>
  </si>
  <si>
    <t>Fairfield</t>
  </si>
  <si>
    <t>1350 Travis Blvd</t>
  </si>
  <si>
    <t>Solano Town Center;1350 Travis Blvd;94533;Fairfield;California</t>
  </si>
  <si>
    <t>US0338</t>
  </si>
  <si>
    <t>Galleria at Crystal Run</t>
  </si>
  <si>
    <t>Middletown</t>
  </si>
  <si>
    <t>1 Galleria Drive</t>
  </si>
  <si>
    <t>Galleria at Crystal Run;1 Galleria Drive;10941;Middletown;New York</t>
  </si>
  <si>
    <t>US0339</t>
  </si>
  <si>
    <t>Valley View Mall</t>
  </si>
  <si>
    <t>Roanoke</t>
  </si>
  <si>
    <t>4802 Valley View Blvd NW</t>
  </si>
  <si>
    <t>Valley View Mall;4802 Valley View Blvd NW;24012;Roanoke;Virginia</t>
  </si>
  <si>
    <t>US0340</t>
  </si>
  <si>
    <t>Coronado Mall</t>
  </si>
  <si>
    <t>Albuquerque</t>
  </si>
  <si>
    <t>6600 Menaul NE</t>
  </si>
  <si>
    <t>New Mexico</t>
  </si>
  <si>
    <t>Coronado Mall;6600 Menaul NE;87110;Albuquerque,;New Mexico</t>
  </si>
  <si>
    <t>US0341</t>
  </si>
  <si>
    <t>Outlets at Castle Rock</t>
  </si>
  <si>
    <t>Castle Rock</t>
  </si>
  <si>
    <t>5050 Factory Shops Blvd</t>
  </si>
  <si>
    <t>Outlets at Castle Rock;5050 Factory Shops Blvd;80108;Castle Rock;Colorado</t>
  </si>
  <si>
    <t>US0342</t>
  </si>
  <si>
    <t>Katy Mills</t>
  </si>
  <si>
    <t>5000 Katy Mills Circle Space 619</t>
  </si>
  <si>
    <t>Katy Mills;5000 Katy Mills Circle Space 619;77494;Katy;Texas</t>
  </si>
  <si>
    <t>US0343</t>
  </si>
  <si>
    <t>Tanger Outlet Center Pittsburgh</t>
  </si>
  <si>
    <t>Washington, PA</t>
  </si>
  <si>
    <t>2200 Tanger Blvd Suite. 360</t>
  </si>
  <si>
    <t>Tanger Outlet Center Pittsburgh;2200 Tanger Blvd Suite. 360;15301;Washington;Pennsylvania</t>
  </si>
  <si>
    <t>US0344</t>
  </si>
  <si>
    <t>Outlets at Traverse Mountain</t>
  </si>
  <si>
    <t>Lehi</t>
  </si>
  <si>
    <t>3700 North Cabelas Blvd</t>
  </si>
  <si>
    <t>Outlets at Traverse Mountain;3700 North Cabelas Blvd;84043;Lehi;Utah</t>
  </si>
  <si>
    <t>US0345</t>
  </si>
  <si>
    <t>Miami International Mall</t>
  </si>
  <si>
    <t>Miami</t>
  </si>
  <si>
    <t>1455 NW 107th Ave, Room 660A</t>
  </si>
  <si>
    <t>Miami International Mall;1455 NW 107th Ave, Room 660A;33172;Miami;Florida</t>
  </si>
  <si>
    <t>US0346</t>
  </si>
  <si>
    <t>The Mall at Fairfield Commons</t>
  </si>
  <si>
    <t>Dayton</t>
  </si>
  <si>
    <t>2727 Fairfield Commons Dr</t>
  </si>
  <si>
    <t>The Mall at Fairfield Commons;2727 Fairfield Commons Dr;45431;Beavercreek;Ohio</t>
  </si>
  <si>
    <t>US0347</t>
  </si>
  <si>
    <t>College Mall</t>
  </si>
  <si>
    <t>Bloomington, IL</t>
  </si>
  <si>
    <t>2894 E 3rd Street</t>
  </si>
  <si>
    <t>College Mall;2894 E 3rd Street;47401;Bloomington;Indiana</t>
  </si>
  <si>
    <t>US0348</t>
  </si>
  <si>
    <t>Bellis Fair Mall</t>
  </si>
  <si>
    <t>Bellingham</t>
  </si>
  <si>
    <t>1 Bellis Fair Parkway</t>
  </si>
  <si>
    <t>Bellis Fair Mall;1 Bellis Fair Parkway;98226;Bellingham;Washington</t>
  </si>
  <si>
    <t>US0350</t>
  </si>
  <si>
    <t>The Galleria</t>
  </si>
  <si>
    <t>5135 W Alabama, Space 5221</t>
  </si>
  <si>
    <t>The Galleria;5135 W Alabama, Space 5221;77056;Houston;Texas</t>
  </si>
  <si>
    <t>US0351</t>
  </si>
  <si>
    <t>Tanger Outlet Charleston</t>
  </si>
  <si>
    <t>North Charleston</t>
  </si>
  <si>
    <t>4840 Tanger Outlet Blvd #768</t>
  </si>
  <si>
    <t>Tanger Outlet Charleston;4840 Tanger Outlet Blvd #768;29418;Charleston;South Carolina</t>
  </si>
  <si>
    <t>US0352</t>
  </si>
  <si>
    <t>Antelope Valley Center</t>
  </si>
  <si>
    <t>Palmdale</t>
  </si>
  <si>
    <t>1233 W Rancho Vista Blvd</t>
  </si>
  <si>
    <t>Antelope Valley Center;1233 W Rancho Vista Blvd;93551;Palmdale;California</t>
  </si>
  <si>
    <t>US0353</t>
  </si>
  <si>
    <t>Cielo Vista</t>
  </si>
  <si>
    <t>El Paso</t>
  </si>
  <si>
    <t>8401 Gateway Blvd. West</t>
  </si>
  <si>
    <t>Cielo Vista;8401 Gateway Blvd. West;79925;El Paso;Texas</t>
  </si>
  <si>
    <t>US0354</t>
  </si>
  <si>
    <t>Asheville Mall</t>
  </si>
  <si>
    <t>Asheville</t>
  </si>
  <si>
    <t>3 South Tunnel Road</t>
  </si>
  <si>
    <t>Asheville Mall;3 South Tunnel Road;28805;Asheville;North Carolina</t>
  </si>
  <si>
    <t>US0355</t>
  </si>
  <si>
    <t>Westroads Mall</t>
  </si>
  <si>
    <t>Omaha</t>
  </si>
  <si>
    <t>10000 California St</t>
  </si>
  <si>
    <t>Nebraska</t>
  </si>
  <si>
    <t>Westroads Mall;10000 California St;68114;Omaha;Nebraska</t>
  </si>
  <si>
    <t>US0356</t>
  </si>
  <si>
    <t>Yorktown Center</t>
  </si>
  <si>
    <t>Lombard</t>
  </si>
  <si>
    <t>370 Yorktown Center</t>
  </si>
  <si>
    <t>Yorktown Center;370 Yorktown Center;60148;Lombard;Illinois</t>
  </si>
  <si>
    <t>US0357</t>
  </si>
  <si>
    <t>Meridian Mall</t>
  </si>
  <si>
    <t>Okemos</t>
  </si>
  <si>
    <t>1982 W Grand River Ave, Suite H</t>
  </si>
  <si>
    <t>Meridian Mall;1982 W Grand River Ave, Suite H;48864;Okemos;Michigan</t>
  </si>
  <si>
    <t>US0358</t>
  </si>
  <si>
    <t>Columbia Mall</t>
  </si>
  <si>
    <t>Columbia, SC</t>
  </si>
  <si>
    <t>2300 Bernadette Dr</t>
  </si>
  <si>
    <t>Columbia Mall;2300 Bernadette Dr;65203;Columbia;Missouri</t>
  </si>
  <si>
    <t>US0359</t>
  </si>
  <si>
    <t>Stonebriar Centre</t>
  </si>
  <si>
    <t>Frisco</t>
  </si>
  <si>
    <t>2601 Preston Road Suite 2240</t>
  </si>
  <si>
    <t>Stonebriar Centre;2601 Preston Road Suite 2240;75034;Frisco;Texas</t>
  </si>
  <si>
    <t>US0360</t>
  </si>
  <si>
    <t>American Dream</t>
  </si>
  <si>
    <t>East Rutherford</t>
  </si>
  <si>
    <t>1 American Dream Way, Suite D150</t>
  </si>
  <si>
    <t>1 American Dream Way, Suite D150;;07073;East Rutherford;New Jersey</t>
  </si>
  <si>
    <t>US0361</t>
  </si>
  <si>
    <t>The Shoppes at River Park</t>
  </si>
  <si>
    <t>Fresno</t>
  </si>
  <si>
    <t>110 El Camino</t>
  </si>
  <si>
    <t>The Shoppes at River Park;110 El Camino;93720;Fresno;California</t>
  </si>
  <si>
    <t>US0362</t>
  </si>
  <si>
    <t>Palm Desert</t>
  </si>
  <si>
    <t>72-840 Highway 111</t>
  </si>
  <si>
    <t>Palm Desert;72-840 Highway 111;92260;Palm Desert;California</t>
  </si>
  <si>
    <t>US0363</t>
  </si>
  <si>
    <t>The Shops at La Cantera</t>
  </si>
  <si>
    <t>San Antonio, TX</t>
  </si>
  <si>
    <t>15900 La Cantera Pkwy</t>
  </si>
  <si>
    <t>The Shops at La Cantera;15900 La Cantera Pkwy;78256;San Antonio;Texas</t>
  </si>
  <si>
    <t>US0364</t>
  </si>
  <si>
    <t>Tejon Ranch Outlets</t>
  </si>
  <si>
    <t>Lebec</t>
  </si>
  <si>
    <t>5701 Outlets at Tejon Parkway, Suite 190</t>
  </si>
  <si>
    <t>Tejon Ranch Outlets;5701 Outlets at Tejon Parkway, Suite 190;93263;Tejon Ranch;California</t>
  </si>
  <si>
    <t>US0365</t>
  </si>
  <si>
    <t>Concord Mills</t>
  </si>
  <si>
    <t>Concord, NC</t>
  </si>
  <si>
    <t>8111 Concord Mills Blvd</t>
  </si>
  <si>
    <t>Concord Mills;8111 Concord Mills Blvd;28027;Concord;North Carolina</t>
  </si>
  <si>
    <t>US0366</t>
  </si>
  <si>
    <t>Apache Mall</t>
  </si>
  <si>
    <t>Rochester, MN</t>
  </si>
  <si>
    <t>1201 12th Street SW, Space 305</t>
  </si>
  <si>
    <t>Apache Mall;1201 12th Street SW, Space 305;55902;Rochester;Minnesota</t>
  </si>
  <si>
    <t>US0367</t>
  </si>
  <si>
    <t>Weberstown Mall</t>
  </si>
  <si>
    <t>Stockton</t>
  </si>
  <si>
    <t>4950 Pacific Avenue</t>
  </si>
  <si>
    <t>Weberstown Mall;4950 Pacific Avenue;95207;Stockton;California</t>
  </si>
  <si>
    <t>US0368</t>
  </si>
  <si>
    <t>Governor's Square Mall</t>
  </si>
  <si>
    <t>Tallahasse</t>
  </si>
  <si>
    <t>1500 Apalachee Pkwy</t>
  </si>
  <si>
    <t>Governor's Square Mall;1500 Apalachee Pkwy;32301;Tallahassee;Florida</t>
  </si>
  <si>
    <t>US0369</t>
  </si>
  <si>
    <t>The Outlet Shoppes at El Paso</t>
  </si>
  <si>
    <t>7051 S. Desert Blvd</t>
  </si>
  <si>
    <t>The Outlet Shoppes at El Paso;7051 S. Desert Blvd;79835;Canutillo;Texas</t>
  </si>
  <si>
    <t>US0370</t>
  </si>
  <si>
    <t>The Mall at Bay Plaza</t>
  </si>
  <si>
    <t>Bronx</t>
  </si>
  <si>
    <t>200 Baychester Avenue</t>
  </si>
  <si>
    <t>The Mall at Bay Plaza;200 Baychester Avenue;10475;Bronx;New York</t>
  </si>
  <si>
    <t>US0372</t>
  </si>
  <si>
    <t>Oakwood Center</t>
  </si>
  <si>
    <t>197 Westbank Expwy</t>
  </si>
  <si>
    <t>Oakwood Center;197 Westbank Expwy;70053;Gretna;Louisiana</t>
  </si>
  <si>
    <t>US0373</t>
  </si>
  <si>
    <t>Grand Plaza Outlets</t>
  </si>
  <si>
    <t>Calexico</t>
  </si>
  <si>
    <t>888 West 2nd Street, Suite D100</t>
  </si>
  <si>
    <t>Grand Plaza Outlets;888 West 2nd Street, Suite D100;92231;Calexico;California</t>
  </si>
  <si>
    <t>US0376</t>
  </si>
  <si>
    <t>Millcreek Mall</t>
  </si>
  <si>
    <t>Erie</t>
  </si>
  <si>
    <t>654 Millcreek Mall</t>
  </si>
  <si>
    <t>Millcreek Mall;654 Millcreek Mall;16565;Erie;Pennsylvania</t>
  </si>
  <si>
    <t>US0377</t>
  </si>
  <si>
    <t>Northpark Mall</t>
  </si>
  <si>
    <t>Jackson</t>
  </si>
  <si>
    <t>1200 E Countyline Road</t>
  </si>
  <si>
    <t>Mississippi</t>
  </si>
  <si>
    <t>Northpark Mall;1200 E Countyline Road;39157;Ridgeland;Mississippi</t>
  </si>
  <si>
    <t>US0378</t>
  </si>
  <si>
    <t>Valencia Town Center</t>
  </si>
  <si>
    <t>24201 Valencia Blvd</t>
  </si>
  <si>
    <t>Valencia Town Center;24201 Valencia Blvd;91355;Valencia;California</t>
  </si>
  <si>
    <t>US0379</t>
  </si>
  <si>
    <t>The Oaks</t>
  </si>
  <si>
    <t>Gainesville</t>
  </si>
  <si>
    <t>6419 Newberry Road</t>
  </si>
  <si>
    <t>The Oaks;6419 Newberry Road;32605;Gainesville;Florida</t>
  </si>
  <si>
    <t>US0380</t>
  </si>
  <si>
    <t>1133 Connecticut Avenue</t>
  </si>
  <si>
    <t>1133 Connecticut Avenue NW</t>
  </si>
  <si>
    <t>1133 Connecticut Avenue;1133 Connecticut Avenue NW;20036;Washington;District of Columbia</t>
  </si>
  <si>
    <t>US0382</t>
  </si>
  <si>
    <t>The Mall at Fox Run</t>
  </si>
  <si>
    <t>Newington</t>
  </si>
  <si>
    <t>508 Fox Run Rd</t>
  </si>
  <si>
    <t>New Hampshire</t>
  </si>
  <si>
    <t>The Mall at Fox Run;508 Fox Run Rd;03801;Newington;New Hampshire</t>
  </si>
  <si>
    <t>US0383</t>
  </si>
  <si>
    <t>Dayton Mall</t>
  </si>
  <si>
    <t>2700 Miamisburg Centerville Rd</t>
  </si>
  <si>
    <t>Dayton Mall;2700 Miamisburg Centerville Rd;45459;Dayton;Ohio</t>
  </si>
  <si>
    <t>US0384</t>
  </si>
  <si>
    <t>Tanger Outlets Commerce Georgia</t>
  </si>
  <si>
    <t>800 Steven B Tanger Blvd</t>
  </si>
  <si>
    <t>Tanger Outlets Commerce Georgia;800 Steven B Tanger Blvd;30529;Commerce;Georgia</t>
  </si>
  <si>
    <t>US0385</t>
  </si>
  <si>
    <t>Westland Mall</t>
  </si>
  <si>
    <t>Hialeah, FL</t>
  </si>
  <si>
    <t>1675 W 49th St</t>
  </si>
  <si>
    <t>Westland Mall;1675 W 49th St;33012;Hialeah;Florida</t>
  </si>
  <si>
    <t>US0386</t>
  </si>
  <si>
    <t>Cross Creek Mall</t>
  </si>
  <si>
    <t>Fayetteville, AR</t>
  </si>
  <si>
    <t>419 Cross Creek Mall</t>
  </si>
  <si>
    <t>Cross Creek Mall;419 Cross Creek Mall;28303;Fayetteville;North Carolina</t>
  </si>
  <si>
    <t>US0387</t>
  </si>
  <si>
    <t>Southgate Mall</t>
  </si>
  <si>
    <t>Missoula</t>
  </si>
  <si>
    <t>2901 Brooks St.</t>
  </si>
  <si>
    <t>Montana</t>
  </si>
  <si>
    <t>Southgate Mall;2901 Brooks St.;59801;Missoula;Montana</t>
  </si>
  <si>
    <t>US0389</t>
  </si>
  <si>
    <t>Melbourne Square Mall</t>
  </si>
  <si>
    <t>1700 W. New Haven Avenue</t>
  </si>
  <si>
    <t>Melbourne Square Mall;1700 W. New Haven Avenue;32904;Melbourne;Florida</t>
  </si>
  <si>
    <t>US0390</t>
  </si>
  <si>
    <t>Fig at 7th</t>
  </si>
  <si>
    <t>735 South Figueroa Street Suite 303</t>
  </si>
  <si>
    <t>Fig at 7th;735 South Figueroa Street Suite 303;90017;Los Angeles;California</t>
  </si>
  <si>
    <t>US0391</t>
  </si>
  <si>
    <t>Boynton Beach Mall</t>
  </si>
  <si>
    <t>Boynton Beach</t>
  </si>
  <si>
    <t>801 N Congress Ave</t>
  </si>
  <si>
    <t>Boynton Beach Mall;801 N Congress Ave;33426;Boynton Beach;Florida</t>
  </si>
  <si>
    <t>US0392</t>
  </si>
  <si>
    <t>Parkway Plaza</t>
  </si>
  <si>
    <t>El Cajon</t>
  </si>
  <si>
    <t>415 Parkway Plaza</t>
  </si>
  <si>
    <t>Parkway Plaza;415 Parkway Plaza;92020;El Cajon;California</t>
  </si>
  <si>
    <t>US0393</t>
  </si>
  <si>
    <t>Northridge Mall</t>
  </si>
  <si>
    <t>Salinas</t>
  </si>
  <si>
    <t>796 Northridge Mall</t>
  </si>
  <si>
    <t>Northridge Mall;796 Northridge Mall;93906;Salinas;California</t>
  </si>
  <si>
    <t>US0394</t>
  </si>
  <si>
    <t>Fayette Mall</t>
  </si>
  <si>
    <t>Lexington</t>
  </si>
  <si>
    <t>3401 Nicholasville Rd</t>
  </si>
  <si>
    <t>Fayette Mall;3401 Nicholasville Rd;40503;Lexington;Kentucky</t>
  </si>
  <si>
    <t>US0395</t>
  </si>
  <si>
    <t>University Town Center</t>
  </si>
  <si>
    <t>Sarasota</t>
  </si>
  <si>
    <t>140 University Town Center Dr Suite 118 and 213</t>
  </si>
  <si>
    <t>University Town Center;140 University Town Center Dr Suite 118 and 213;34243;Sarasota;Florida</t>
  </si>
  <si>
    <t>US0396</t>
  </si>
  <si>
    <t>Louis Joliet Mall</t>
  </si>
  <si>
    <t>Joliet</t>
  </si>
  <si>
    <t>3340 Mall Loop Dr</t>
  </si>
  <si>
    <t>Louis Joliet Mall;3340 Mall Loop Dr;60431;Joliet;Illinois</t>
  </si>
  <si>
    <t>US0400</t>
  </si>
  <si>
    <t>4 Times Square</t>
  </si>
  <si>
    <t>1472 Broadway</t>
  </si>
  <si>
    <t>4 Times Square;1472 Broadway;10036;New York;New York</t>
  </si>
  <si>
    <t>US0401</t>
  </si>
  <si>
    <t>Southlake Center</t>
  </si>
  <si>
    <t>Merrillville, Indiana</t>
  </si>
  <si>
    <t>1939 Southlake Mall Unit #438</t>
  </si>
  <si>
    <t>Southlake Center;1939 Southlake Mall Unit #438;46410;Merrillville;Indiana</t>
  </si>
  <si>
    <t>US0402</t>
  </si>
  <si>
    <t>Shops at Rivercenter</t>
  </si>
  <si>
    <t>849 E Commerce St</t>
  </si>
  <si>
    <t>Shops at Rivercenter;849 E Commerce St;78205;San Antonio;Texas</t>
  </si>
  <si>
    <t>US0403</t>
  </si>
  <si>
    <t>Cool Springs Galleria</t>
  </si>
  <si>
    <t>Franklin</t>
  </si>
  <si>
    <t>1800 Galleria Boulevard</t>
  </si>
  <si>
    <t>Cool Springs Galleria;1800 Galleria Boulevard;37067;Franklin;Tennessee</t>
  </si>
  <si>
    <t>US0404</t>
  </si>
  <si>
    <t>Ka Makana Ali'i</t>
  </si>
  <si>
    <t>Kapolei</t>
  </si>
  <si>
    <t>91-5431 Kapolei Parkway</t>
  </si>
  <si>
    <t>Ka Makana Ali'i;91-5431 Kapolei Parkway;96709;Kapolei;Hawaii</t>
  </si>
  <si>
    <t>US0405</t>
  </si>
  <si>
    <t>Southwest Plaza Mall</t>
  </si>
  <si>
    <t>Littleton</t>
  </si>
  <si>
    <t>8501 W Bowles Ave</t>
  </si>
  <si>
    <t>Southwest Plaza Mall;8501 W Bowles Ave;80123;Littleton;Colorado</t>
  </si>
  <si>
    <t>US0406</t>
  </si>
  <si>
    <t>Foothills Mall</t>
  </si>
  <si>
    <t>Fort Collins</t>
  </si>
  <si>
    <t>215 E Foothills Pkwy #220</t>
  </si>
  <si>
    <t>Foothills Mall;215 E Foothills Pkwy #220;80525;Fort Collins;Colorado</t>
  </si>
  <si>
    <t>US0407</t>
  </si>
  <si>
    <t>Coastal Grand Mall</t>
  </si>
  <si>
    <t>Myrtle Beach</t>
  </si>
  <si>
    <t>2000 Coastal Grand Circle, Myrtle Beach</t>
  </si>
  <si>
    <t>Coastal Grand Mall;2000 Coastal Grand Circle, Myrtle Beach;29577;Myrtle Beach;South Carolina</t>
  </si>
  <si>
    <t>US0408</t>
  </si>
  <si>
    <t>Natick Mall</t>
  </si>
  <si>
    <t>Natick</t>
  </si>
  <si>
    <t>1245 Worcester Street</t>
  </si>
  <si>
    <t>Natick Mall;1245 Worcester Street;01760;Natick;Massachusetts</t>
  </si>
  <si>
    <t>US0409</t>
  </si>
  <si>
    <t>Southlands</t>
  </si>
  <si>
    <t>6155 S. Main Street</t>
  </si>
  <si>
    <t>Southlands;6155 S. Main Street;80016;Aurora;Colorado</t>
  </si>
  <si>
    <t>US0410</t>
  </si>
  <si>
    <t>Westfield Fashion Square</t>
  </si>
  <si>
    <t>Sherman Oaks</t>
  </si>
  <si>
    <t>14006 Riverside Dr</t>
  </si>
  <si>
    <t>Westfield Fashion Square;14006 Riverside Dr;91423;Sherman Oaks;California</t>
  </si>
  <si>
    <t>US0411</t>
  </si>
  <si>
    <t>Citrus Park</t>
  </si>
  <si>
    <t>8021 Citrus Park Town Center</t>
  </si>
  <si>
    <t>Citrus Park;8021 Citrus Park Town Center;33625 US;Tampa;Florida</t>
  </si>
  <si>
    <t>US0412</t>
  </si>
  <si>
    <t>Chicago Ridge Mall</t>
  </si>
  <si>
    <t>Chicago Ridge, IL</t>
  </si>
  <si>
    <t>444 Chicago Ridge Mall</t>
  </si>
  <si>
    <t>Chicago Ridge Mall;444 Chicago Ridge Mall;60415;Chicago Ridge;Illinois</t>
  </si>
  <si>
    <t>US0414</t>
  </si>
  <si>
    <t>Pike Outlets</t>
  </si>
  <si>
    <t>Long Beach</t>
  </si>
  <si>
    <t>37 Aquarium Way</t>
  </si>
  <si>
    <t>Pike Outlets;37 Aquarium Way;90802;Long Beach;California</t>
  </si>
  <si>
    <t>US0415</t>
  </si>
  <si>
    <t>Volusia Mall</t>
  </si>
  <si>
    <t>Daytona Beach</t>
  </si>
  <si>
    <t>1700 W International SpeedwayÂ Blvd</t>
  </si>
  <si>
    <t>Volusia Mall;1700 W International SpeedwayÂ Blvd;32114;Daytona Beach;Florida</t>
  </si>
  <si>
    <t>US0416</t>
  </si>
  <si>
    <t>Gateway Mall</t>
  </si>
  <si>
    <t>98 Gateway Mall</t>
  </si>
  <si>
    <t>Gateway Mall;98 Gateway Mall;68505;Lincoln;Nebraska</t>
  </si>
  <si>
    <t>US0417</t>
  </si>
  <si>
    <t>St. Augustine Outlets</t>
  </si>
  <si>
    <t>St Augustine</t>
  </si>
  <si>
    <t>500 Outlet Mall Blvd., Suite 250</t>
  </si>
  <si>
    <t>St. Augustine Outlets;500 Outlet Mall Blvd., Suite 250;32084;St. Augustine;Florida</t>
  </si>
  <si>
    <t>US0418</t>
  </si>
  <si>
    <t>Rimrock Mall</t>
  </si>
  <si>
    <t>Billings</t>
  </si>
  <si>
    <t>300 south 24th Street W</t>
  </si>
  <si>
    <t>Rimrock Mall;300 south 24th Street W;59102;Billings;Montana</t>
  </si>
  <si>
    <t>US0419</t>
  </si>
  <si>
    <t>Pacific City</t>
  </si>
  <si>
    <t>Huntington Beach</t>
  </si>
  <si>
    <t>21060 Pacific Coast Highway, Suite G100/G200</t>
  </si>
  <si>
    <t>Pacific City;21060 Pacific Coast Highway, Suite G100/G200;92648;Huntington Beach;California</t>
  </si>
  <si>
    <t>US0421</t>
  </si>
  <si>
    <t>Hillside Village</t>
  </si>
  <si>
    <t>Cedar Hill</t>
  </si>
  <si>
    <t>305 W. Farm to Market Road 1382</t>
  </si>
  <si>
    <t>Hillside Village;305 W. Farm to Market Road 1382;75104;Cedar Hill;Texas</t>
  </si>
  <si>
    <t>US0422</t>
  </si>
  <si>
    <t>Deptford Mall</t>
  </si>
  <si>
    <t>Deptford</t>
  </si>
  <si>
    <t>1750 Deptford Ave</t>
  </si>
  <si>
    <t>Deptford Mall;1750 Deptford Ave;08096;Deptford;New Jersey</t>
  </si>
  <si>
    <t>US0423</t>
  </si>
  <si>
    <t>Macomb Mall</t>
  </si>
  <si>
    <t>32233 Gratiot Ave</t>
  </si>
  <si>
    <t>Macomb Mall;32233 Gratiot Ave;48066;Roseville;Michigan</t>
  </si>
  <si>
    <t>US0424</t>
  </si>
  <si>
    <t>Broughton Street</t>
  </si>
  <si>
    <t>Savannah</t>
  </si>
  <si>
    <t>230-240 W Broughton Street</t>
  </si>
  <si>
    <t>Broughton Street;230-240 W Broughton Street;31401;Savannah;Georgia</t>
  </si>
  <si>
    <t>US0425</t>
  </si>
  <si>
    <t>Quail Springs Mall</t>
  </si>
  <si>
    <t>Oklahoma City</t>
  </si>
  <si>
    <t>2501 Memorial rd, Suite 149</t>
  </si>
  <si>
    <t>Oklahoma</t>
  </si>
  <si>
    <t>Quail Springs Mall;2501 Memorial rd, Suite 149;73134;Oklahoma City;Oklahoma</t>
  </si>
  <si>
    <t>US0427</t>
  </si>
  <si>
    <t>Southland Center</t>
  </si>
  <si>
    <t>Taylor</t>
  </si>
  <si>
    <t>23000 Eureka, Space 1390</t>
  </si>
  <si>
    <t>Southland Center;23000 Eureka, Space 1390;48180;Taylor;Michigan</t>
  </si>
  <si>
    <t>US0428</t>
  </si>
  <si>
    <t>Carriage Crossing</t>
  </si>
  <si>
    <t>Collierville, TN</t>
  </si>
  <si>
    <t>4674 Merchants Park Circle</t>
  </si>
  <si>
    <t>Carriage Crossing;4674 Merchants Park Circle;38017;Collierville;Tennessee</t>
  </si>
  <si>
    <t>US0429</t>
  </si>
  <si>
    <t>Tanger Outlets Grand Rapids</t>
  </si>
  <si>
    <t>350 84th Street SW</t>
  </si>
  <si>
    <t>Tanger Outlets Grand Rapids;350 84th Street SW;49315;Byron Center;Michigan</t>
  </si>
  <si>
    <t>US0430</t>
  </si>
  <si>
    <t>Riverchase Galleria</t>
  </si>
  <si>
    <t>Hoover</t>
  </si>
  <si>
    <t>2000 Riverchase Galleria</t>
  </si>
  <si>
    <t>Riverchase Galleria;2000 Riverchase Galleria;35244;Hoover;Alabama</t>
  </si>
  <si>
    <t>US0431</t>
  </si>
  <si>
    <t>Golden Triangle Mall</t>
  </si>
  <si>
    <t>Denton</t>
  </si>
  <si>
    <t>2201 I-35E South</t>
  </si>
  <si>
    <t>Golden Triangle Mall;2201 I-35E South;76205;Denton;Texas</t>
  </si>
  <si>
    <t>US0434</t>
  </si>
  <si>
    <t>Laurel Park Place</t>
  </si>
  <si>
    <t>Detroit</t>
  </si>
  <si>
    <t>37700 Six Mile Road</t>
  </si>
  <si>
    <t>Laurel Park Place;37700 Six Mile Road;48152;Livonia;Michigan</t>
  </si>
  <si>
    <t>US0435</t>
  </si>
  <si>
    <t>Monterey Street</t>
  </si>
  <si>
    <t>San Luis Obispo</t>
  </si>
  <si>
    <t>886 Monterey Street Space C-101</t>
  </si>
  <si>
    <t>Monterey Street;886 Monterey Street Space C-101;93401;San Luis Obispo;California</t>
  </si>
  <si>
    <t>US0437</t>
  </si>
  <si>
    <t>NewPark Mall</t>
  </si>
  <si>
    <t>Newark</t>
  </si>
  <si>
    <t>2086 Newpark Mall</t>
  </si>
  <si>
    <t>NewPark Mall;2086 Newpark Mall;94560;Newark;California</t>
  </si>
  <si>
    <t>US0438</t>
  </si>
  <si>
    <t>Outlet Shoppes of the Bluegrass</t>
  </si>
  <si>
    <t>1155 Buck Creek Road, Suite K-1000</t>
  </si>
  <si>
    <t>Outlet Shoppes of the Bluegrass;1155 Buck Creek Road, Suite K-1000;40067;Simpsonville;Kentucky</t>
  </si>
  <si>
    <t>US0439</t>
  </si>
  <si>
    <t>Jefferson Mall</t>
  </si>
  <si>
    <t>4801 Outer Loop</t>
  </si>
  <si>
    <t>Jefferson Mall;4801 Outer Loop;40219;Louisville;Kentucky</t>
  </si>
  <si>
    <t>US0440</t>
  </si>
  <si>
    <t>Century City</t>
  </si>
  <si>
    <t>10250 Santa Monica Blvd</t>
  </si>
  <si>
    <t>Century City;10250 Santa Monica Blvd;90067;Los Angeles;California</t>
  </si>
  <si>
    <t>US0441</t>
  </si>
  <si>
    <t>Chesterfield Towne Center</t>
  </si>
  <si>
    <t>11500 Midlothian Turnpike</t>
  </si>
  <si>
    <t>Chesterfield Towne Center;11500 Midlothian Turnpike;23235;Richmond;Virginia</t>
  </si>
  <si>
    <t>US0442</t>
  </si>
  <si>
    <t>Foxwoods Outlet Center</t>
  </si>
  <si>
    <t>Mashantucket</t>
  </si>
  <si>
    <t>455 Trolley Line Blvd</t>
  </si>
  <si>
    <t>Foxwoods Outlet Center;455 Trolley Line Blvd;06338;Mashantucket;Connecticut</t>
  </si>
  <si>
    <t>US0443</t>
  </si>
  <si>
    <t>Tempe Market Place</t>
  </si>
  <si>
    <t>2000 E Rio Salado Pkwy</t>
  </si>
  <si>
    <t>Tempe Market Place;2000 E Rio Salado Pkwy;85281;Tempe;Arizona</t>
  </si>
  <si>
    <t>US0444</t>
  </si>
  <si>
    <t>1451 Coral Ridge Avenue</t>
  </si>
  <si>
    <t>Coralville</t>
  </si>
  <si>
    <t>Iowa</t>
  </si>
  <si>
    <t>1451 Coral Ridge Avenue;;52241;Coralville;Iowa</t>
  </si>
  <si>
    <t>US0445</t>
  </si>
  <si>
    <t>Pike &amp; Rose</t>
  </si>
  <si>
    <t>North Bethesda</t>
  </si>
  <si>
    <t>11850 Grand Park Avenue</t>
  </si>
  <si>
    <t>Pike &amp; Rose;11850 Grand Park Avenue;20852;North Bethesda;Maryland</t>
  </si>
  <si>
    <t>US0446</t>
  </si>
  <si>
    <t>Empire Outlets</t>
  </si>
  <si>
    <t>One Richmond Terrace</t>
  </si>
  <si>
    <t>Empire Outlets;One Richmond Terrace;10314;Staten Island;New York</t>
  </si>
  <si>
    <t>US0448</t>
  </si>
  <si>
    <t>Outlets at San Clemente</t>
  </si>
  <si>
    <t>San Clemente</t>
  </si>
  <si>
    <t>101 W. Avenida Vista Hermosa, Suite 138</t>
  </si>
  <si>
    <t>Outlets at San Clemente;101 W. Avenida Vista Hermosa, Suite 138;92672;San Clemente;California</t>
  </si>
  <si>
    <t>US0449</t>
  </si>
  <si>
    <t>North Riverside Park Mall</t>
  </si>
  <si>
    <t>North Riverside, IL</t>
  </si>
  <si>
    <t>7501 West Cermak Road</t>
  </si>
  <si>
    <t>North Riverside Park Mall;7501 West Cermak Road;60546;North Riverside;Illinois</t>
  </si>
  <si>
    <t>US0450</t>
  </si>
  <si>
    <t>Dolphin Mall</t>
  </si>
  <si>
    <t>11401 NW 12th St</t>
  </si>
  <si>
    <t>Dolphin Mall;11401 NW 12th St;33172;Miami;Florida</t>
  </si>
  <si>
    <t>US0451</t>
  </si>
  <si>
    <t>Kitsap Mall</t>
  </si>
  <si>
    <t>Silverdale</t>
  </si>
  <si>
    <t>10315 Silverdale Way NW</t>
  </si>
  <si>
    <t>Kitsap Mall;10315 Silverdale Way NW;98383;Silverdale;Washington</t>
  </si>
  <si>
    <t>US0452</t>
  </si>
  <si>
    <t>Tanger Outlets at Foley</t>
  </si>
  <si>
    <t>Foley</t>
  </si>
  <si>
    <t>2601 S. McKenzie Street, Space No.200</t>
  </si>
  <si>
    <t>Tanger Outlets at Foley;2601 S. McKenzie Street, Space No.200;36535;Foley;Alabama</t>
  </si>
  <si>
    <t>US0453</t>
  </si>
  <si>
    <t>Southern Park Mall</t>
  </si>
  <si>
    <t>Youngstown</t>
  </si>
  <si>
    <t>7401 Market St</t>
  </si>
  <si>
    <t>Southern Park Mall;7401 Market St;44512;Youngstown;Ohio</t>
  </si>
  <si>
    <t>US0457</t>
  </si>
  <si>
    <t>Silver City Galleria</t>
  </si>
  <si>
    <t>Taunton</t>
  </si>
  <si>
    <t>2 Galleria Mall Drive</t>
  </si>
  <si>
    <t>Silver City Galleria;2 Galleria Mall Drive;02780;Taunton;MA</t>
  </si>
  <si>
    <t>US0458</t>
  </si>
  <si>
    <t>Eastwood Mall</t>
  </si>
  <si>
    <t>Niles</t>
  </si>
  <si>
    <t>5555 Youngstown Warren Road</t>
  </si>
  <si>
    <t>Eastwood Mall;5555 Youngstown Warren Road;44446;Niles;Ohio</t>
  </si>
  <si>
    <t>US0460</t>
  </si>
  <si>
    <t>North Star Mall</t>
  </si>
  <si>
    <t>7400 San Pedro Ave #1330</t>
  </si>
  <si>
    <t>North Star Mall;7400 San Pedro Ave #1330;78216;San Antonio;Texas</t>
  </si>
  <si>
    <t>US0462</t>
  </si>
  <si>
    <t>Westmoreland Mall</t>
  </si>
  <si>
    <t>Greensburg</t>
  </si>
  <si>
    <t>5256 Route 30, Space 240</t>
  </si>
  <si>
    <t>Westmoreland Mall;5256 Route 30, Space 240;15601;Greensburg;Pennsylvania</t>
  </si>
  <si>
    <t>US0463</t>
  </si>
  <si>
    <t>Parkdale Mall</t>
  </si>
  <si>
    <t>Beaumont</t>
  </si>
  <si>
    <t>6155 Eastex Fwy #200</t>
  </si>
  <si>
    <t>Parkdale Mall;6155 Eastex Fwy #200;77706;Beaumont;Texas</t>
  </si>
  <si>
    <t>US0464</t>
  </si>
  <si>
    <t>Greenbrier Mall</t>
  </si>
  <si>
    <t>Chesapeake</t>
  </si>
  <si>
    <t>1401 Greenbrier Parkway South, Building G</t>
  </si>
  <si>
    <t>Greenbrier Mall;1401 Greenbrier Parkway South, Building G;23320;Chesapeake;Virginia</t>
  </si>
  <si>
    <t>US0465</t>
  </si>
  <si>
    <t>Pearland Town Center</t>
  </si>
  <si>
    <t>11200 W Broadway St</t>
  </si>
  <si>
    <t>Pearland Town Center;11200 W Broadway St;77584;Pearland;Texas</t>
  </si>
  <si>
    <t>US0467</t>
  </si>
  <si>
    <t>Oakland Mall</t>
  </si>
  <si>
    <t>Troy</t>
  </si>
  <si>
    <t>412 W 14 Mile Rd</t>
  </si>
  <si>
    <t>Oakland Mall;412 W 14 Mile Rd;48083;Troy;Michigan</t>
  </si>
  <si>
    <t>US0468</t>
  </si>
  <si>
    <t>Tanger Outlets at Myrtle Beach</t>
  </si>
  <si>
    <t>10835 Kings Road, Space No. 500</t>
  </si>
  <si>
    <t>Tanger Outlets at Myrtle Beach;10835 Kings Road, Space No. 500;29572;Myrtle Beach;South Carolina</t>
  </si>
  <si>
    <t>US0469</t>
  </si>
  <si>
    <t>Green Tree Mall</t>
  </si>
  <si>
    <t>Clarksville</t>
  </si>
  <si>
    <t>757 E Lewis and Clark Pkwy</t>
  </si>
  <si>
    <t>Green Tree Mall;757 E Lewis and Clark Pkwy;47129;Clarksville;Indiana</t>
  </si>
  <si>
    <t>US0470</t>
  </si>
  <si>
    <t>Tanger Outlet San Marcos</t>
  </si>
  <si>
    <t>San Marcos</t>
  </si>
  <si>
    <t>4015 Interstate 35 Frontage Rd</t>
  </si>
  <si>
    <t>Tanger Outlet San Marcos;4015 Interstate 35 Frontage Rd;78666;San Marcos;Texas</t>
  </si>
  <si>
    <t>US0472</t>
  </si>
  <si>
    <t>Eastridge Mall</t>
  </si>
  <si>
    <t>2200 Eastridge Loop,Suite 1010</t>
  </si>
  <si>
    <t>Eastridge Mall;2200 Eastridge Loop,Suite 1010;95122;San Jose;California</t>
  </si>
  <si>
    <t>US0473</t>
  </si>
  <si>
    <t>Liberty Center</t>
  </si>
  <si>
    <t>Cincinnati</t>
  </si>
  <si>
    <t>7140 Foundry Row</t>
  </si>
  <si>
    <t>Liberty Center;7140 Foundry Row;45069;Liberty Township;Ohio</t>
  </si>
  <si>
    <t>US0474</t>
  </si>
  <si>
    <t>Village at Meridian</t>
  </si>
  <si>
    <t>3600 E Fairview Ave</t>
  </si>
  <si>
    <t>Village at Meridian;3600 E Fairview Ave;83642;Meridian;Idaho</t>
  </si>
  <si>
    <t>US0475</t>
  </si>
  <si>
    <t>Nebraska Crossing Outlet</t>
  </si>
  <si>
    <t>Gretna, NE</t>
  </si>
  <si>
    <t>21209 Nebraska Crossing Drive, Space No. T101</t>
  </si>
  <si>
    <t>Nebraska Crossing Outlet;21209 Nebraska Crossing Drive, Space No. T101;68028;Gretna;Nebraska</t>
  </si>
  <si>
    <t>US0476</t>
  </si>
  <si>
    <t>Valley mall</t>
  </si>
  <si>
    <t>Harrisonburg</t>
  </si>
  <si>
    <t>925 E Market St, Space #0323</t>
  </si>
  <si>
    <t>Valley mall;925 E Market St, Space #0323;22801;Rockingham;Virginia</t>
  </si>
  <si>
    <t>US0477</t>
  </si>
  <si>
    <t>Richland Mall</t>
  </si>
  <si>
    <t>Waco</t>
  </si>
  <si>
    <t>6001 West Waco Drive, Space 54</t>
  </si>
  <si>
    <t>Richland Mall;6001 West Waco Drive, Space 54;76710;Waco;Texas</t>
  </si>
  <si>
    <t>US0478</t>
  </si>
  <si>
    <t>Tanger Outlets Southaven</t>
  </si>
  <si>
    <t>Southaven</t>
  </si>
  <si>
    <t>5205 Airways Boulevard</t>
  </si>
  <si>
    <t>Tanger Outlets Southaven;5205 Airways Boulevard;38671;Southhaven;Mississippi</t>
  </si>
  <si>
    <t>US0479</t>
  </si>
  <si>
    <t>Post Oak Mall</t>
  </si>
  <si>
    <t>College Station</t>
  </si>
  <si>
    <t>1500 Harvey Rd, Space#5020</t>
  </si>
  <si>
    <t>Post Oak Mall;1500 Harvey Rd, Space#5020;77840;College Station;Texas</t>
  </si>
  <si>
    <t>US0481</t>
  </si>
  <si>
    <t>Brownsville</t>
  </si>
  <si>
    <t>2370 N Expressway, Space I</t>
  </si>
  <si>
    <t>Sunrise Mall;2370 N Expressway, Space I;78521;Brownsville;Texas</t>
  </si>
  <si>
    <t>US0482</t>
  </si>
  <si>
    <t>Ft Lauderdale Galleria</t>
  </si>
  <si>
    <t>Fort Lauderdale</t>
  </si>
  <si>
    <t>2414 E Sunrise Blvd</t>
  </si>
  <si>
    <t>Ft Lauderdale Galleria;2414 E Sunrise Blvd;33304;Fort Lauderdale;Florida</t>
  </si>
  <si>
    <t>US0483</t>
  </si>
  <si>
    <t>Paseo Colorado</t>
  </si>
  <si>
    <t>Pasadena</t>
  </si>
  <si>
    <t>300 E. Colorado Boulevard, Suite 102</t>
  </si>
  <si>
    <t>Paseo Colorado;300 E. Colorado Boulevard, Suite 102;91101;Pasadena;California</t>
  </si>
  <si>
    <t>US0484</t>
  </si>
  <si>
    <t>The Outlets at Sparks</t>
  </si>
  <si>
    <t>Sparks</t>
  </si>
  <si>
    <t>1330 Scheels Drive Suite F 289</t>
  </si>
  <si>
    <t>The Outlets at Sparks;1330 Scheels Drive Suite F 289;89506;Sparks;Nevada</t>
  </si>
  <si>
    <t>US0486</t>
  </si>
  <si>
    <t>Mall Del Norte</t>
  </si>
  <si>
    <t>Laredo</t>
  </si>
  <si>
    <t>5300 San Dario Ave., Space D</t>
  </si>
  <si>
    <t>Mall Del Norte;5300 San Dario Ave., Space D;78041;Laredo;Texas</t>
  </si>
  <si>
    <t>US0487</t>
  </si>
  <si>
    <t>Logan Valley Mall</t>
  </si>
  <si>
    <t>Altoona</t>
  </si>
  <si>
    <t>5580 Goods Lane,Suite #0758</t>
  </si>
  <si>
    <t>Logan Valley Mall;5580 Goods Lane,Suite #0758;16602;Altoona;Pennsylvania</t>
  </si>
  <si>
    <t>US0488</t>
  </si>
  <si>
    <t>Tanger Outlets at Lancaster</t>
  </si>
  <si>
    <t>311 Stanley K Tanger Blvd, Space #1540</t>
  </si>
  <si>
    <t>Tanger Outlets at Lancaster;311 Stanley K Tanger Blvd, Space #1540;17602;Lancaster;Pennsylvania</t>
  </si>
  <si>
    <t>US0489</t>
  </si>
  <si>
    <t>Francis Scott Key Mall</t>
  </si>
  <si>
    <t>Frederick</t>
  </si>
  <si>
    <t>5500 Buckeystown Pike,Suite 0432</t>
  </si>
  <si>
    <t>Francis Scott Key Mall;5500 Buckeystown Pike,Suite 0432;21703;Frederick;Maryland</t>
  </si>
  <si>
    <t>US0490</t>
  </si>
  <si>
    <t>Grand Central Mall</t>
  </si>
  <si>
    <t>Vienna</t>
  </si>
  <si>
    <t>100 Grand Central Ave</t>
  </si>
  <si>
    <t>West Virginia</t>
  </si>
  <si>
    <t>Grand Central Mall;100 Grand Central Ave;26105;Vienna;West Virginia</t>
  </si>
  <si>
    <t>US0491</t>
  </si>
  <si>
    <t>Capital City Mall</t>
  </si>
  <si>
    <t>Camp Hill</t>
  </si>
  <si>
    <t>3506 Capital City Drive, Space #0728</t>
  </si>
  <si>
    <t>Capital City Mall;3506 Capital City Drive, Space #0728;17011;Camp Hill;Pennsylvania</t>
  </si>
  <si>
    <t>US0493</t>
  </si>
  <si>
    <t>Valley Mall</t>
  </si>
  <si>
    <t>Hagerstown</t>
  </si>
  <si>
    <t>17301 Valley Mall RoadSpace #0165,</t>
  </si>
  <si>
    <t>Valley Mall;17301 Valley Mall RoadSpace #0165,;21740;Hagerstown;Maryland</t>
  </si>
  <si>
    <t>US0494</t>
  </si>
  <si>
    <t>The Shops at Montebello</t>
  </si>
  <si>
    <t>1852 Montebello Town Center Drive</t>
  </si>
  <si>
    <t>The Shops at Montebello;1852 Montebello Town Center Drive;90640;Montebello;California</t>
  </si>
  <si>
    <t>US0495</t>
  </si>
  <si>
    <t>Arrowhead Towne Towne Center</t>
  </si>
  <si>
    <t>7700 West Arrowhead Towne Center</t>
  </si>
  <si>
    <t>Arrowhead Towne Towne Center;7700 West Arrowhead Towne Center;85308;Glendale;Arizona</t>
  </si>
  <si>
    <t>US0496</t>
  </si>
  <si>
    <t>Shoppes at Eastchase</t>
  </si>
  <si>
    <t>Montgomery</t>
  </si>
  <si>
    <t>7274 Eastchase Ln</t>
  </si>
  <si>
    <t>Shoppes at Eastchase;7274 Eastchase Ln;36117;Montgomery;Alabama</t>
  </si>
  <si>
    <t>US0497</t>
  </si>
  <si>
    <t>Valley Hills Mall</t>
  </si>
  <si>
    <t>Hickory</t>
  </si>
  <si>
    <t>1960 Highway 70 SE #244</t>
  </si>
  <si>
    <t>Valley Hills Mall;1960 Highway 70 SE #244;28602;Hickory;North Carolina</t>
  </si>
  <si>
    <t>US0498</t>
  </si>
  <si>
    <t>The Mall at Prince Georges</t>
  </si>
  <si>
    <t>Hyattsville</t>
  </si>
  <si>
    <t>3500 East-West Highway,Space#1024</t>
  </si>
  <si>
    <t>The Mall at Prince Georges;3500 East-West Highway,Space#1024;20782;Hyattsville;Maryland</t>
  </si>
  <si>
    <t>US0500</t>
  </si>
  <si>
    <t>Fifth Avenue</t>
  </si>
  <si>
    <t>589 Fifth Avenue</t>
  </si>
  <si>
    <t>Fifth Avenue;589 Fifth Avenue;10017;New York;New York</t>
  </si>
  <si>
    <t>US0501</t>
  </si>
  <si>
    <t>Tanger Outlets Savannah</t>
  </si>
  <si>
    <t>Pooler</t>
  </si>
  <si>
    <t>200 Tanger Outlet Blvd, Space No. 101</t>
  </si>
  <si>
    <t>Tanger Outlets Savannah;200 Tanger Outlet Blvd, Space No. 101;31322;Pooler;Georgia</t>
  </si>
  <si>
    <t>US0503</t>
  </si>
  <si>
    <t>Lakewood Center</t>
  </si>
  <si>
    <t>Lakewood, CA</t>
  </si>
  <si>
    <t>500 Lakewood Center Mall</t>
  </si>
  <si>
    <t>Lakewood Center;500 Lakewood Center Mall;90712;Lakewood;California</t>
  </si>
  <si>
    <t>US0505</t>
  </si>
  <si>
    <t>Dimond Center</t>
  </si>
  <si>
    <t>Anchorage</t>
  </si>
  <si>
    <t>800 E Dimond Blvd</t>
  </si>
  <si>
    <t>Alaska</t>
  </si>
  <si>
    <t>Dimond Center;800 E Dimond Blvd;99515;Anchorage;Alaska</t>
  </si>
  <si>
    <t>US0506</t>
  </si>
  <si>
    <t>Downtown Summerlin</t>
  </si>
  <si>
    <t>1940 Park Centre Drive</t>
  </si>
  <si>
    <t>Downtown Summerlin;1940 Park Centre Drive;89135;Las Vegas;Nevada</t>
  </si>
  <si>
    <t>US0507</t>
  </si>
  <si>
    <t>H&amp;M Stonewood Center</t>
  </si>
  <si>
    <t>Downey</t>
  </si>
  <si>
    <t>251 Stonewood Street #L01</t>
  </si>
  <si>
    <t>H&amp;M Stonewood Center;251 Stonewood Street #L01;90241;Downey;California</t>
  </si>
  <si>
    <t>US0509</t>
  </si>
  <si>
    <t>The Shoppes at Arbor Lakes</t>
  </si>
  <si>
    <t>Maple Grove</t>
  </si>
  <si>
    <t>12285 Elm Creek Boulevard North</t>
  </si>
  <si>
    <t>The Shoppes at Arbor Lakes;12285 Elm Creek Boulevard North;55369;Maple Grove;Minnesota</t>
  </si>
  <si>
    <t>US0510</t>
  </si>
  <si>
    <t>Hulen Mall</t>
  </si>
  <si>
    <t>Fort Worth</t>
  </si>
  <si>
    <t>4800 S Hulen St, Unit # 2380</t>
  </si>
  <si>
    <t>Hulen Mall;4800 S Hulen St, Unit # 2380;76132;Fort Worth;Texas</t>
  </si>
  <si>
    <t>US0512</t>
  </si>
  <si>
    <t>Fashion Square Mall</t>
  </si>
  <si>
    <t>Saginaw</t>
  </si>
  <si>
    <t>4787 Fashion Square Mall, Space E</t>
  </si>
  <si>
    <t>Fashion Square Mall;4787 Fashion Square Mall, Space E;48604;Saginaw;Michigan</t>
  </si>
  <si>
    <t>US0513</t>
  </si>
  <si>
    <t>The Shoppes at River Crossing</t>
  </si>
  <si>
    <t>5080 Riverside Drive, Suite 214</t>
  </si>
  <si>
    <t>The Shoppes at River Crossing;5080 Riverside Drive, Suite 214;31210;Macon;Georgia</t>
  </si>
  <si>
    <t>US0514</t>
  </si>
  <si>
    <t>Hill Country Galleria</t>
  </si>
  <si>
    <t>Bee Cave</t>
  </si>
  <si>
    <t>12912 Hill Country Boulevard, Suite D2-145</t>
  </si>
  <si>
    <t>Hill Country Galleria;12912 Hill Country Boulevard, Suite D2-145;78738;Bee Cave;Texas</t>
  </si>
  <si>
    <t>US0515</t>
  </si>
  <si>
    <t>Jefferson Valley</t>
  </si>
  <si>
    <t>Yorktown Heights</t>
  </si>
  <si>
    <t>650 Lee Blvd</t>
  </si>
  <si>
    <t>Jefferson Valley;650 Lee Blvd;10598;Yorktown Heights;New York</t>
  </si>
  <si>
    <t>US0518</t>
  </si>
  <si>
    <t>Valley Plaza Mall</t>
  </si>
  <si>
    <t>Bakersfield</t>
  </si>
  <si>
    <t>3001 Ming Ave Suite 540</t>
  </si>
  <si>
    <t>Valley Plaza Mall;3001 Ming Ave Suite 540;93304;Bakersfield;California</t>
  </si>
  <si>
    <t>US0519</t>
  </si>
  <si>
    <t>Sawgrass Mills</t>
  </si>
  <si>
    <t>12801 W Sunrise Boulevard</t>
  </si>
  <si>
    <t>Sawgrass Mills;12801 W Sunrise Boulevard;33323;Sunrise;Florida</t>
  </si>
  <si>
    <t>US0520</t>
  </si>
  <si>
    <t>Killeen Mall</t>
  </si>
  <si>
    <t>Killeen</t>
  </si>
  <si>
    <t>2100 South W S Young Drive, Suite 1090</t>
  </si>
  <si>
    <t>Killeen Mall;2100 South W S Young Drive, Suite 1090;76543;Killeen;Texas</t>
  </si>
  <si>
    <t>US0521</t>
  </si>
  <si>
    <t>Tanger Outlets Daytona</t>
  </si>
  <si>
    <t>1100 Cornerstone, Suite 590</t>
  </si>
  <si>
    <t>Tanger Outlets Daytona;1100 Cornerstone, Suite 590;32117;Daytona Beach;Florida</t>
  </si>
  <si>
    <t>US0522</t>
  </si>
  <si>
    <t>Broadway Plaza Walnut Creek</t>
  </si>
  <si>
    <t>Walnut Creek</t>
  </si>
  <si>
    <t>73 Broadway Lane, Suite #1062</t>
  </si>
  <si>
    <t>Broadway Plaza Walnut Creek;73 Broadway Lane, Suite #1062;94596;Walnut Creek;California</t>
  </si>
  <si>
    <t>US0523</t>
  </si>
  <si>
    <t>Barnes Crossing</t>
  </si>
  <si>
    <t>Tupelo</t>
  </si>
  <si>
    <t>1001 Barnes Crossing Rd</t>
  </si>
  <si>
    <t>Barnes Crossing;1001 Barnes Crossing Rd;38804;Tupelo;Mississippi</t>
  </si>
  <si>
    <t>US0524</t>
  </si>
  <si>
    <t>Westfield Meriden Mall</t>
  </si>
  <si>
    <t>New Haven</t>
  </si>
  <si>
    <t>470 Lewis Ave, Suite 41</t>
  </si>
  <si>
    <t>Westfield Meriden Mall;470 Lewis Ave, Suite 41;06451;Meriden;Connecticut</t>
  </si>
  <si>
    <t>US0525</t>
  </si>
  <si>
    <t>Shoppes at Webb Gin</t>
  </si>
  <si>
    <t>Snellville</t>
  </si>
  <si>
    <t>1350 scenic Hwy, Suite 400</t>
  </si>
  <si>
    <t>Shoppes at Webb Gin;1350 scenic Hwy, Suite 400;30078;Snellville;Georgia</t>
  </si>
  <si>
    <t>US0526</t>
  </si>
  <si>
    <t>Moorestown Mall</t>
  </si>
  <si>
    <t>Moorestown</t>
  </si>
  <si>
    <t>400 Route 38</t>
  </si>
  <si>
    <t>Moorestown Mall;400 Route 38;08057;Moorestown;New Jersey</t>
  </si>
  <si>
    <t>US0528</t>
  </si>
  <si>
    <t>Ingram Park Mall</t>
  </si>
  <si>
    <t>6301 NW Loop 410, #Q10C</t>
  </si>
  <si>
    <t>Ingram Park Mall;6301 NW Loop 410, #Q10C;78238;San Antonio;Texas</t>
  </si>
  <si>
    <t>US0530</t>
  </si>
  <si>
    <t>763 Collins Avenue</t>
  </si>
  <si>
    <t>126 8th St.</t>
  </si>
  <si>
    <t>763 Collins Avenue;126 8th St.;33139;Miami Beach;Florida</t>
  </si>
  <si>
    <t>US0531</t>
  </si>
  <si>
    <t>White Marsh Mall</t>
  </si>
  <si>
    <t>8200 Perry Hall Blvd, Suite 1325</t>
  </si>
  <si>
    <t>White Marsh Mall;8200 Perry Hall Blvd, Suite 1325;21236;Baltimore;Maryland</t>
  </si>
  <si>
    <t>US0532</t>
  </si>
  <si>
    <t>Summit Fair</t>
  </si>
  <si>
    <t>840 NW Blue Pkwy</t>
  </si>
  <si>
    <t>Summit Fair;840 NW Blue Pkwy;64086;Lee's Summit,;Missouri</t>
  </si>
  <si>
    <t>US0533</t>
  </si>
  <si>
    <t>Tanger Outlets Fort Worth</t>
  </si>
  <si>
    <t>15829 North Freeway, Suite 180</t>
  </si>
  <si>
    <t>Tanger Outlets Fort Worth;15829 North Freeway, Suite 180;76177;Fort Worth;Texas</t>
  </si>
  <si>
    <t>US0534</t>
  </si>
  <si>
    <t>Sugarloaf Mills</t>
  </si>
  <si>
    <t>5900 Sugarloaf Pkwy., 209A</t>
  </si>
  <si>
    <t>Sugarloaf Mills;5900 Sugarloaf Pkwy., 209A;30043;Lawrenceville;Georgia</t>
  </si>
  <si>
    <t>US0536</t>
  </si>
  <si>
    <t>Southlake Mall</t>
  </si>
  <si>
    <t>Morrow</t>
  </si>
  <si>
    <t>1000 Southlake Circle</t>
  </si>
  <si>
    <t>Southlake Mall;1000 Southlake Circle;30260;Morrow;Georgia</t>
  </si>
  <si>
    <t>US0537</t>
  </si>
  <si>
    <t>Patrick Henry Mall</t>
  </si>
  <si>
    <t>Newport News</t>
  </si>
  <si>
    <t>12300 Jefferson Ave.Route 143 &amp; I-64</t>
  </si>
  <si>
    <t>Patrick Henry Mall;12300 Jefferson Ave.Route 143 &amp; I-64;23602;Newport News;Virginia</t>
  </si>
  <si>
    <t>US0539</t>
  </si>
  <si>
    <t>York Galleria</t>
  </si>
  <si>
    <t>One York Galleria, Space E</t>
  </si>
  <si>
    <t>York Galleria;One York Galleria, Space E;17402;York;Pennsylvania</t>
  </si>
  <si>
    <t>US0540</t>
  </si>
  <si>
    <t>Westfield Broward</t>
  </si>
  <si>
    <t>Plantation</t>
  </si>
  <si>
    <t>8000 West Broward Boulevard, Suite #1313</t>
  </si>
  <si>
    <t>Westfield Broward;8000 West Broward Boulevard, Suite #1313;33388;Plantation;Florida</t>
  </si>
  <si>
    <t>US0541</t>
  </si>
  <si>
    <t>Westfield Vancouver</t>
  </si>
  <si>
    <t>8700 NE Vancouver Mall Drive, Suite 122</t>
  </si>
  <si>
    <t>Westfield Vancouver;8700 NE Vancouver Mall Drive, Suite 122;98662;Vancouver;Washington</t>
  </si>
  <si>
    <t>US0542</t>
  </si>
  <si>
    <t>Westgate Mall</t>
  </si>
  <si>
    <t>Spartanburg</t>
  </si>
  <si>
    <t>205 W. Blackstock Road, Building J</t>
  </si>
  <si>
    <t>Westgate Mall;205 W. Blackstock Road, Building J;29301;Spartanburg;South Carolina</t>
  </si>
  <si>
    <t>US0543</t>
  </si>
  <si>
    <t>The Shoppes at Bel Air</t>
  </si>
  <si>
    <t>Mobile</t>
  </si>
  <si>
    <t>3452 Bel Air Mall</t>
  </si>
  <si>
    <t>The Shoppes at Bel Air;3452 Bel Air Mall;36606;Mobile;Alabama</t>
  </si>
  <si>
    <t>US0544</t>
  </si>
  <si>
    <t>Lakeland Square Mall</t>
  </si>
  <si>
    <t>Lakeland</t>
  </si>
  <si>
    <t>3800 US Hwy. 98 N.</t>
  </si>
  <si>
    <t>Lakeland Square Mall;3800 US Hwy. 98 N.;33809;Lakeland;Florida</t>
  </si>
  <si>
    <t>US0545</t>
  </si>
  <si>
    <t>Colonie Center</t>
  </si>
  <si>
    <t>131 Colonie Center</t>
  </si>
  <si>
    <t>Colonie Center;131 Colonie Center;12205;Albany;New York</t>
  </si>
  <si>
    <t>US0546</t>
  </si>
  <si>
    <t>Centre at Salisbury</t>
  </si>
  <si>
    <t>2300 N Salisbury Blvd, J121</t>
  </si>
  <si>
    <t>Centre at Salisbury;2300 N Salisbury Blvd, J121;21801;Salisbury;Maryland</t>
  </si>
  <si>
    <t>US0547</t>
  </si>
  <si>
    <t>Perry Crossing</t>
  </si>
  <si>
    <t>Plainfield</t>
  </si>
  <si>
    <t>2498 Perry Crossing Way, Suite 175</t>
  </si>
  <si>
    <t>Perry Crossing;2498 Perry Crossing Way, Suite 175;46168;Plainfield;Indiana</t>
  </si>
  <si>
    <t>US0548</t>
  </si>
  <si>
    <t>La Palmera</t>
  </si>
  <si>
    <t>Corpus Christi</t>
  </si>
  <si>
    <t>5488 S. Padre Island Drive, Space 7000</t>
  </si>
  <si>
    <t>La Palmera;5488 S. Padre Island Drive, Space 7000;78411;Corpus Christi;Texas</t>
  </si>
  <si>
    <t>US0549</t>
  </si>
  <si>
    <t>Pecanland Mall</t>
  </si>
  <si>
    <t>Monroe</t>
  </si>
  <si>
    <t>4700 Millhaven Road, Suite 1404</t>
  </si>
  <si>
    <t>Pecanland Mall;4700 Millhaven Road, Suite 1404;71203;Monroe;Louisiana</t>
  </si>
  <si>
    <t>US0550</t>
  </si>
  <si>
    <t>Kirkwood Mall</t>
  </si>
  <si>
    <t>Bismarck</t>
  </si>
  <si>
    <t>706 Kirkwood Mall, Building F</t>
  </si>
  <si>
    <t>North Dakota</t>
  </si>
  <si>
    <t>Kirkwood Mall;706 Kirkwood Mall, Building F;58504;Bismark;North Dakota</t>
  </si>
  <si>
    <t>US0551</t>
  </si>
  <si>
    <t>The Mall at Stonecrest</t>
  </si>
  <si>
    <t>2929 Turner Hill Road, Suite 2750</t>
  </si>
  <si>
    <t>The Mall at Stonecrest;2929 Turner Hill Road, Suite 2750;30038;Lithonia;Georgia</t>
  </si>
  <si>
    <t>US0552</t>
  </si>
  <si>
    <t>Outlet Shoppes at Laredo</t>
  </si>
  <si>
    <t>1600 Water Street, Suite #B320</t>
  </si>
  <si>
    <t>Outlet Shoppes at Laredo;1600 Water Street, Suite #B320;78040;Laredo;Texas</t>
  </si>
  <si>
    <t>US0554</t>
  </si>
  <si>
    <t>Longview Mall</t>
  </si>
  <si>
    <t>Longview</t>
  </si>
  <si>
    <t>3500 McCann Rd</t>
  </si>
  <si>
    <t>Longview Mall;3500 McCann Rd;75605;Longview;Texas</t>
  </si>
  <si>
    <t>US0556</t>
  </si>
  <si>
    <t>South Hill Mall</t>
  </si>
  <si>
    <t>Puyallup</t>
  </si>
  <si>
    <t>3500 S Meridian,Unit 940</t>
  </si>
  <si>
    <t>South Hill Mall;3500 S Meridian,Unit 940;98373;Puyallup;Washington</t>
  </si>
  <si>
    <t>US0557</t>
  </si>
  <si>
    <t>Dartmouth Mall</t>
  </si>
  <si>
    <t>200 Dartmouth Mall, Unit #1396</t>
  </si>
  <si>
    <t>Dartmouth Mall;200 Dartmouth Mall, Unit #1396;02747;Dartmouth;Massachusetts</t>
  </si>
  <si>
    <t>US0558</t>
  </si>
  <si>
    <t>Wyoming Valley Mall</t>
  </si>
  <si>
    <t>Wikes-Barre</t>
  </si>
  <si>
    <t>29 Wyoming Valley Mall, Unit #0224</t>
  </si>
  <si>
    <t>Wyoming Valley Mall;29 Wyoming Valley Mall, Unit #0224;18702;Wilkes-Barre;Pennsylvania</t>
  </si>
  <si>
    <t>US0560</t>
  </si>
  <si>
    <t>Mayfair Town Center</t>
  </si>
  <si>
    <t>833 Towne Center Drive Suite 110</t>
  </si>
  <si>
    <t>Mayfair Town Center;833 Towne Center Drive Suite 110;28405;Wilmington;North Carolina</t>
  </si>
  <si>
    <t>US0561</t>
  </si>
  <si>
    <t>Tanger Hilton Head</t>
  </si>
  <si>
    <t>Bluffton</t>
  </si>
  <si>
    <t>1414 Fording Island Rd, Space #E150</t>
  </si>
  <si>
    <t>Tanger Hilton Head;1414 Fording Island Rd, Space #E150;29910;Bluffton;South Carolina</t>
  </si>
  <si>
    <t>US0562</t>
  </si>
  <si>
    <t>South Plains Mall</t>
  </si>
  <si>
    <t>Lubbock</t>
  </si>
  <si>
    <t>6002 Slide Rd</t>
  </si>
  <si>
    <t>South Plains Mall;6002 Slide Rd;79414;Lubbock;Texas</t>
  </si>
  <si>
    <t>US0565</t>
  </si>
  <si>
    <t>Santa Fe Place</t>
  </si>
  <si>
    <t>Santa Fe</t>
  </si>
  <si>
    <t>4250 Cerrillos Road, Suite #1054</t>
  </si>
  <si>
    <t>Santa Fe Place;4250 Cerrillos Road, Suite #1054;87507;Santa Fe;New Mexico</t>
  </si>
  <si>
    <t>US0568</t>
  </si>
  <si>
    <t>The Outlet Shop of Grand River</t>
  </si>
  <si>
    <t>6200 Grand River Blvd East,Suite 216</t>
  </si>
  <si>
    <t>The Outlet Shop of Grand River;6200 Grand River Blvd East,Suite 216;35094;Leeds;Alabama</t>
  </si>
  <si>
    <t>US0571</t>
  </si>
  <si>
    <t>River Hills Mall</t>
  </si>
  <si>
    <t>Mankato</t>
  </si>
  <si>
    <t>1850 Adams St, Suite 312</t>
  </si>
  <si>
    <t>River Hills Mall;1850 Adams St, Suite 312;56001;Mankato;Minnesota</t>
  </si>
  <si>
    <t>US0572</t>
  </si>
  <si>
    <t>The Parks Mall at Arlington</t>
  </si>
  <si>
    <t>Arlington</t>
  </si>
  <si>
    <t>3811 South Cooper, Suite 1804</t>
  </si>
  <si>
    <t>The Parks Mall at Arlington;3811 South Cooper, Suite 1804;76015;Arlington;Texas</t>
  </si>
  <si>
    <t>US0573</t>
  </si>
  <si>
    <t>Fashion Outlets at Market East</t>
  </si>
  <si>
    <t>901 Market St</t>
  </si>
  <si>
    <t>Fashion Outlets at Market East;901 Market St;19107;Philadelphia;Pennsylvania</t>
  </si>
  <si>
    <t>US0574</t>
  </si>
  <si>
    <t>The Village at Cumberland Park</t>
  </si>
  <si>
    <t>Tyler</t>
  </si>
  <si>
    <t>8938 S Broadway Avenue, Suite 300</t>
  </si>
  <si>
    <t>The Village at Cumberland Park;8938 S Broadway Avenue, Suite 300;75703;Tyler;Texas</t>
  </si>
  <si>
    <t>US0575</t>
  </si>
  <si>
    <t>Genesee Valley</t>
  </si>
  <si>
    <t>Flint</t>
  </si>
  <si>
    <t>3425 South Linden Road</t>
  </si>
  <si>
    <t>Genesee Valley;3425 South Linden Road;48507;Flint;Michigan</t>
  </si>
  <si>
    <t>US0576</t>
  </si>
  <si>
    <t>Tanger Outlets Jeffersonville</t>
  </si>
  <si>
    <t>Jeffersonville</t>
  </si>
  <si>
    <t>8000 Factory Shops Boulevard</t>
  </si>
  <si>
    <t>Tanger Outlets Jeffersonville;8000 Factory Shops Boulevard;43128;Jeffersonville;Ohio</t>
  </si>
  <si>
    <t>US0577</t>
  </si>
  <si>
    <t>East Towne Mall</t>
  </si>
  <si>
    <t>89 East Towne Mall, Space H</t>
  </si>
  <si>
    <t>East Towne Mall;89 East Towne Mall, Space H;53704;Madison;Wisconsin</t>
  </si>
  <si>
    <t>US0579</t>
  </si>
  <si>
    <t>Tanger Outlets Howell</t>
  </si>
  <si>
    <t>Howell</t>
  </si>
  <si>
    <t>1475 N. Burkhart Road, Suite E150</t>
  </si>
  <si>
    <t>Tanger Outlets Howell;1475 N. Burkhart Road, Suite E150;48855;Howell;Michigan</t>
  </si>
  <si>
    <t>US0581</t>
  </si>
  <si>
    <t>Ford City Mall</t>
  </si>
  <si>
    <t>7601 South Cicero Avenue, Suite 1252</t>
  </si>
  <si>
    <t>Ford City Mall;7601 South Cicero Avenue, Suite 1252;60652;Chicago;Illinois</t>
  </si>
  <si>
    <t>US0582</t>
  </si>
  <si>
    <t>Magnolia Mall</t>
  </si>
  <si>
    <t>Florence, SC</t>
  </si>
  <si>
    <t>2701 David McLeod Boulevard Unit #1119</t>
  </si>
  <si>
    <t>Magnolia Mall;2701 David McLeod Boulevard Unit #1119;29501;Florence;South Carolina</t>
  </si>
  <si>
    <t>US0583</t>
  </si>
  <si>
    <t>Olympia</t>
  </si>
  <si>
    <t>625 Black Lake Boulevard SW, Suite G6</t>
  </si>
  <si>
    <t>Capital Mall;625 Black Lake Boulevard SW, Suite G6;98502;Olympia;Washington</t>
  </si>
  <si>
    <t>US0584</t>
  </si>
  <si>
    <t>Maine Mall</t>
  </si>
  <si>
    <t>South Portland</t>
  </si>
  <si>
    <t>364 Maine Mall Road, Suite N149</t>
  </si>
  <si>
    <t>Maine</t>
  </si>
  <si>
    <t>Maine Mall;364 Maine Mall Road, Suite N149;04106;South Portland;Maine</t>
  </si>
  <si>
    <t>US0585</t>
  </si>
  <si>
    <t>Lakeline Mall</t>
  </si>
  <si>
    <t>Cedar Park</t>
  </si>
  <si>
    <t>11200 Lakeline Mall Drive</t>
  </si>
  <si>
    <t>Lakeline Mall;11200 Lakeline Mall Drive;78613;Cedar Park;Texas</t>
  </si>
  <si>
    <t>US0588</t>
  </si>
  <si>
    <t>Downtown Palm Spring</t>
  </si>
  <si>
    <t>Palm Springs</t>
  </si>
  <si>
    <t>111 North Palm Canyon Drive, Suite CO. 35</t>
  </si>
  <si>
    <t>Downtown Palm Spring;111 North Palm Canyon Drive, Suite CO. 35;92262;Palm Springs;California</t>
  </si>
  <si>
    <t>US0590</t>
  </si>
  <si>
    <t>The Streets at Southpoint</t>
  </si>
  <si>
    <t>6910 Fayetteville Rd,Suite 2240</t>
  </si>
  <si>
    <t>The Streets at Southpoint;6910 Fayetteville Rd,Suite 2240;27713;Durham;North Carolina</t>
  </si>
  <si>
    <t>US0592</t>
  </si>
  <si>
    <t>North Town Mall</t>
  </si>
  <si>
    <t>4750 North Division Street, Unit 2202</t>
  </si>
  <si>
    <t>North Town Mall;4750 North Division Street, Unit 2202;99207;Spokane;Washington</t>
  </si>
  <si>
    <t>US0598</t>
  </si>
  <si>
    <t>Del Amo Fashion Center</t>
  </si>
  <si>
    <t>Torrance</t>
  </si>
  <si>
    <t>3525 W Carson St</t>
  </si>
  <si>
    <t>Del Amo Fashion Center;3525 W Carson St;90503;Torrance;California</t>
  </si>
  <si>
    <t>US0600</t>
  </si>
  <si>
    <t>Herald Square</t>
  </si>
  <si>
    <t>1293 Broadway</t>
  </si>
  <si>
    <t>Herald Square;1293 Broadway;10001;New York City;New York</t>
  </si>
  <si>
    <t>US0601</t>
  </si>
  <si>
    <t>Hamilton Place</t>
  </si>
  <si>
    <t>Chattanooga</t>
  </si>
  <si>
    <t>2100 Hamilton Pl Blvd</t>
  </si>
  <si>
    <t>Hamilton Place;2100 Hamilton Pl Blvd;37421;Chattanooga;Tennessee</t>
  </si>
  <si>
    <t>US0602</t>
  </si>
  <si>
    <t>The Shops at Northfield Stapleton</t>
  </si>
  <si>
    <t>8216 Northfield Blvd</t>
  </si>
  <si>
    <t>The Shops at Northfield Stapleton;8216 Northfield Blvd;80238;Denver;Colorado</t>
  </si>
  <si>
    <t>US0603</t>
  </si>
  <si>
    <t>The Mall at Robinson</t>
  </si>
  <si>
    <t>100 Robinson Centre Drive, Suite 2170</t>
  </si>
  <si>
    <t>The Mall at Robinson;100 Robinson Centre Drive, Suite 2170;15205;Pittsburgh;Pennsylvania</t>
  </si>
  <si>
    <t>US0604</t>
  </si>
  <si>
    <t>Joplin</t>
  </si>
  <si>
    <t>101 North Rangeline Road,Building H</t>
  </si>
  <si>
    <t>Northpark Mall;101 North Rangeline Road,Building H;64801;Joplin;Missouri</t>
  </si>
  <si>
    <t>US0605</t>
  </si>
  <si>
    <t>Park Plaza</t>
  </si>
  <si>
    <t>Little Rock</t>
  </si>
  <si>
    <t>6000 W. Markham Drive, Space D</t>
  </si>
  <si>
    <t>Arkansas</t>
  </si>
  <si>
    <t>Park Plaza;6000 W. Markham Drive, Space D;72205;Little Rock;Arkansas</t>
  </si>
  <si>
    <t>US0606</t>
  </si>
  <si>
    <t>H&amp;M Outlets of Little Rock</t>
  </si>
  <si>
    <t>11201 Bass Pro Parkway - Suite #N101</t>
  </si>
  <si>
    <t>H&amp;M Outlets of Little Rock;11201 Bass Pro Parkway - Suite #N101;72210;Little Rock;Arkansas</t>
  </si>
  <si>
    <t>US0607</t>
  </si>
  <si>
    <t>Westbrook Outlets</t>
  </si>
  <si>
    <t>Westbrook</t>
  </si>
  <si>
    <t>314 Flat Rock Pl F165</t>
  </si>
  <si>
    <t>Westbrook Outlets;314 Flat Rock Pl F165;06498;Westbrook;Connecticut</t>
  </si>
  <si>
    <t>US0608</t>
  </si>
  <si>
    <t>Miromar Outlets</t>
  </si>
  <si>
    <t>Estero</t>
  </si>
  <si>
    <t>10801 Corkscrew Road, Suite 71</t>
  </si>
  <si>
    <t>Miromar Outlets;10801 Corkscrew Road, Suite 71;33928;Estero;Florida</t>
  </si>
  <si>
    <t>US0609</t>
  </si>
  <si>
    <t>La Plaza Mall</t>
  </si>
  <si>
    <t>McAllen</t>
  </si>
  <si>
    <t>2200 S. 10th Street</t>
  </si>
  <si>
    <t>La Plaza Mall;2200 S. 10th Street;78503;McAllen;Texas</t>
  </si>
  <si>
    <t>US0611</t>
  </si>
  <si>
    <t>Chico Mall</t>
  </si>
  <si>
    <t>Chico</t>
  </si>
  <si>
    <t>1950 E 20th Street</t>
  </si>
  <si>
    <t>Chico Mall;1950 E 20th Street;95928;Chico;California</t>
  </si>
  <si>
    <t>US0613</t>
  </si>
  <si>
    <t>Cordova Mall</t>
  </si>
  <si>
    <t>Pensacola</t>
  </si>
  <si>
    <t>5100 North 9th Avenue</t>
  </si>
  <si>
    <t>Cordova Mall;5100 North 9th Avenue;32504;Pensacola;Florida</t>
  </si>
  <si>
    <t>US0614</t>
  </si>
  <si>
    <t>Towne East Square</t>
  </si>
  <si>
    <t>Wichita</t>
  </si>
  <si>
    <t>7700 E. Kellogg, Room M04A</t>
  </si>
  <si>
    <t>Towne East Square;7700 E. Kellogg, Room M04A;67207;Wichita;Kansas</t>
  </si>
  <si>
    <t>US0615</t>
  </si>
  <si>
    <t>Independence Center</t>
  </si>
  <si>
    <t>Independence</t>
  </si>
  <si>
    <t>18801 East 39th Street South, Room J08A</t>
  </si>
  <si>
    <t>Independence Center;18801 East 39th Street South, Room J08A;64057;Independence;Missouri</t>
  </si>
  <si>
    <t>US0617</t>
  </si>
  <si>
    <t>Town Center Cobb</t>
  </si>
  <si>
    <t>Kennesaw</t>
  </si>
  <si>
    <t>400 Ernest W Barrett Pkwy NW</t>
  </si>
  <si>
    <t>Town Center Cobb;400 Ernest W Barrett Pkwy NW;30144;Kennesaw;Georgia</t>
  </si>
  <si>
    <t>US0620</t>
  </si>
  <si>
    <t>4309 La Jolla Village Drive</t>
  </si>
  <si>
    <t>Suite No. 2320</t>
  </si>
  <si>
    <t>4309 La Jolla Village Drive;Suite No. 2320;92122;San Diego;California</t>
  </si>
  <si>
    <t>US0621</t>
  </si>
  <si>
    <t>Wolfchase Galleria</t>
  </si>
  <si>
    <t>Memphis</t>
  </si>
  <si>
    <t>2760 North Germantown Parkway, Space 2240A</t>
  </si>
  <si>
    <t>Wolfchase Galleria;2760 North Germantown Parkway, Space 2240A;38133;Memphis;Tennessee</t>
  </si>
  <si>
    <t>US0623</t>
  </si>
  <si>
    <t>Southland Mall</t>
  </si>
  <si>
    <t>Hayward</t>
  </si>
  <si>
    <t>One Southland Mall Drive, Space 324</t>
  </si>
  <si>
    <t>Southland Mall;One Southland Mall Drive, Space 324;94545;Hayward;California</t>
  </si>
  <si>
    <t>US0624</t>
  </si>
  <si>
    <t>Legends Outlet Kansas City</t>
  </si>
  <si>
    <t>1803 Village West Parkway, Suite M-103</t>
  </si>
  <si>
    <t>Legends Outlet Kansas City;1803 Village West Parkway, Suite M-103;66111;Kansas City;Kansas</t>
  </si>
  <si>
    <t>US0625</t>
  </si>
  <si>
    <t>H&amp;M Shoppes at Carlsbad</t>
  </si>
  <si>
    <t>2525 El Camino Real, Space 114</t>
  </si>
  <si>
    <t>H&amp;M Shoppes at Carlsbad;2525 El Camino Real, Space 114;92008;Carlsbad;California</t>
  </si>
  <si>
    <t>US0628</t>
  </si>
  <si>
    <t>Rolling Oaks</t>
  </si>
  <si>
    <t>6909 N Loop 1604 E</t>
  </si>
  <si>
    <t>Rolling Oaks;6909 N Loop 1604 E;78247;San Antonio;Texas</t>
  </si>
  <si>
    <t>US0630</t>
  </si>
  <si>
    <t>Providence Place</t>
  </si>
  <si>
    <t>Providence</t>
  </si>
  <si>
    <t>One Providence Place, Suite 3320</t>
  </si>
  <si>
    <t>Providence Place;One Providence Place, Suite 3320;02903;Providence;Rhode Island</t>
  </si>
  <si>
    <t>US0631</t>
  </si>
  <si>
    <t>Twelve Oaks Mall</t>
  </si>
  <si>
    <t>Novi</t>
  </si>
  <si>
    <t>27500 Novi Rd</t>
  </si>
  <si>
    <t>Twelve Oaks Mall;27500 Novi Rd;48377;Novi;Michigan</t>
  </si>
  <si>
    <t>US0632</t>
  </si>
  <si>
    <t>The Mall of Louisiana</t>
  </si>
  <si>
    <t>Baton Rouge, LA</t>
  </si>
  <si>
    <t>6401 Bluebonnet Blvd.</t>
  </si>
  <si>
    <t>The Mall of Louisiana;6401 Bluebonnet Blvd.;70836;Baton Rouge;Louisiana</t>
  </si>
  <si>
    <t>US0633</t>
  </si>
  <si>
    <t>Mall at Montgomery</t>
  </si>
  <si>
    <t>North wales</t>
  </si>
  <si>
    <t>230 Montgomery Mall, Room #2054A</t>
  </si>
  <si>
    <t>Mall at Montgomery;230 Montgomery Mall, Room #2054A;19454;North Wales;Pennsylvania</t>
  </si>
  <si>
    <t>US0634</t>
  </si>
  <si>
    <t>230 Southpark Circle</t>
  </si>
  <si>
    <t>Colonial Height</t>
  </si>
  <si>
    <t>Building G</t>
  </si>
  <si>
    <t>230 Southpark Circle;Building G;23834;Colonial Heights;Virginia</t>
  </si>
  <si>
    <t>US0635</t>
  </si>
  <si>
    <t>134 St. Clair Square</t>
  </si>
  <si>
    <t>Fairview Heights</t>
  </si>
  <si>
    <t>134 St. Clair Square;;62208;Fairview Heights;Illinois</t>
  </si>
  <si>
    <t>US0637</t>
  </si>
  <si>
    <t>Irvine Spectrum Center</t>
  </si>
  <si>
    <t>Irvine</t>
  </si>
  <si>
    <t>890 Irvine Spectrum Center Drive</t>
  </si>
  <si>
    <t>Irvine Spectrum Center;890 Irvine Spectrum Center Drive;92618;Irvine;California</t>
  </si>
  <si>
    <t>US0638</t>
  </si>
  <si>
    <t>Burbank Town Center</t>
  </si>
  <si>
    <t>Burbank</t>
  </si>
  <si>
    <t>201 E. Magnolia Boulevard, Suite 212</t>
  </si>
  <si>
    <t>Burbank Town Center;201 E. Magnolia Boulevard, Suite 212;91502;Burbank;California</t>
  </si>
  <si>
    <t>US0639</t>
  </si>
  <si>
    <t>Shops at South Town Center</t>
  </si>
  <si>
    <t>Sandy</t>
  </si>
  <si>
    <t>10450 South State Street, Suite 1002</t>
  </si>
  <si>
    <t>Shops at South Town Center;10450 South State Street, Suite 1002;84070;Sandy;Utah</t>
  </si>
  <si>
    <t>US0640</t>
  </si>
  <si>
    <t>Mid Rivers Mall</t>
  </si>
  <si>
    <t>St Peters</t>
  </si>
  <si>
    <t>1600 Mid Rivers Mall,Building H</t>
  </si>
  <si>
    <t>Mid Rivers Mall;1600 Mid Rivers Mall,Building H;63376;St Peters;Missouri</t>
  </si>
  <si>
    <t>US0641</t>
  </si>
  <si>
    <t>Premium Outlet Norfolk</t>
  </si>
  <si>
    <t>1600 Premium Outlets Boulevard, Unit 800</t>
  </si>
  <si>
    <t>Premium Outlet Norfolk;1600 Premium Outlets Boulevard, Unit 800;23502;Norfolk;Virginia</t>
  </si>
  <si>
    <t>US0642</t>
  </si>
  <si>
    <t>Rio Grande Valley Premium Outlets</t>
  </si>
  <si>
    <t>Mercedes</t>
  </si>
  <si>
    <t>500 E. US Express Way 83</t>
  </si>
  <si>
    <t>Rio Grande Valley Premium Outlets;500 E. US Express Way 83;78570;Mercedes;Texas</t>
  </si>
  <si>
    <t>US0643</t>
  </si>
  <si>
    <t>Woodbury Lakes</t>
  </si>
  <si>
    <t>Woodbury</t>
  </si>
  <si>
    <t>9100 Hudson Rd</t>
  </si>
  <si>
    <t>Woodbury Lakes;9100 Hudson Rd;55125;Woodbury;Minnesota</t>
  </si>
  <si>
    <t>US0644</t>
  </si>
  <si>
    <t>Allen Premium Outlets</t>
  </si>
  <si>
    <t>Allen</t>
  </si>
  <si>
    <t>820 West Stacy Road</t>
  </si>
  <si>
    <t>Allen Premium Outlets;820 West Stacy Road;75013;Allen;Texas</t>
  </si>
  <si>
    <t>US0646</t>
  </si>
  <si>
    <t>Gaffney Outlet Marketplace</t>
  </si>
  <si>
    <t>Gaffney</t>
  </si>
  <si>
    <t>1 Factory Shops Blvd, Unit 825</t>
  </si>
  <si>
    <t>Gaffney Outlet Marketplace;1 Factory Shops Blvd, Unit 825;29341;Gaffney;South Carolina</t>
  </si>
  <si>
    <t>US0647</t>
  </si>
  <si>
    <t>Inland Center</t>
  </si>
  <si>
    <t>San Bernardino</t>
  </si>
  <si>
    <t>500 Inland Center Drive, Space #340</t>
  </si>
  <si>
    <t>Inland Center;500 Inland Center Drive, Space #340;92408;San Bernardino;California</t>
  </si>
  <si>
    <t>US0648</t>
  </si>
  <si>
    <t>655 Route 318</t>
  </si>
  <si>
    <t>Unit #C095A</t>
  </si>
  <si>
    <t>655 Route 318;Unit #C095A;13165;Waterloo;New York</t>
  </si>
  <si>
    <t>US0649</t>
  </si>
  <si>
    <t>Fashion Fair</t>
  </si>
  <si>
    <t>559 E Shaw Avenue</t>
  </si>
  <si>
    <t>Fashion Fair;559 E Shaw Avenue;93710;Fresno;California</t>
  </si>
  <si>
    <t>US0651</t>
  </si>
  <si>
    <t>Gulfport Premium Outlets</t>
  </si>
  <si>
    <t>Gulfport</t>
  </si>
  <si>
    <t>1000 Factory Shops Boulevard</t>
  </si>
  <si>
    <t>Gulfport Premium Outlets;1000 Factory Shops Boulevard;39503;Gulfport;Mississippi</t>
  </si>
  <si>
    <t>US0652</t>
  </si>
  <si>
    <t>Oak Court Mall</t>
  </si>
  <si>
    <t>4465 Popular Ave Space #2200</t>
  </si>
  <si>
    <t>Oak Court Mall;4465 Popular Ave Space #2200;38117;Memphis;Tennessee</t>
  </si>
  <si>
    <t>US0653</t>
  </si>
  <si>
    <t>Market Place Mall</t>
  </si>
  <si>
    <t>Champaign</t>
  </si>
  <si>
    <t>2000 North Neil Street #0490</t>
  </si>
  <si>
    <t>Market Place Mall;2000 North Neil Street #0490;61820;Champaign;Illinois</t>
  </si>
  <si>
    <t>US0654</t>
  </si>
  <si>
    <t>Desert Ridge Marketplace</t>
  </si>
  <si>
    <t>Phoenix</t>
  </si>
  <si>
    <t>21001 N Tatum Blvd</t>
  </si>
  <si>
    <t>Desert Ridge Marketplace;21001 N Tatum Blvd;85050;Phoenix;Arizona</t>
  </si>
  <si>
    <t>US0655</t>
  </si>
  <si>
    <t>Spotsylvania Towne Centre</t>
  </si>
  <si>
    <t>Fredericksburg</t>
  </si>
  <si>
    <t>137 Spotsylvania Mall</t>
  </si>
  <si>
    <t>Spotsylvania Towne Centre;137 Spotsylvania Mall;22407;Fredericksburg;Virginia</t>
  </si>
  <si>
    <t>US0658</t>
  </si>
  <si>
    <t>H&amp;M Northwoods Mall</t>
  </si>
  <si>
    <t>2150 Northwoods Boulevard, Building F</t>
  </si>
  <si>
    <t>H&amp;M Northwoods Mall;2150 Northwoods Boulevard, Building F;29406;North Charleston;South Carolina</t>
  </si>
  <si>
    <t>US0659</t>
  </si>
  <si>
    <t>5001 Monroe St</t>
  </si>
  <si>
    <t>Toledo</t>
  </si>
  <si>
    <t>Space #1040</t>
  </si>
  <si>
    <t>5001 Monroe St;Space #1040;43623;Toledo;Ohio</t>
  </si>
  <si>
    <t>US0660</t>
  </si>
  <si>
    <t>NorthPark Mall</t>
  </si>
  <si>
    <t>Daveport</t>
  </si>
  <si>
    <t>320 West Kimberly Road, Suite 0016</t>
  </si>
  <si>
    <t>NorthPark Mall;320 West Kimberly Road, Suite 0016;52806;Davenport;Iowa</t>
  </si>
  <si>
    <t>US0662</t>
  </si>
  <si>
    <t>Fashion Outlets of Niagara Falls</t>
  </si>
  <si>
    <t>Niagara Falls</t>
  </si>
  <si>
    <t>1900 Military Rd, Space 320</t>
  </si>
  <si>
    <t>Fashion Outlets of Niagara Falls;1900 Military Rd, Space 320;14304;Niagara Falls;New York</t>
  </si>
  <si>
    <t>US0663</t>
  </si>
  <si>
    <t>The Crossroads</t>
  </si>
  <si>
    <t>Portage</t>
  </si>
  <si>
    <t>6650 South Westnedge Avenue, Suite # 140</t>
  </si>
  <si>
    <t>The Crossroads;6650 South Westnedge Avenue, Suite # 140;49024;Portage;Michigan</t>
  </si>
  <si>
    <t>US0665</t>
  </si>
  <si>
    <t>7804 Abercorn Extension</t>
  </si>
  <si>
    <t>H&amp;M Space 84</t>
  </si>
  <si>
    <t>7804 Abercorn Extension;H&amp;M Space 84;31406;Savannah;Georgia</t>
  </si>
  <si>
    <t>US0667</t>
  </si>
  <si>
    <t>Branson Landing</t>
  </si>
  <si>
    <t>Branson</t>
  </si>
  <si>
    <t>1005 Branson Landing</t>
  </si>
  <si>
    <t>Branson Landing;1005 Branson Landing;65616;Branson;Missouri</t>
  </si>
  <si>
    <t>US0670</t>
  </si>
  <si>
    <t>Orlando International Premium Outlets</t>
  </si>
  <si>
    <t>4951 International Dr</t>
  </si>
  <si>
    <t>Orlando International Premium Outlets;4951 International Dr;32819;Orlando;Florida</t>
  </si>
  <si>
    <t>US0671</t>
  </si>
  <si>
    <t>5101 Hinkleville Road</t>
  </si>
  <si>
    <t>Paducah</t>
  </si>
  <si>
    <t>Unit # 260</t>
  </si>
  <si>
    <t>5101 Hinkleville Road;Unit # 260;42001;Paducah;Kentucky</t>
  </si>
  <si>
    <t>US0672</t>
  </si>
  <si>
    <t>1770 East Red Cliffs Drive</t>
  </si>
  <si>
    <t>St George</t>
  </si>
  <si>
    <t>Suite 1200</t>
  </si>
  <si>
    <t>1770 East Red Cliffs Drive;Suite 1200;84790;St George;Utah</t>
  </si>
  <si>
    <t>US0673</t>
  </si>
  <si>
    <t>San Francisco Premium Outlets</t>
  </si>
  <si>
    <t>Livermore</t>
  </si>
  <si>
    <t>2774 Livermore Outlets Dr</t>
  </si>
  <si>
    <t>San Francisco Premium Outlets;2774 Livermore Outlets Dr;94551;Livermore;California</t>
  </si>
  <si>
    <t>US0675</t>
  </si>
  <si>
    <t>155 Dorset Street</t>
  </si>
  <si>
    <t>South Burlington</t>
  </si>
  <si>
    <t>Suite E2</t>
  </si>
  <si>
    <t>Vermont</t>
  </si>
  <si>
    <t>155 Dorset Street;Suite E2;05403;Burlington;Vermont</t>
  </si>
  <si>
    <t>US0677</t>
  </si>
  <si>
    <t>Crocker Park</t>
  </si>
  <si>
    <t>Westlake</t>
  </si>
  <si>
    <t>262 Main Street</t>
  </si>
  <si>
    <t>Crocker Park;262 Main Street;44145;Westlake;Ohio</t>
  </si>
  <si>
    <t>US0678</t>
  </si>
  <si>
    <t>Battlefield Mall</t>
  </si>
  <si>
    <t>2825 Glenstone Avenue</t>
  </si>
  <si>
    <t>Battlefield Mall;2825 Glenstone Avenue;65804;Springfield;Missouri</t>
  </si>
  <si>
    <t>US0681</t>
  </si>
  <si>
    <t>Danbury Fair</t>
  </si>
  <si>
    <t>Danbury</t>
  </si>
  <si>
    <t>7 Backus Ave</t>
  </si>
  <si>
    <t>Danbury Fair;7 Backus Ave;06810;Danbury;Connecticut</t>
  </si>
  <si>
    <t>US0683</t>
  </si>
  <si>
    <t>Deerbrook Mall</t>
  </si>
  <si>
    <t>Humble</t>
  </si>
  <si>
    <t>20131 US-59,</t>
  </si>
  <si>
    <t>Deerbrook Mall;20131 US-59,;77338;Humble;Texas</t>
  </si>
  <si>
    <t>US0684</t>
  </si>
  <si>
    <t>Mall of America</t>
  </si>
  <si>
    <t>Bloomington, MN</t>
  </si>
  <si>
    <t>118 Central Parkway</t>
  </si>
  <si>
    <t>Mall of America;118 Central Parkway;55425;Bloomington;Minnesota</t>
  </si>
  <si>
    <t>US0686</t>
  </si>
  <si>
    <t>The Oaks - Thousand Oaks</t>
  </si>
  <si>
    <t>Thousand Oaks</t>
  </si>
  <si>
    <t>186 W. Hillcrest #50, Space #E121</t>
  </si>
  <si>
    <t>The Oaks - Thousand Oaks;186 W. Hillcrest #50, Space #E121;91360;Thousand Oaks;California</t>
  </si>
  <si>
    <t>US0688</t>
  </si>
  <si>
    <t>Fox River Mall</t>
  </si>
  <si>
    <t>Appleton</t>
  </si>
  <si>
    <t>4301 W Wisconsin Ave</t>
  </si>
  <si>
    <t>Fox River Mall;4301 W Wisconsin Ave;54913;Appleton;Wisconsin</t>
  </si>
  <si>
    <t>US0690</t>
  </si>
  <si>
    <t>Philadelphia Premium Outlets</t>
  </si>
  <si>
    <t>Pottstown</t>
  </si>
  <si>
    <t>18 West Lightcap Rd, Suite, 880</t>
  </si>
  <si>
    <t>Philadelphia Premium Outlets;18 West Lightcap Rd, Suite, 880;19464;Limerick;Pennsylvania</t>
  </si>
  <si>
    <t>US0692</t>
  </si>
  <si>
    <t>681 Leavesley Rd</t>
  </si>
  <si>
    <t>Gilroy</t>
  </si>
  <si>
    <t>681 Leavesley Rd;;95020;Gilroy;California</t>
  </si>
  <si>
    <t>US0693</t>
  </si>
  <si>
    <t>Downtown Detroit</t>
  </si>
  <si>
    <t>1505 Woodward Avenue</t>
  </si>
  <si>
    <t>Downtown Detroit;1505 Woodward Avenue;48226;Detroit;Michigan</t>
  </si>
  <si>
    <t>US0695</t>
  </si>
  <si>
    <t>Mesilla Valley Mall</t>
  </si>
  <si>
    <t>Cruces</t>
  </si>
  <si>
    <t>700 S Telshor Blvd</t>
  </si>
  <si>
    <t>Mesilla Valley Mall;700 S Telshor Blvd;88011;Las Cruces;New Mexico</t>
  </si>
  <si>
    <t>US0696</t>
  </si>
  <si>
    <t>Lighthouse Place Premium Place</t>
  </si>
  <si>
    <t>Michigan City</t>
  </si>
  <si>
    <t>601 Wabash St</t>
  </si>
  <si>
    <t>Lighthouse Place Premium Place;601 Wabash St;46360;Michigan City;Indiana</t>
  </si>
  <si>
    <t>US0699</t>
  </si>
  <si>
    <t>Beachwood Place</t>
  </si>
  <si>
    <t>Beachwood</t>
  </si>
  <si>
    <t>26300 Cedar Rd</t>
  </si>
  <si>
    <t>26300 Cedar Rd;;44122;Beachwood;Ohio</t>
  </si>
  <si>
    <t>US0700</t>
  </si>
  <si>
    <t>World Trade Center</t>
  </si>
  <si>
    <t>18 Church Street</t>
  </si>
  <si>
    <t>World Trade Center;18 Church Street;10007;New York City;New York</t>
  </si>
  <si>
    <t>US0701</t>
  </si>
  <si>
    <t>Denver Premium Outlets</t>
  </si>
  <si>
    <t>Thornton</t>
  </si>
  <si>
    <t>13801 Grant St</t>
  </si>
  <si>
    <t>Denver Premium Outlets;13801 Grant St;80023;Thornton;Colorado</t>
  </si>
  <si>
    <t>US0702</t>
  </si>
  <si>
    <t>Manhattan Town Center</t>
  </si>
  <si>
    <t>Manhattan</t>
  </si>
  <si>
    <t>100 Manhattan Town Center, Suite 280</t>
  </si>
  <si>
    <t>Manhattan Town Center;100 Manhattan Town Center, Suite 280;66502;Manhattan;Kansas</t>
  </si>
  <si>
    <t>US0703</t>
  </si>
  <si>
    <t>Sunvalley Shopping Center</t>
  </si>
  <si>
    <t>313 Sunvalley Mall Road, Suite B-206</t>
  </si>
  <si>
    <t>Sunvalley Shopping Center;313 Sunvalley Mall Road, Suite B-206;94520;Concord;California</t>
  </si>
  <si>
    <t>US0705</t>
  </si>
  <si>
    <t>Acadiana Mall</t>
  </si>
  <si>
    <t>Lafayette, LA</t>
  </si>
  <si>
    <t>5725 Johnston S</t>
  </si>
  <si>
    <t>Acadiana Mall;5725 Johnston S;70503;Lafayette;Louisiana</t>
  </si>
  <si>
    <t>US0706</t>
  </si>
  <si>
    <t>St. Louis Premium Outlets</t>
  </si>
  <si>
    <t>18521 Outlet Boulevard</t>
  </si>
  <si>
    <t>18521 Outlet Boulevard;;63005;Chesterfield;Missouri</t>
  </si>
  <si>
    <t>US0710</t>
  </si>
  <si>
    <t>The Avenue Murfreesboro</t>
  </si>
  <si>
    <t>Murfreesboro</t>
  </si>
  <si>
    <t>2615 Med Center Pkwy, Suite 2000</t>
  </si>
  <si>
    <t>The Avenue Murfreesboro;2615 Med Center Pkwy, Suite 2000;37129;Murfreesboro;Tennessee</t>
  </si>
  <si>
    <t>US0712</t>
  </si>
  <si>
    <t>Knoxville</t>
  </si>
  <si>
    <t>West Town Mall</t>
  </si>
  <si>
    <t>7600 Kingston Pike</t>
  </si>
  <si>
    <t>West Town Mall;7600 Kingston Pike;37919;Knoxville;Tennessee</t>
  </si>
  <si>
    <t>US0713</t>
  </si>
  <si>
    <t>Woodland Hills Mall</t>
  </si>
  <si>
    <t>Tulsa, OK</t>
  </si>
  <si>
    <t>7021 South Memorial Drive, Suite 225B</t>
  </si>
  <si>
    <t>Woodland Hills Mall;7021 South Memorial Drive, Suite 225B;74133;Tulsa;Oklahoma</t>
  </si>
  <si>
    <t>US0717</t>
  </si>
  <si>
    <t>H&amp;M The SoNo Collection</t>
  </si>
  <si>
    <t>Norwalk</t>
  </si>
  <si>
    <t>100 N. Water Street</t>
  </si>
  <si>
    <t>H&amp;M The SoNo Collection;100 N. Water Street;06854;Norwalk;Connecticut</t>
  </si>
  <si>
    <t>US0735</t>
  </si>
  <si>
    <t>Camarillo Premium Outlets</t>
  </si>
  <si>
    <t>Camarillo</t>
  </si>
  <si>
    <t>740 Ventura Boulevard</t>
  </si>
  <si>
    <t>Camarillo Premium Outlets;740 Ventura Boulevard;93010;Camarillo;California</t>
  </si>
  <si>
    <t>US0749</t>
  </si>
  <si>
    <t>101 Jordan Creek Pky, Suite 12518</t>
  </si>
  <si>
    <t>West Des Moines</t>
  </si>
  <si>
    <t>101 Jordan Creek Pky, Suite 12518;;50266;West Des Moines;Iowa</t>
  </si>
  <si>
    <t>US0800</t>
  </si>
  <si>
    <t>H&amp;M Hudson Yards</t>
  </si>
  <si>
    <t>500 West 33rd Street Hudson Yards</t>
  </si>
  <si>
    <t>H&amp;M Hudson Yards;500 West 33rd Street Hudson Yards;10001;New York;New York</t>
  </si>
  <si>
    <t>US1014</t>
  </si>
  <si>
    <t>Eastview Mall</t>
  </si>
  <si>
    <t>Victor</t>
  </si>
  <si>
    <t>338 Eastview Mall</t>
  </si>
  <si>
    <t>338 Eastview Mall;;14564;New York</t>
  </si>
  <si>
    <t>UY0001</t>
  </si>
  <si>
    <t>Punta Carretas Shopping</t>
  </si>
  <si>
    <t>Montevideo</t>
  </si>
  <si>
    <t>Uruguay</t>
  </si>
  <si>
    <t>UY</t>
  </si>
  <si>
    <t>JosÃ© Ellauri 350</t>
  </si>
  <si>
    <t>JosÃ© Ellauri 350;Montevideo;11300;JosÃ© Ellauri 350</t>
  </si>
  <si>
    <t>UY0002</t>
  </si>
  <si>
    <t>Montevideo Shopping Center</t>
  </si>
  <si>
    <t>1290 Luis Alberto de Herrera, Montevideo</t>
  </si>
  <si>
    <t>1290 Luis Alberto de Herrera, Montevideo;;11300;1290 Luis Alberto de Herrera, Mvd</t>
  </si>
  <si>
    <t>UY0004</t>
  </si>
  <si>
    <t>Nuevocentro Shopping</t>
  </si>
  <si>
    <t>Av. Dr. Luis Alberto de Herrera 3365</t>
  </si>
  <si>
    <t>Av. Dr. Luis Alberto de Herrera 3365;Montevideo;11600;11600</t>
  </si>
  <si>
    <t>VN0101</t>
  </si>
  <si>
    <t>Vincom Dong Khoi</t>
  </si>
  <si>
    <t>HoChiMinh</t>
  </si>
  <si>
    <t>Viet Nam</t>
  </si>
  <si>
    <t>VN</t>
  </si>
  <si>
    <t>72 Le Thanh Ton , Ben Nghe ward,  District 1  Ho Chi Minh</t>
  </si>
  <si>
    <t>M15-19 &amp; L2-02</t>
  </si>
  <si>
    <t>72 Le Thanh Ton , Ben Nghe ward,  District 1  Ho Chi Minh;M15-19 &amp; L2-02;70000;Ho Chi Minh City</t>
  </si>
  <si>
    <t>VN0102</t>
  </si>
  <si>
    <t>Vincom Royal City</t>
  </si>
  <si>
    <t>Hanoi</t>
  </si>
  <si>
    <t>72A Nguyen Trai, Royal City complex, Thuong Dinh ward</t>
  </si>
  <si>
    <t>district Thanh Xuan, Ha Noi, B1-R5-11-15</t>
  </si>
  <si>
    <t>72A Nguyen Trai, Royal City complex, Thuong Dinh ward;district Thanh Xuan, Ha Noi, B1-R5-11-15;10000;Hanoi</t>
  </si>
  <si>
    <t>VN0103</t>
  </si>
  <si>
    <t>Vincom Thao Dien</t>
  </si>
  <si>
    <t>161 Ha Noi highway, Thao Dien ward, district 2, Ho Chi Minh</t>
  </si>
  <si>
    <t>L1-01B</t>
  </si>
  <si>
    <t>161 Ha Noi highway, Thao Dien ward, district 2, Ho Chi Minh;L1-01B;70000;Ho Chi Minh City</t>
  </si>
  <si>
    <t>VN0104</t>
  </si>
  <si>
    <t>Vincom Times City, 458 Minh Khai, PhÆ°á»ng VÄ©nh Tuy</t>
  </si>
  <si>
    <t>458 Minh Khai, Vinh Tuy ward, district Hai Ba Trung , Ha Noi</t>
  </si>
  <si>
    <t>TÄ-21-31</t>
  </si>
  <si>
    <t>458 Minh Khai, Vinh Tuy ward, district Hai Ba Trung , Ha Noi;TÄ-21-31;10000;Hanoi</t>
  </si>
  <si>
    <t>VN0105</t>
  </si>
  <si>
    <t>Vincom Nguyen Chi Thanh</t>
  </si>
  <si>
    <t>56 Nguyen Chi Thanh, Lang Thuong ward, district Dong Da</t>
  </si>
  <si>
    <t>L1-01-L2-01-04</t>
  </si>
  <si>
    <t>56 Nguyen Chi Thanh, Lang Thuong ward, district Dong Da;L1-01-L2-01-04;10000;Hanoi</t>
  </si>
  <si>
    <t>VN0106</t>
  </si>
  <si>
    <t>Crescent Mall</t>
  </si>
  <si>
    <t>101 Ton Dat Tien, Tan Phu ward, district 7, Ho Chi Minh</t>
  </si>
  <si>
    <t>GF-17-21</t>
  </si>
  <si>
    <t>101 Ton Dat Tien, Tan Phu ward, district 7, Ho Chi Minh;GF-17-21;70000;Ho Chi Minh City</t>
  </si>
  <si>
    <t>VN0108</t>
  </si>
  <si>
    <t>Vincom Ngo Quyen</t>
  </si>
  <si>
    <t>Da Nang</t>
  </si>
  <si>
    <t>910A Ngo Quyen, An Hai Bac ward, district Son Tra , Da Nang</t>
  </si>
  <si>
    <t>L1-08</t>
  </si>
  <si>
    <t>910A Ngo Quyen, An Hai Bac ward, district Son Tra , Da Nang;L1-08;50000</t>
  </si>
  <si>
    <t>VN0109</t>
  </si>
  <si>
    <t>AEON Mall Tan Phu</t>
  </si>
  <si>
    <t>30 Bo Bao Tan Thang, Son Ky ward, Tan Phu district</t>
  </si>
  <si>
    <t>G50-52</t>
  </si>
  <si>
    <t>30 Bo Bao Tan Thang, Son Ky ward, Tan Phu district;G50-52;70000;Ho Chi Minh</t>
  </si>
  <si>
    <t>VN0112</t>
  </si>
  <si>
    <t>Vincom Hung Vuong, Can Tho</t>
  </si>
  <si>
    <t>Can Tho</t>
  </si>
  <si>
    <t>2 Hung Vuong, district Ninh Kieu, Can Tho</t>
  </si>
  <si>
    <t>L1-01 - 02</t>
  </si>
  <si>
    <t>2 Hung Vuong, district Ninh Kieu, Can Tho;L1-01 - 02;94000;Ninh Kiá»u, Cáº§n ThÆ¡</t>
  </si>
  <si>
    <t>VN0113</t>
  </si>
  <si>
    <t>AEON Mall Ha Dong</t>
  </si>
  <si>
    <t>Duong Noi ward, district Ha Dong, Ha Noi</t>
  </si>
  <si>
    <t>L1-33, L2-28</t>
  </si>
  <si>
    <t>Duong Noi ward, district Ha Dong, Ha Noi;L1-33, L2-28;10000</t>
  </si>
  <si>
    <t>VN0124</t>
  </si>
  <si>
    <t>Duong XÃ¡, Gia LÃ¢m, Hanoi, Vietnam</t>
  </si>
  <si>
    <t>DÆ°Æ¡ng XÃ¡, Gia LÃ¢m, Hanoi, Vietnam</t>
  </si>
  <si>
    <t>DÆ°Æ¡ng XÃ¡, Gia LÃ¢m, Hanoi, Vietnam;;Gia Lam</t>
  </si>
  <si>
    <t>VN0127</t>
  </si>
  <si>
    <t>Vincom Ha Long</t>
  </si>
  <si>
    <t>Ha Long</t>
  </si>
  <si>
    <t>Bach Dang ward, Ha Long</t>
  </si>
  <si>
    <t>L1-07</t>
  </si>
  <si>
    <t>Bach Dang ward, Ha Long;L1-07;20000</t>
  </si>
  <si>
    <t>ZA0001</t>
  </si>
  <si>
    <t>Victoria &amp; Alfred Waterfront</t>
  </si>
  <si>
    <t>Cape Town</t>
  </si>
  <si>
    <t>South Africa</t>
  </si>
  <si>
    <t>ZA</t>
  </si>
  <si>
    <t>19 Dock Road</t>
  </si>
  <si>
    <t>Ground Floor, Shop Number KWH5  (H&amp;M)</t>
  </si>
  <si>
    <t>Western Cape</t>
  </si>
  <si>
    <t>19 Dock Road;Ground Floor, Shop Number KWH5  (H&amp;M);8001;Cape Town;Western Cape</t>
  </si>
  <si>
    <t>ZA0002</t>
  </si>
  <si>
    <t>Sandton City</t>
  </si>
  <si>
    <t>Johannesburg</t>
  </si>
  <si>
    <t>Sandton City Shop 103</t>
  </si>
  <si>
    <t>Cnr. Rivionia Rd &amp; 5th Street,Johannesburg</t>
  </si>
  <si>
    <t>Sandton City Shop 103;Cnr. Rivionia Rd &amp; 5th Street,Johannesburg;2196;Sandton</t>
  </si>
  <si>
    <t>ZA0003</t>
  </si>
  <si>
    <t>Mall of Africa</t>
  </si>
  <si>
    <t>Shop 1135/2132</t>
  </si>
  <si>
    <t>Magwa Crescent,Johannesburg</t>
  </si>
  <si>
    <t>Shop 1135/2132;Magwa Crescent,Johannesburg;1682;Waterfall City</t>
  </si>
  <si>
    <t>ZA0004</t>
  </si>
  <si>
    <t>Mall of the South</t>
  </si>
  <si>
    <t>Cnr Kliprivier Dr and Swartkoppies Rd</t>
  </si>
  <si>
    <t>Cnr Kliprivier Dr and Swartkoppies Rd;Johannesburg;2059;Aspen Hills, Johannesburg</t>
  </si>
  <si>
    <t>ZA0005</t>
  </si>
  <si>
    <t>Clearwater Mall</t>
  </si>
  <si>
    <t>Cnr Christiaan De Wet &amp; Hendrik Potgieter Rds</t>
  </si>
  <si>
    <t>Cnr Christiaan De Wet &amp; Hendrik Potgieter Rds;Johannesburg;1715;Strubens Valley, Roodepoort</t>
  </si>
  <si>
    <t>ZA0006</t>
  </si>
  <si>
    <t>The Pavilion</t>
  </si>
  <si>
    <t>Durban</t>
  </si>
  <si>
    <t>Jack Martens Drive</t>
  </si>
  <si>
    <t>Westville</t>
  </si>
  <si>
    <t>Kwazulu-Natal</t>
  </si>
  <si>
    <t>Jack Martens Drive;Westville;3611;Durban;Kwazulu-Natal</t>
  </si>
  <si>
    <t>ZA0007</t>
  </si>
  <si>
    <t>Somerset Mall</t>
  </si>
  <si>
    <t>Shop 205-207,Centenary Drive</t>
  </si>
  <si>
    <t>Somerset West</t>
  </si>
  <si>
    <t>Shop 205-207,Centenary Drive;Somerset West;7130;Somerset West, Cape Town;Western Cape</t>
  </si>
  <si>
    <t>ZA0008</t>
  </si>
  <si>
    <t>Menlyn Park</t>
  </si>
  <si>
    <t>Pretoria</t>
  </si>
  <si>
    <t>Shop G97 ;Cnr. Atterbury Rd &amp; Lois Ave</t>
  </si>
  <si>
    <t>Menlyn park,Pretoria</t>
  </si>
  <si>
    <t>Shop G97 ;Cnr. Atterbury Rd &amp; Lois Ave;Menlyn park,Pretoria;0063;Pretoria</t>
  </si>
  <si>
    <t>ZA0009</t>
  </si>
  <si>
    <t>43 Cnr Bradford &amp; Nicol Roads</t>
  </si>
  <si>
    <t>Eastgate, Bedfordview</t>
  </si>
  <si>
    <t>43 Cnr Bradford &amp; Nicol Roads;Eastgate, Bedfordview;2103;Bedford View</t>
  </si>
  <si>
    <t>ZA0010</t>
  </si>
  <si>
    <t>Fourways Mall</t>
  </si>
  <si>
    <t>Corner William Nicole Drive and Witkoppen Road, Fourways</t>
  </si>
  <si>
    <t>Corner William Nicole Drive and Witkoppen Road, Fourways;;2055;Johannesburg</t>
  </si>
  <si>
    <t>ZA0011</t>
  </si>
  <si>
    <t>Table Bay Mall</t>
  </si>
  <si>
    <t>Corner Berkshire &amp; R27</t>
  </si>
  <si>
    <t>Blouberg</t>
  </si>
  <si>
    <t>Corner Berkshire &amp; R27;Blouberg;7441;Blouberg, Cape Town;Western Cape</t>
  </si>
  <si>
    <t>ZA0013</t>
  </si>
  <si>
    <t>East Rand Mall</t>
  </si>
  <si>
    <t>09:00-19:15</t>
  </si>
  <si>
    <t>09:00-17:15</t>
  </si>
  <si>
    <t>Shop 48,Bentel Ave</t>
  </si>
  <si>
    <t>Boksburg North, Johannesburg</t>
  </si>
  <si>
    <t>Shop 48,Bentel Ave;Boksburg North, Johannesburg;1459;East Rand</t>
  </si>
  <si>
    <t>ZA0014</t>
  </si>
  <si>
    <t>Ilanga Mall</t>
  </si>
  <si>
    <t>Nelspruit</t>
  </si>
  <si>
    <t>09:00-15:30</t>
  </si>
  <si>
    <t>Shop:UG 6/7/8</t>
  </si>
  <si>
    <t>Corner of Bitterbessie and Flamboyant Street</t>
  </si>
  <si>
    <t>Mpumalanga</t>
  </si>
  <si>
    <t>Shop:UG 6/7/8;Corner of Bitterbessie and Flamboyant Street;1200;Nelspruit;Mpumalanga</t>
  </si>
  <si>
    <t>ZA0015</t>
  </si>
  <si>
    <t>Gateway Theatre of Shopping</t>
  </si>
  <si>
    <t>11 Twilight Dr</t>
  </si>
  <si>
    <t>Umhlanga, Durban</t>
  </si>
  <si>
    <t>11 Twilight Dr;Umhlanga, Durban;4319;Durban;Kwazulu-Natal</t>
  </si>
  <si>
    <t>ZA0017</t>
  </si>
  <si>
    <t>Mall of the North</t>
  </si>
  <si>
    <t>Polokwane</t>
  </si>
  <si>
    <t>Shop U59</t>
  </si>
  <si>
    <t>Cnr of R81 &amp; N1, Polokwane</t>
  </si>
  <si>
    <t>Limpopo</t>
  </si>
  <si>
    <t>Shop U59;Cnr of R81 &amp; N1, Polokwane;0699;Polokwane;Limpopo</t>
  </si>
  <si>
    <t>ZA0018</t>
  </si>
  <si>
    <t>Highveld Mall</t>
  </si>
  <si>
    <t>Witbank</t>
  </si>
  <si>
    <t>Shop 94</t>
  </si>
  <si>
    <t>N4 &amp; Mandela Dr</t>
  </si>
  <si>
    <t>Shop 94;N4 &amp; Mandela Dr;1035;Emalahleni;Mpumalanga</t>
  </si>
  <si>
    <t>ZA0019</t>
  </si>
  <si>
    <t>Walmer park</t>
  </si>
  <si>
    <t>Port Elizabeth</t>
  </si>
  <si>
    <t>Main Road, Walmer, Port Elizabeth</t>
  </si>
  <si>
    <t>Eastern Cape</t>
  </si>
  <si>
    <t>Main Road, Walmer, Port Elizabeth;;6070;Main Road, Walmer, Port Elizabeth;Eastern Cape</t>
  </si>
  <si>
    <t>ZA0020</t>
  </si>
  <si>
    <t>Cavendish Square</t>
  </si>
  <si>
    <t>Dreyer Str,Claremont,Cape Town</t>
  </si>
  <si>
    <t>Dreyer Str,Claremont,Cape Town;;7708;Dreyer Str,Claremont,Cape Town;Western Cape</t>
  </si>
  <si>
    <t>ZA0023</t>
  </si>
  <si>
    <t>Rosebank Mall</t>
  </si>
  <si>
    <t>50 Bath Avenue</t>
  </si>
  <si>
    <t>Rosebank</t>
  </si>
  <si>
    <t>50 Bath Avenue;Rosebank;2194;Johannesburg</t>
  </si>
  <si>
    <t>ZA0024</t>
  </si>
  <si>
    <t>Boardwalk Mall</t>
  </si>
  <si>
    <t>Richards Bay</t>
  </si>
  <si>
    <t>Shop L17, Central</t>
  </si>
  <si>
    <t>Cnr Krugerrand &amp; Mark Strauss Rds,Richards Bay</t>
  </si>
  <si>
    <t>Shop L17, Central;Cnr Krugerrand &amp; Mark Strauss Rds,Richards Bay;3900;Durban;Kwazulu-Natal</t>
  </si>
  <si>
    <t>ZA0025</t>
  </si>
  <si>
    <t>Centurion Mall</t>
  </si>
  <si>
    <t>Heuvel Avenue</t>
  </si>
  <si>
    <t>Centurion</t>
  </si>
  <si>
    <t>Heuvel Avenue;Centurion;0157;Centurion</t>
  </si>
  <si>
    <t>ZA0027</t>
  </si>
  <si>
    <t>Vincent Park</t>
  </si>
  <si>
    <t>East London</t>
  </si>
  <si>
    <t>28 Devereux Avenue</t>
  </si>
  <si>
    <t>Vincent Park, East London</t>
  </si>
  <si>
    <t>28 Devereux Avenue;Vincent Park, East London;5200;Eastern Cape</t>
  </si>
  <si>
    <t>ZA0028</t>
  </si>
  <si>
    <t>Canal Walk Shopping Centre</t>
  </si>
  <si>
    <t>Shop 205</t>
  </si>
  <si>
    <t>Century Boulevard, Century City, Cape Town</t>
  </si>
  <si>
    <t>Shop 205;Century Boulevard, Century City, Cape Town;7446;Western Cape</t>
  </si>
  <si>
    <t>ZA0029</t>
  </si>
  <si>
    <t>Loch Logan Waterfront</t>
  </si>
  <si>
    <t>Bloemfontein</t>
  </si>
  <si>
    <t>Cnr henry Street and First Avenue</t>
  </si>
  <si>
    <t>Westdene</t>
  </si>
  <si>
    <t>Free State</t>
  </si>
  <si>
    <t>Cnr henry Street and First Avenue;Westdene;9305;Bloemfontien;Free State</t>
  </si>
  <si>
    <t>ZA0030</t>
  </si>
  <si>
    <t>Cresta Shopping Centre</t>
  </si>
  <si>
    <t>Cnr Beyers Naude Drive and Weltevreden Road</t>
  </si>
  <si>
    <t>Cresta Ext4, Randburg</t>
  </si>
  <si>
    <t>Cnr Beyers Naude Drive and Weltevreden Road;Cresta Ext4, Randburg;2195;PO Box 1, Cresta, 2118</t>
  </si>
  <si>
    <t>ZA0032</t>
  </si>
  <si>
    <t>Eikestad Mall</t>
  </si>
  <si>
    <t>43 Andringa St</t>
  </si>
  <si>
    <t>43 Andringa St;;7600;Stellenbosch Central;Western Cape</t>
  </si>
  <si>
    <t>ZA0040</t>
  </si>
  <si>
    <t>Shop no: OOB-1, 120 Ontdekkers Road</t>
  </si>
  <si>
    <t>Roodepoort</t>
  </si>
  <si>
    <t>Gauteng</t>
  </si>
  <si>
    <t>Shop no: OOB-1, 120 Ontdekkers Road;Roodepoort;1725;Gauteng</t>
  </si>
  <si>
    <t>Store Class</t>
  </si>
  <si>
    <t>Name</t>
  </si>
  <si>
    <t>City</t>
  </si>
  <si>
    <t>Country</t>
  </si>
  <si>
    <t>State</t>
  </si>
  <si>
    <t>Street Name2</t>
  </si>
  <si>
    <t>Street Name1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</si>
</sst>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93"/>
  <sheetViews>
    <sheetView workbookViewId="0">
      <selection activeCell="D15" sqref="D15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22</v>
      </c>
      <c r="C2" t="s">
        <v>23</v>
      </c>
      <c r="D2">
        <f>971-42316646</f>
        <v>-42315675</v>
      </c>
      <c r="E2" t="s">
        <v>24</v>
      </c>
      <c r="F2" t="s">
        <v>25</v>
      </c>
      <c r="G2" t="s">
        <v>26</v>
      </c>
      <c r="H2">
        <v>55.424840000000003</v>
      </c>
      <c r="I2">
        <v>25.226279999999999</v>
      </c>
      <c r="J2">
        <v>165</v>
      </c>
      <c r="K2" t="s">
        <v>27</v>
      </c>
      <c r="L2" t="s">
        <v>27</v>
      </c>
      <c r="M2" t="s">
        <v>27</v>
      </c>
      <c r="N2" t="s">
        <v>28</v>
      </c>
      <c r="O2" t="s">
        <v>28</v>
      </c>
      <c r="P2" t="s">
        <v>28</v>
      </c>
      <c r="Q2" t="s">
        <v>27</v>
      </c>
      <c r="R2" t="s">
        <v>23</v>
      </c>
      <c r="S2" t="s">
        <v>29</v>
      </c>
      <c r="T2" t="s">
        <v>24</v>
      </c>
      <c r="U2" t="s">
        <v>30</v>
      </c>
    </row>
    <row r="3" spans="1:21" x14ac:dyDescent="0.25">
      <c r="A3" t="s">
        <v>31</v>
      </c>
      <c r="B3" t="s">
        <v>32</v>
      </c>
      <c r="C3" t="s">
        <v>33</v>
      </c>
      <c r="D3">
        <f>971-44190346</f>
        <v>-44189375</v>
      </c>
      <c r="E3" t="s">
        <v>24</v>
      </c>
      <c r="F3" t="s">
        <v>25</v>
      </c>
      <c r="G3" t="s">
        <v>26</v>
      </c>
      <c r="H3">
        <v>55.278446000000002</v>
      </c>
      <c r="I3">
        <v>25.197506000000001</v>
      </c>
      <c r="J3">
        <v>165</v>
      </c>
      <c r="K3" t="s">
        <v>34</v>
      </c>
      <c r="L3" t="s">
        <v>34</v>
      </c>
      <c r="M3" t="s">
        <v>34</v>
      </c>
      <c r="N3" t="s">
        <v>28</v>
      </c>
      <c r="O3" t="s">
        <v>28</v>
      </c>
      <c r="P3" t="s">
        <v>34</v>
      </c>
      <c r="Q3" t="s">
        <v>34</v>
      </c>
      <c r="R3" t="s">
        <v>33</v>
      </c>
      <c r="S3" t="s">
        <v>35</v>
      </c>
      <c r="T3" t="s">
        <v>24</v>
      </c>
      <c r="U3" t="s">
        <v>36</v>
      </c>
    </row>
    <row r="4" spans="1:21" x14ac:dyDescent="0.25">
      <c r="A4" t="s">
        <v>37</v>
      </c>
      <c r="B4" t="s">
        <v>38</v>
      </c>
      <c r="C4" t="s">
        <v>39</v>
      </c>
      <c r="D4">
        <f>971-26120870</f>
        <v>-26119899</v>
      </c>
      <c r="E4" t="s">
        <v>40</v>
      </c>
      <c r="F4" t="s">
        <v>25</v>
      </c>
      <c r="G4" t="s">
        <v>26</v>
      </c>
      <c r="H4">
        <v>54.357461999999998</v>
      </c>
      <c r="I4">
        <v>24.487245000000001</v>
      </c>
      <c r="J4">
        <v>165</v>
      </c>
      <c r="K4" t="s">
        <v>27</v>
      </c>
      <c r="L4" t="s">
        <v>27</v>
      </c>
      <c r="M4" t="s">
        <v>27</v>
      </c>
      <c r="N4" t="s">
        <v>34</v>
      </c>
      <c r="O4" t="s">
        <v>34</v>
      </c>
      <c r="P4" t="s">
        <v>27</v>
      </c>
      <c r="Q4" t="s">
        <v>27</v>
      </c>
      <c r="R4" t="s">
        <v>39</v>
      </c>
      <c r="S4" t="s">
        <v>41</v>
      </c>
      <c r="T4" t="s">
        <v>40</v>
      </c>
      <c r="U4" t="s">
        <v>42</v>
      </c>
    </row>
    <row r="5" spans="1:21" x14ac:dyDescent="0.25">
      <c r="A5" t="s">
        <v>43</v>
      </c>
      <c r="B5" t="s">
        <v>38</v>
      </c>
      <c r="C5" t="s">
        <v>44</v>
      </c>
      <c r="D5">
        <f>971-26120851</f>
        <v>-26119880</v>
      </c>
      <c r="E5" t="s">
        <v>40</v>
      </c>
      <c r="F5" t="s">
        <v>25</v>
      </c>
      <c r="G5" t="s">
        <v>26</v>
      </c>
      <c r="H5">
        <v>54.671498999999997</v>
      </c>
      <c r="I5">
        <v>24.523875</v>
      </c>
      <c r="J5">
        <v>165</v>
      </c>
      <c r="K5" t="s">
        <v>27</v>
      </c>
      <c r="L5" t="s">
        <v>27</v>
      </c>
      <c r="M5" t="s">
        <v>27</v>
      </c>
      <c r="N5" t="s">
        <v>28</v>
      </c>
      <c r="O5" t="s">
        <v>28</v>
      </c>
      <c r="P5" t="s">
        <v>45</v>
      </c>
      <c r="Q5" t="s">
        <v>27</v>
      </c>
      <c r="R5" t="s">
        <v>44</v>
      </c>
      <c r="S5" t="s">
        <v>46</v>
      </c>
      <c r="T5" t="s">
        <v>40</v>
      </c>
      <c r="U5" t="s">
        <v>47</v>
      </c>
    </row>
    <row r="6" spans="1:21" x14ac:dyDescent="0.25">
      <c r="A6" t="s">
        <v>48</v>
      </c>
      <c r="B6" t="s">
        <v>32</v>
      </c>
      <c r="C6" t="s">
        <v>49</v>
      </c>
      <c r="D6">
        <f>971-24926530</f>
        <v>-24925559</v>
      </c>
      <c r="E6" t="s">
        <v>40</v>
      </c>
      <c r="F6" t="s">
        <v>25</v>
      </c>
      <c r="G6" t="s">
        <v>26</v>
      </c>
      <c r="H6">
        <v>54.609720000000003</v>
      </c>
      <c r="I6">
        <v>24.488683999999999</v>
      </c>
      <c r="J6">
        <v>165</v>
      </c>
      <c r="K6" t="s">
        <v>27</v>
      </c>
      <c r="L6" t="s">
        <v>27</v>
      </c>
      <c r="M6" t="s">
        <v>27</v>
      </c>
      <c r="N6" t="s">
        <v>28</v>
      </c>
      <c r="O6" t="s">
        <v>28</v>
      </c>
      <c r="P6" t="s">
        <v>27</v>
      </c>
      <c r="Q6" t="s">
        <v>27</v>
      </c>
      <c r="R6" t="s">
        <v>49</v>
      </c>
      <c r="T6" t="s">
        <v>40</v>
      </c>
      <c r="U6" t="s">
        <v>50</v>
      </c>
    </row>
    <row r="7" spans="1:21" x14ac:dyDescent="0.25">
      <c r="A7" t="s">
        <v>51</v>
      </c>
      <c r="B7" t="s">
        <v>22</v>
      </c>
      <c r="C7" t="s">
        <v>52</v>
      </c>
      <c r="D7">
        <f>971-44190590</f>
        <v>-44189619</v>
      </c>
      <c r="E7" t="s">
        <v>24</v>
      </c>
      <c r="F7" t="s">
        <v>25</v>
      </c>
      <c r="G7" t="s">
        <v>26</v>
      </c>
      <c r="H7">
        <v>55.140563999999998</v>
      </c>
      <c r="I7">
        <v>25.077058000000001</v>
      </c>
      <c r="J7">
        <v>165</v>
      </c>
      <c r="K7" t="s">
        <v>27</v>
      </c>
      <c r="L7" t="s">
        <v>27</v>
      </c>
      <c r="M7" t="s">
        <v>27</v>
      </c>
      <c r="N7" t="s">
        <v>28</v>
      </c>
      <c r="O7" t="s">
        <v>28</v>
      </c>
      <c r="P7" t="s">
        <v>27</v>
      </c>
      <c r="Q7" t="s">
        <v>27</v>
      </c>
      <c r="R7" t="s">
        <v>52</v>
      </c>
      <c r="S7" t="s">
        <v>53</v>
      </c>
      <c r="T7" t="s">
        <v>24</v>
      </c>
      <c r="U7" t="s">
        <v>54</v>
      </c>
    </row>
    <row r="8" spans="1:21" x14ac:dyDescent="0.25">
      <c r="A8" t="s">
        <v>55</v>
      </c>
      <c r="B8" t="s">
        <v>38</v>
      </c>
      <c r="C8" t="s">
        <v>56</v>
      </c>
      <c r="D8">
        <f>971-92029601</f>
        <v>-92028630</v>
      </c>
      <c r="E8" t="s">
        <v>57</v>
      </c>
      <c r="F8" t="s">
        <v>25</v>
      </c>
      <c r="G8" t="s">
        <v>26</v>
      </c>
      <c r="H8">
        <v>56.301462000000001</v>
      </c>
      <c r="I8">
        <v>25.125554999999999</v>
      </c>
      <c r="J8">
        <v>165</v>
      </c>
      <c r="K8" t="s">
        <v>34</v>
      </c>
      <c r="L8" t="s">
        <v>34</v>
      </c>
      <c r="M8" t="s">
        <v>34</v>
      </c>
      <c r="N8" t="s">
        <v>28</v>
      </c>
      <c r="O8" t="s">
        <v>28</v>
      </c>
      <c r="P8" t="s">
        <v>34</v>
      </c>
      <c r="Q8" t="s">
        <v>34</v>
      </c>
      <c r="R8" t="s">
        <v>56</v>
      </c>
      <c r="S8" t="s">
        <v>58</v>
      </c>
      <c r="T8" t="s">
        <v>57</v>
      </c>
      <c r="U8" t="s">
        <v>59</v>
      </c>
    </row>
    <row r="9" spans="1:21" x14ac:dyDescent="0.25">
      <c r="A9" t="s">
        <v>60</v>
      </c>
      <c r="B9" t="s">
        <v>22</v>
      </c>
      <c r="C9" t="s">
        <v>61</v>
      </c>
      <c r="D9">
        <f>971-26958180</f>
        <v>-26957209</v>
      </c>
      <c r="E9" t="s">
        <v>40</v>
      </c>
      <c r="F9" t="s">
        <v>25</v>
      </c>
      <c r="G9" t="s">
        <v>26</v>
      </c>
      <c r="H9">
        <v>54.373244999999997</v>
      </c>
      <c r="I9">
        <v>24.469615999999998</v>
      </c>
      <c r="J9">
        <v>165</v>
      </c>
      <c r="K9" t="s">
        <v>27</v>
      </c>
      <c r="L9" t="s">
        <v>27</v>
      </c>
      <c r="M9" t="s">
        <v>27</v>
      </c>
      <c r="N9" t="s">
        <v>34</v>
      </c>
      <c r="O9" t="s">
        <v>34</v>
      </c>
      <c r="P9" t="s">
        <v>27</v>
      </c>
      <c r="Q9" t="s">
        <v>27</v>
      </c>
      <c r="R9" t="s">
        <v>61</v>
      </c>
      <c r="S9" t="s">
        <v>62</v>
      </c>
      <c r="T9" t="s">
        <v>40</v>
      </c>
      <c r="U9" t="s">
        <v>63</v>
      </c>
    </row>
    <row r="10" spans="1:21" x14ac:dyDescent="0.25">
      <c r="A10" t="s">
        <v>64</v>
      </c>
      <c r="B10" t="s">
        <v>22</v>
      </c>
      <c r="C10" t="s">
        <v>65</v>
      </c>
      <c r="D10">
        <f>971-72264925</f>
        <v>-72263954</v>
      </c>
      <c r="E10" t="s">
        <v>66</v>
      </c>
      <c r="F10" t="s">
        <v>25</v>
      </c>
      <c r="G10" t="s">
        <v>26</v>
      </c>
      <c r="H10">
        <v>55.966096</v>
      </c>
      <c r="I10">
        <v>25.784772</v>
      </c>
      <c r="J10">
        <v>165</v>
      </c>
      <c r="K10" t="s">
        <v>27</v>
      </c>
      <c r="L10" t="s">
        <v>27</v>
      </c>
      <c r="M10" t="s">
        <v>27</v>
      </c>
      <c r="N10" t="s">
        <v>28</v>
      </c>
      <c r="O10" t="s">
        <v>28</v>
      </c>
      <c r="P10" t="s">
        <v>27</v>
      </c>
      <c r="Q10" t="s">
        <v>27</v>
      </c>
      <c r="R10" t="s">
        <v>65</v>
      </c>
      <c r="T10" t="s">
        <v>66</v>
      </c>
      <c r="U10" t="s">
        <v>67</v>
      </c>
    </row>
    <row r="11" spans="1:21" x14ac:dyDescent="0.25">
      <c r="A11" t="s">
        <v>68</v>
      </c>
      <c r="B11" t="s">
        <v>32</v>
      </c>
      <c r="C11" t="s">
        <v>69</v>
      </c>
      <c r="D11">
        <f>971-43415440</f>
        <v>-43414469</v>
      </c>
      <c r="E11" t="s">
        <v>24</v>
      </c>
      <c r="F11" t="s">
        <v>25</v>
      </c>
      <c r="G11" t="s">
        <v>26</v>
      </c>
      <c r="H11">
        <v>55.199506999999997</v>
      </c>
      <c r="I11">
        <v>25.119016999999999</v>
      </c>
      <c r="J11">
        <v>165</v>
      </c>
      <c r="K11" t="s">
        <v>27</v>
      </c>
      <c r="L11" t="s">
        <v>27</v>
      </c>
      <c r="M11" t="s">
        <v>27</v>
      </c>
      <c r="N11" t="s">
        <v>28</v>
      </c>
      <c r="O11" t="s">
        <v>28</v>
      </c>
      <c r="P11" t="s">
        <v>28</v>
      </c>
      <c r="Q11" t="s">
        <v>27</v>
      </c>
      <c r="R11" t="s">
        <v>69</v>
      </c>
      <c r="T11" t="s">
        <v>24</v>
      </c>
      <c r="U11" t="s">
        <v>70</v>
      </c>
    </row>
    <row r="12" spans="1:21" x14ac:dyDescent="0.25">
      <c r="A12" t="s">
        <v>71</v>
      </c>
      <c r="B12" t="s">
        <v>22</v>
      </c>
      <c r="C12" t="s">
        <v>72</v>
      </c>
      <c r="D12">
        <f>971-26120630</f>
        <v>-26119659</v>
      </c>
      <c r="E12" t="s">
        <v>40</v>
      </c>
      <c r="F12" t="s">
        <v>25</v>
      </c>
      <c r="G12" t="s">
        <v>26</v>
      </c>
      <c r="H12">
        <v>54.523318000000003</v>
      </c>
      <c r="I12">
        <v>24.334188999999999</v>
      </c>
      <c r="J12">
        <v>165</v>
      </c>
      <c r="K12" t="s">
        <v>27</v>
      </c>
      <c r="L12" t="s">
        <v>27</v>
      </c>
      <c r="M12" t="s">
        <v>27</v>
      </c>
      <c r="N12" t="s">
        <v>28</v>
      </c>
      <c r="O12" t="s">
        <v>28</v>
      </c>
      <c r="P12" t="s">
        <v>27</v>
      </c>
      <c r="Q12" t="s">
        <v>27</v>
      </c>
      <c r="R12" t="s">
        <v>72</v>
      </c>
      <c r="S12" t="s">
        <v>73</v>
      </c>
      <c r="T12" t="s">
        <v>24</v>
      </c>
      <c r="U12" t="s">
        <v>74</v>
      </c>
    </row>
    <row r="13" spans="1:21" x14ac:dyDescent="0.25">
      <c r="A13" t="s">
        <v>75</v>
      </c>
      <c r="B13" t="s">
        <v>38</v>
      </c>
      <c r="C13" t="s">
        <v>76</v>
      </c>
      <c r="D13">
        <f>971-44190605</f>
        <v>-44189634</v>
      </c>
      <c r="E13" t="s">
        <v>24</v>
      </c>
      <c r="F13" t="s">
        <v>25</v>
      </c>
      <c r="G13" t="s">
        <v>26</v>
      </c>
      <c r="H13">
        <v>55.436211</v>
      </c>
      <c r="I13">
        <v>25.235277</v>
      </c>
      <c r="J13">
        <v>165</v>
      </c>
      <c r="K13" t="s">
        <v>77</v>
      </c>
      <c r="L13" t="s">
        <v>77</v>
      </c>
      <c r="M13" t="s">
        <v>77</v>
      </c>
      <c r="N13" t="s">
        <v>28</v>
      </c>
      <c r="O13" t="s">
        <v>28</v>
      </c>
      <c r="P13" t="s">
        <v>27</v>
      </c>
      <c r="Q13" t="s">
        <v>27</v>
      </c>
      <c r="R13" t="s">
        <v>76</v>
      </c>
      <c r="S13" t="s">
        <v>78</v>
      </c>
      <c r="T13" t="s">
        <v>24</v>
      </c>
      <c r="U13" t="s">
        <v>79</v>
      </c>
    </row>
    <row r="14" spans="1:21" x14ac:dyDescent="0.25">
      <c r="A14" t="s">
        <v>80</v>
      </c>
      <c r="B14" t="s">
        <v>22</v>
      </c>
      <c r="C14" t="s">
        <v>81</v>
      </c>
      <c r="D14">
        <f>971-26958101</f>
        <v>-26957130</v>
      </c>
      <c r="E14" t="s">
        <v>40</v>
      </c>
      <c r="F14" t="s">
        <v>25</v>
      </c>
      <c r="G14" t="s">
        <v>26</v>
      </c>
      <c r="H14">
        <v>54.382660999999999</v>
      </c>
      <c r="I14">
        <v>24.496689</v>
      </c>
      <c r="J14">
        <v>165</v>
      </c>
      <c r="K14" t="s">
        <v>27</v>
      </c>
      <c r="L14" t="s">
        <v>27</v>
      </c>
      <c r="M14" t="s">
        <v>27</v>
      </c>
      <c r="N14" t="s">
        <v>34</v>
      </c>
      <c r="O14" t="s">
        <v>34</v>
      </c>
      <c r="P14" t="s">
        <v>27</v>
      </c>
      <c r="Q14" t="s">
        <v>27</v>
      </c>
      <c r="R14" t="s">
        <v>81</v>
      </c>
      <c r="S14" t="s">
        <v>82</v>
      </c>
      <c r="T14" t="s">
        <v>40</v>
      </c>
      <c r="U14" t="s">
        <v>83</v>
      </c>
    </row>
    <row r="15" spans="1:21" x14ac:dyDescent="0.25">
      <c r="A15" t="s">
        <v>84</v>
      </c>
      <c r="B15" t="s">
        <v>38</v>
      </c>
      <c r="C15" t="s">
        <v>85</v>
      </c>
      <c r="D15">
        <f>971-65300170</f>
        <v>-65299199</v>
      </c>
      <c r="E15" t="s">
        <v>86</v>
      </c>
      <c r="F15" t="s">
        <v>25</v>
      </c>
      <c r="G15" t="s">
        <v>26</v>
      </c>
      <c r="H15">
        <v>55.372365000000002</v>
      </c>
      <c r="I15">
        <v>25.297654000000001</v>
      </c>
      <c r="J15">
        <v>165</v>
      </c>
      <c r="K15" t="s">
        <v>34</v>
      </c>
      <c r="L15" t="s">
        <v>34</v>
      </c>
      <c r="M15" t="s">
        <v>34</v>
      </c>
      <c r="N15" t="s">
        <v>28</v>
      </c>
      <c r="O15" t="s">
        <v>87</v>
      </c>
      <c r="P15" t="s">
        <v>28</v>
      </c>
      <c r="Q15" t="s">
        <v>34</v>
      </c>
      <c r="R15" t="s">
        <v>85</v>
      </c>
      <c r="S15" t="s">
        <v>88</v>
      </c>
      <c r="T15" t="s">
        <v>86</v>
      </c>
      <c r="U15" t="s">
        <v>89</v>
      </c>
    </row>
    <row r="16" spans="1:21" x14ac:dyDescent="0.25">
      <c r="A16" t="s">
        <v>90</v>
      </c>
      <c r="B16" t="s">
        <v>22</v>
      </c>
      <c r="C16" t="s">
        <v>91</v>
      </c>
      <c r="D16">
        <f>971-42502044</f>
        <v>-42501073</v>
      </c>
      <c r="E16" t="s">
        <v>24</v>
      </c>
      <c r="F16" t="s">
        <v>25</v>
      </c>
      <c r="G16" t="s">
        <v>26</v>
      </c>
      <c r="H16">
        <v>55.332534313201897</v>
      </c>
      <c r="I16">
        <v>25.251740977818599</v>
      </c>
      <c r="J16">
        <v>165</v>
      </c>
      <c r="K16" t="s">
        <v>27</v>
      </c>
      <c r="L16" t="s">
        <v>27</v>
      </c>
      <c r="M16" t="s">
        <v>27</v>
      </c>
      <c r="N16" t="s">
        <v>92</v>
      </c>
      <c r="O16" t="s">
        <v>92</v>
      </c>
      <c r="P16" t="s">
        <v>92</v>
      </c>
      <c r="Q16" t="s">
        <v>27</v>
      </c>
      <c r="R16" t="s">
        <v>91</v>
      </c>
      <c r="S16" t="s">
        <v>93</v>
      </c>
      <c r="T16" t="s">
        <v>24</v>
      </c>
      <c r="U16" t="s">
        <v>94</v>
      </c>
    </row>
    <row r="17" spans="1:21" x14ac:dyDescent="0.25">
      <c r="A17" t="s">
        <v>95</v>
      </c>
      <c r="B17" t="s">
        <v>22</v>
      </c>
      <c r="C17" t="s">
        <v>91</v>
      </c>
      <c r="D17">
        <f>971-4-2957244</f>
        <v>-2956277</v>
      </c>
      <c r="E17" t="s">
        <v>24</v>
      </c>
      <c r="F17" t="s">
        <v>25</v>
      </c>
      <c r="G17" t="s">
        <v>26</v>
      </c>
      <c r="H17">
        <v>55.330840999999999</v>
      </c>
      <c r="I17">
        <v>25.253477</v>
      </c>
      <c r="J17">
        <v>165</v>
      </c>
      <c r="K17" t="s">
        <v>27</v>
      </c>
      <c r="L17" t="s">
        <v>27</v>
      </c>
      <c r="M17" t="s">
        <v>27</v>
      </c>
      <c r="N17" t="s">
        <v>92</v>
      </c>
      <c r="O17" t="s">
        <v>92</v>
      </c>
      <c r="P17" t="s">
        <v>92</v>
      </c>
      <c r="Q17" t="s">
        <v>27</v>
      </c>
      <c r="R17" t="s">
        <v>91</v>
      </c>
      <c r="S17" t="s">
        <v>93</v>
      </c>
      <c r="T17" t="s">
        <v>24</v>
      </c>
      <c r="U17" t="s">
        <v>94</v>
      </c>
    </row>
    <row r="18" spans="1:21" x14ac:dyDescent="0.25">
      <c r="A18" t="s">
        <v>96</v>
      </c>
      <c r="B18" t="s">
        <v>38</v>
      </c>
      <c r="C18" t="s">
        <v>97</v>
      </c>
      <c r="D18">
        <f>971-44190792</f>
        <v>-44189821</v>
      </c>
      <c r="E18" t="s">
        <v>24</v>
      </c>
      <c r="F18" t="s">
        <v>25</v>
      </c>
      <c r="G18" t="s">
        <v>26</v>
      </c>
      <c r="H18">
        <v>55.197490999999999</v>
      </c>
      <c r="I18">
        <v>25.040417000000001</v>
      </c>
      <c r="J18">
        <v>165</v>
      </c>
      <c r="K18" t="s">
        <v>27</v>
      </c>
      <c r="L18" t="s">
        <v>27</v>
      </c>
      <c r="M18" t="s">
        <v>27</v>
      </c>
      <c r="N18" t="s">
        <v>92</v>
      </c>
      <c r="O18" t="s">
        <v>92</v>
      </c>
      <c r="P18" t="s">
        <v>92</v>
      </c>
      <c r="Q18" t="s">
        <v>27</v>
      </c>
      <c r="R18" t="s">
        <v>97</v>
      </c>
      <c r="T18" t="s">
        <v>24</v>
      </c>
      <c r="U18" t="s">
        <v>98</v>
      </c>
    </row>
    <row r="19" spans="1:21" x14ac:dyDescent="0.25">
      <c r="A19" t="s">
        <v>99</v>
      </c>
      <c r="B19" t="s">
        <v>38</v>
      </c>
      <c r="C19" t="s">
        <v>100</v>
      </c>
      <c r="D19">
        <f>971-37840041</f>
        <v>-37839070</v>
      </c>
      <c r="E19" t="s">
        <v>101</v>
      </c>
      <c r="F19" t="s">
        <v>25</v>
      </c>
      <c r="G19" t="s">
        <v>26</v>
      </c>
      <c r="H19">
        <v>55.806986999999999</v>
      </c>
      <c r="I19">
        <v>24.160585000000001</v>
      </c>
      <c r="J19">
        <v>165</v>
      </c>
      <c r="K19" t="s">
        <v>34</v>
      </c>
      <c r="L19" t="s">
        <v>34</v>
      </c>
      <c r="M19" t="s">
        <v>34</v>
      </c>
      <c r="N19" t="s">
        <v>28</v>
      </c>
      <c r="O19" t="s">
        <v>28</v>
      </c>
      <c r="P19" t="s">
        <v>34</v>
      </c>
      <c r="Q19" t="s">
        <v>34</v>
      </c>
      <c r="R19" t="s">
        <v>100</v>
      </c>
      <c r="S19" t="s">
        <v>102</v>
      </c>
      <c r="T19" t="s">
        <v>24</v>
      </c>
      <c r="U19" t="s">
        <v>103</v>
      </c>
    </row>
    <row r="20" spans="1:21" x14ac:dyDescent="0.25">
      <c r="A20" t="s">
        <v>104</v>
      </c>
      <c r="B20" t="s">
        <v>38</v>
      </c>
      <c r="C20" t="s">
        <v>105</v>
      </c>
      <c r="D20">
        <f>971-37849338</f>
        <v>-37848367</v>
      </c>
      <c r="E20" t="s">
        <v>101</v>
      </c>
      <c r="F20" t="s">
        <v>25</v>
      </c>
      <c r="G20" t="s">
        <v>26</v>
      </c>
      <c r="H20">
        <v>55.782066</v>
      </c>
      <c r="I20">
        <v>24.221492999999999</v>
      </c>
      <c r="J20">
        <v>165</v>
      </c>
      <c r="K20" t="s">
        <v>27</v>
      </c>
      <c r="L20" t="s">
        <v>27</v>
      </c>
      <c r="M20" t="s">
        <v>27</v>
      </c>
      <c r="N20" t="s">
        <v>28</v>
      </c>
      <c r="O20" t="s">
        <v>28</v>
      </c>
      <c r="P20" t="s">
        <v>27</v>
      </c>
      <c r="Q20" t="s">
        <v>27</v>
      </c>
      <c r="R20" t="s">
        <v>105</v>
      </c>
      <c r="S20" t="s">
        <v>106</v>
      </c>
      <c r="T20" t="s">
        <v>24</v>
      </c>
      <c r="U20" t="s">
        <v>107</v>
      </c>
    </row>
    <row r="21" spans="1:21" x14ac:dyDescent="0.25">
      <c r="A21" t="s">
        <v>108</v>
      </c>
      <c r="B21" t="s">
        <v>38</v>
      </c>
      <c r="C21" t="s">
        <v>109</v>
      </c>
      <c r="D21">
        <f>971-26958220</f>
        <v>-26957249</v>
      </c>
      <c r="E21" t="s">
        <v>40</v>
      </c>
      <c r="F21" t="s">
        <v>25</v>
      </c>
      <c r="G21" t="s">
        <v>26</v>
      </c>
      <c r="H21">
        <v>54.620179</v>
      </c>
      <c r="I21">
        <v>24.311992</v>
      </c>
      <c r="J21">
        <v>165</v>
      </c>
      <c r="K21" t="s">
        <v>27</v>
      </c>
      <c r="L21" t="s">
        <v>27</v>
      </c>
      <c r="M21" t="s">
        <v>27</v>
      </c>
      <c r="N21" t="s">
        <v>28</v>
      </c>
      <c r="O21" t="s">
        <v>28</v>
      </c>
      <c r="P21" t="s">
        <v>27</v>
      </c>
      <c r="Q21" t="s">
        <v>27</v>
      </c>
      <c r="R21" t="s">
        <v>109</v>
      </c>
      <c r="S21" t="s">
        <v>110</v>
      </c>
      <c r="T21" t="s">
        <v>40</v>
      </c>
      <c r="U21" t="s">
        <v>111</v>
      </c>
    </row>
    <row r="22" spans="1:21" x14ac:dyDescent="0.25">
      <c r="A22" t="s">
        <v>112</v>
      </c>
      <c r="B22" t="s">
        <v>22</v>
      </c>
      <c r="C22" t="s">
        <v>113</v>
      </c>
      <c r="D22">
        <f>971-26817871</f>
        <v>-26816900</v>
      </c>
      <c r="E22" t="s">
        <v>40</v>
      </c>
      <c r="F22" t="s">
        <v>25</v>
      </c>
      <c r="G22" t="s">
        <v>26</v>
      </c>
      <c r="H22">
        <v>54.321941000000002</v>
      </c>
      <c r="I22">
        <v>24.47588</v>
      </c>
      <c r="J22">
        <v>165</v>
      </c>
      <c r="K22" t="s">
        <v>27</v>
      </c>
      <c r="L22" t="s">
        <v>27</v>
      </c>
      <c r="M22" t="s">
        <v>27</v>
      </c>
      <c r="N22" t="s">
        <v>28</v>
      </c>
      <c r="O22" t="s">
        <v>28</v>
      </c>
      <c r="P22" t="s">
        <v>27</v>
      </c>
      <c r="Q22" t="s">
        <v>27</v>
      </c>
      <c r="R22" t="s">
        <v>113</v>
      </c>
      <c r="S22" t="s">
        <v>114</v>
      </c>
      <c r="T22" t="s">
        <v>40</v>
      </c>
      <c r="U22" t="s">
        <v>115</v>
      </c>
    </row>
    <row r="23" spans="1:21" x14ac:dyDescent="0.25">
      <c r="A23" t="s">
        <v>116</v>
      </c>
      <c r="B23" t="s">
        <v>22</v>
      </c>
      <c r="C23" t="s">
        <v>117</v>
      </c>
      <c r="D23">
        <f>971-42502044</f>
        <v>-42501073</v>
      </c>
      <c r="E23" t="s">
        <v>24</v>
      </c>
      <c r="F23" t="s">
        <v>25</v>
      </c>
      <c r="G23" t="s">
        <v>26</v>
      </c>
      <c r="H23">
        <v>55.332822999999998</v>
      </c>
      <c r="I23">
        <v>25.251460999999999</v>
      </c>
      <c r="J23">
        <v>165</v>
      </c>
      <c r="K23" t="s">
        <v>34</v>
      </c>
      <c r="L23" t="s">
        <v>34</v>
      </c>
      <c r="M23" t="s">
        <v>34</v>
      </c>
      <c r="N23" t="s">
        <v>28</v>
      </c>
      <c r="O23" t="s">
        <v>28</v>
      </c>
      <c r="P23" t="s">
        <v>28</v>
      </c>
      <c r="Q23" t="s">
        <v>34</v>
      </c>
      <c r="R23" t="s">
        <v>117</v>
      </c>
      <c r="S23" t="s">
        <v>118</v>
      </c>
      <c r="T23" t="s">
        <v>24</v>
      </c>
      <c r="U23" t="s">
        <v>119</v>
      </c>
    </row>
    <row r="24" spans="1:21" x14ac:dyDescent="0.25">
      <c r="A24" t="s">
        <v>120</v>
      </c>
      <c r="B24" t="s">
        <v>22</v>
      </c>
      <c r="C24" t="s">
        <v>121</v>
      </c>
      <c r="D24">
        <f>971-72437569</f>
        <v>-72436598</v>
      </c>
      <c r="E24" t="s">
        <v>66</v>
      </c>
      <c r="F24" t="s">
        <v>25</v>
      </c>
      <c r="G24" t="s">
        <v>26</v>
      </c>
      <c r="H24">
        <v>55.782265000000002</v>
      </c>
      <c r="I24">
        <v>25.683252</v>
      </c>
      <c r="J24">
        <v>165</v>
      </c>
      <c r="K24" t="s">
        <v>27</v>
      </c>
      <c r="L24" t="s">
        <v>27</v>
      </c>
      <c r="M24" t="s">
        <v>27</v>
      </c>
      <c r="N24" t="s">
        <v>28</v>
      </c>
      <c r="O24" t="s">
        <v>28</v>
      </c>
      <c r="P24" t="s">
        <v>27</v>
      </c>
      <c r="Q24" t="s">
        <v>27</v>
      </c>
      <c r="R24" t="s">
        <v>121</v>
      </c>
      <c r="S24" t="s">
        <v>122</v>
      </c>
      <c r="T24" t="s">
        <v>66</v>
      </c>
      <c r="U24" t="s">
        <v>123</v>
      </c>
    </row>
    <row r="25" spans="1:21" x14ac:dyDescent="0.25">
      <c r="A25" t="s">
        <v>124</v>
      </c>
      <c r="B25" t="s">
        <v>38</v>
      </c>
      <c r="C25" t="s">
        <v>125</v>
      </c>
      <c r="D25">
        <f>971-43153659</f>
        <v>-43152688</v>
      </c>
      <c r="E25" t="s">
        <v>24</v>
      </c>
      <c r="F25" t="s">
        <v>25</v>
      </c>
      <c r="G25" t="s">
        <v>26</v>
      </c>
      <c r="H25">
        <v>55.302211999999997</v>
      </c>
      <c r="I25">
        <v>25.253250000000001</v>
      </c>
      <c r="J25">
        <v>165</v>
      </c>
      <c r="K25" t="s">
        <v>27</v>
      </c>
      <c r="L25" t="s">
        <v>27</v>
      </c>
      <c r="M25" t="s">
        <v>27</v>
      </c>
      <c r="N25" t="s">
        <v>34</v>
      </c>
      <c r="O25" t="s">
        <v>34</v>
      </c>
      <c r="P25" t="s">
        <v>27</v>
      </c>
      <c r="Q25" t="s">
        <v>27</v>
      </c>
      <c r="R25" t="s">
        <v>125</v>
      </c>
      <c r="S25" t="s">
        <v>126</v>
      </c>
      <c r="U25" t="s">
        <v>127</v>
      </c>
    </row>
    <row r="26" spans="1:21" x14ac:dyDescent="0.25">
      <c r="A26" t="s">
        <v>128</v>
      </c>
      <c r="B26" t="s">
        <v>22</v>
      </c>
      <c r="C26" t="s">
        <v>129</v>
      </c>
      <c r="D26">
        <f>971-43153682</f>
        <v>-43152711</v>
      </c>
      <c r="E26" t="s">
        <v>24</v>
      </c>
      <c r="F26" t="s">
        <v>25</v>
      </c>
      <c r="G26" t="s">
        <v>26</v>
      </c>
      <c r="H26">
        <v>55.352916999999998</v>
      </c>
      <c r="I26">
        <v>25.221995</v>
      </c>
      <c r="J26">
        <v>165</v>
      </c>
      <c r="K26" t="s">
        <v>27</v>
      </c>
      <c r="L26" t="s">
        <v>27</v>
      </c>
      <c r="M26" t="s">
        <v>27</v>
      </c>
      <c r="N26" t="s">
        <v>28</v>
      </c>
      <c r="O26" t="s">
        <v>28</v>
      </c>
      <c r="P26" t="s">
        <v>28</v>
      </c>
      <c r="Q26" t="s">
        <v>27</v>
      </c>
      <c r="R26" t="s">
        <v>129</v>
      </c>
      <c r="T26" t="s">
        <v>24</v>
      </c>
      <c r="U26" t="s">
        <v>130</v>
      </c>
    </row>
    <row r="27" spans="1:21" x14ac:dyDescent="0.25">
      <c r="A27" t="s">
        <v>131</v>
      </c>
      <c r="B27" t="s">
        <v>22</v>
      </c>
      <c r="C27" t="s">
        <v>132</v>
      </c>
      <c r="D27">
        <f>971-65933592</f>
        <v>-65932621</v>
      </c>
      <c r="E27" t="s">
        <v>133</v>
      </c>
      <c r="F27" t="s">
        <v>25</v>
      </c>
      <c r="G27" t="s">
        <v>26</v>
      </c>
      <c r="H27">
        <v>55.478307000000001</v>
      </c>
      <c r="I27">
        <v>25.399934999999999</v>
      </c>
      <c r="J27">
        <v>165</v>
      </c>
      <c r="K27" t="s">
        <v>27</v>
      </c>
      <c r="L27" t="s">
        <v>27</v>
      </c>
      <c r="M27" t="s">
        <v>27</v>
      </c>
      <c r="N27" t="s">
        <v>28</v>
      </c>
      <c r="O27" t="s">
        <v>28</v>
      </c>
      <c r="P27" t="s">
        <v>28</v>
      </c>
      <c r="Q27" t="s">
        <v>27</v>
      </c>
      <c r="R27" t="s">
        <v>132</v>
      </c>
      <c r="T27" t="s">
        <v>40</v>
      </c>
      <c r="U27" t="s">
        <v>134</v>
      </c>
    </row>
    <row r="28" spans="1:21" x14ac:dyDescent="0.25">
      <c r="A28" t="s">
        <v>135</v>
      </c>
      <c r="B28" t="s">
        <v>22</v>
      </c>
      <c r="C28" t="s">
        <v>136</v>
      </c>
      <c r="D28">
        <f>971-37623859</f>
        <v>-37622888</v>
      </c>
      <c r="E28" t="s">
        <v>101</v>
      </c>
      <c r="F28" t="s">
        <v>25</v>
      </c>
      <c r="G28" t="s">
        <v>26</v>
      </c>
      <c r="H28">
        <v>55.726699634545803</v>
      </c>
      <c r="I28">
        <v>24.2433912494701</v>
      </c>
      <c r="J28">
        <v>165</v>
      </c>
      <c r="K28" t="s">
        <v>27</v>
      </c>
      <c r="L28" t="s">
        <v>27</v>
      </c>
      <c r="M28" t="s">
        <v>27</v>
      </c>
      <c r="N28" t="s">
        <v>34</v>
      </c>
      <c r="O28" t="s">
        <v>34</v>
      </c>
      <c r="P28" t="s">
        <v>27</v>
      </c>
      <c r="Q28" t="s">
        <v>27</v>
      </c>
      <c r="R28" t="s">
        <v>136</v>
      </c>
      <c r="S28" t="s">
        <v>137</v>
      </c>
      <c r="T28" t="s">
        <v>40</v>
      </c>
      <c r="U28" t="s">
        <v>138</v>
      </c>
    </row>
    <row r="29" spans="1:21" x14ac:dyDescent="0.25">
      <c r="A29" t="s">
        <v>139</v>
      </c>
      <c r="B29" t="s">
        <v>22</v>
      </c>
      <c r="C29" t="s">
        <v>140</v>
      </c>
      <c r="D29">
        <f>971-541475188</f>
        <v>-541474217</v>
      </c>
      <c r="E29" t="s">
        <v>24</v>
      </c>
      <c r="F29" t="s">
        <v>25</v>
      </c>
      <c r="G29" t="s">
        <v>26</v>
      </c>
      <c r="H29">
        <v>55.359881999999999</v>
      </c>
      <c r="I29">
        <v>25.245774000000001</v>
      </c>
      <c r="J29">
        <v>165</v>
      </c>
      <c r="K29" t="s">
        <v>141</v>
      </c>
      <c r="L29" t="s">
        <v>141</v>
      </c>
      <c r="M29" t="s">
        <v>141</v>
      </c>
      <c r="N29" t="s">
        <v>141</v>
      </c>
      <c r="O29" t="s">
        <v>141</v>
      </c>
      <c r="P29" t="s">
        <v>141</v>
      </c>
      <c r="Q29" t="s">
        <v>141</v>
      </c>
      <c r="R29" t="s">
        <v>140</v>
      </c>
      <c r="T29" t="s">
        <v>40</v>
      </c>
      <c r="U29" t="s">
        <v>142</v>
      </c>
    </row>
    <row r="30" spans="1:21" x14ac:dyDescent="0.25">
      <c r="A30" t="s">
        <v>143</v>
      </c>
      <c r="B30" t="s">
        <v>22</v>
      </c>
      <c r="C30" t="s">
        <v>144</v>
      </c>
      <c r="D30">
        <f>971-44190363</f>
        <v>-44189392</v>
      </c>
      <c r="E30" t="s">
        <v>24</v>
      </c>
      <c r="F30" t="s">
        <v>25</v>
      </c>
      <c r="G30" t="s">
        <v>26</v>
      </c>
      <c r="H30">
        <v>55.252986999999997</v>
      </c>
      <c r="I30">
        <v>25.216704</v>
      </c>
      <c r="J30">
        <v>165</v>
      </c>
      <c r="K30" t="s">
        <v>27</v>
      </c>
      <c r="L30" t="s">
        <v>27</v>
      </c>
      <c r="M30" t="s">
        <v>27</v>
      </c>
      <c r="N30" t="s">
        <v>27</v>
      </c>
      <c r="O30" t="s">
        <v>27</v>
      </c>
      <c r="P30" t="s">
        <v>27</v>
      </c>
      <c r="Q30" t="s">
        <v>27</v>
      </c>
      <c r="R30" t="s">
        <v>144</v>
      </c>
      <c r="T30" t="s">
        <v>24</v>
      </c>
      <c r="U30" t="s">
        <v>145</v>
      </c>
    </row>
    <row r="31" spans="1:21" x14ac:dyDescent="0.25">
      <c r="A31" t="s">
        <v>146</v>
      </c>
      <c r="B31" t="s">
        <v>22</v>
      </c>
      <c r="C31" t="s">
        <v>147</v>
      </c>
      <c r="D31">
        <f>971-44190626</f>
        <v>-44189655</v>
      </c>
      <c r="E31" t="s">
        <v>24</v>
      </c>
      <c r="F31" t="s">
        <v>25</v>
      </c>
      <c r="G31" t="s">
        <v>26</v>
      </c>
      <c r="H31">
        <v>55.120081999999996</v>
      </c>
      <c r="I31">
        <v>25.045850999999999</v>
      </c>
      <c r="J31">
        <v>165</v>
      </c>
      <c r="K31" t="s">
        <v>27</v>
      </c>
      <c r="L31" t="s">
        <v>27</v>
      </c>
      <c r="M31" t="s">
        <v>27</v>
      </c>
      <c r="N31" t="s">
        <v>92</v>
      </c>
      <c r="O31" t="s">
        <v>92</v>
      </c>
      <c r="P31" t="s">
        <v>27</v>
      </c>
      <c r="Q31" t="s">
        <v>27</v>
      </c>
      <c r="R31" t="s">
        <v>147</v>
      </c>
      <c r="T31" t="s">
        <v>24</v>
      </c>
      <c r="U31" t="s">
        <v>148</v>
      </c>
    </row>
    <row r="32" spans="1:21" x14ac:dyDescent="0.25">
      <c r="A32" t="s">
        <v>149</v>
      </c>
      <c r="B32" t="s">
        <v>22</v>
      </c>
      <c r="C32" t="s">
        <v>150</v>
      </c>
      <c r="D32">
        <f>971-44190986</f>
        <v>-44190015</v>
      </c>
      <c r="E32" t="s">
        <v>24</v>
      </c>
      <c r="F32" t="s">
        <v>25</v>
      </c>
      <c r="G32" t="s">
        <v>26</v>
      </c>
      <c r="H32">
        <v>55.138807999999997</v>
      </c>
      <c r="I32">
        <v>25.114422000000001</v>
      </c>
      <c r="J32">
        <v>165</v>
      </c>
      <c r="K32" t="s">
        <v>27</v>
      </c>
      <c r="L32" t="s">
        <v>27</v>
      </c>
      <c r="M32" t="s">
        <v>27</v>
      </c>
      <c r="N32" t="s">
        <v>92</v>
      </c>
      <c r="O32" t="s">
        <v>92</v>
      </c>
      <c r="P32" t="s">
        <v>27</v>
      </c>
      <c r="Q32" t="s">
        <v>27</v>
      </c>
      <c r="R32" t="s">
        <v>150</v>
      </c>
      <c r="S32" t="s">
        <v>151</v>
      </c>
      <c r="T32" t="s">
        <v>24</v>
      </c>
      <c r="U32" t="s">
        <v>152</v>
      </c>
    </row>
    <row r="33" spans="1:21" x14ac:dyDescent="0.25">
      <c r="A33" t="s">
        <v>153</v>
      </c>
      <c r="B33" t="s">
        <v>22</v>
      </c>
      <c r="C33" t="s">
        <v>154</v>
      </c>
      <c r="D33">
        <f>971-24926855</f>
        <v>-24925884</v>
      </c>
      <c r="E33" t="s">
        <v>40</v>
      </c>
      <c r="F33" t="s">
        <v>25</v>
      </c>
      <c r="G33" t="s">
        <v>26</v>
      </c>
      <c r="H33">
        <v>54.392238999999996</v>
      </c>
      <c r="I33">
        <v>24.501881000000001</v>
      </c>
      <c r="J33">
        <v>165</v>
      </c>
      <c r="K33" t="s">
        <v>27</v>
      </c>
      <c r="L33" t="s">
        <v>27</v>
      </c>
      <c r="M33" t="s">
        <v>27</v>
      </c>
      <c r="N33" t="s">
        <v>34</v>
      </c>
      <c r="O33" t="s">
        <v>34</v>
      </c>
      <c r="P33" t="s">
        <v>27</v>
      </c>
      <c r="Q33" t="s">
        <v>27</v>
      </c>
      <c r="R33" t="s">
        <v>154</v>
      </c>
      <c r="T33" t="s">
        <v>40</v>
      </c>
      <c r="U33" t="s">
        <v>155</v>
      </c>
    </row>
    <row r="34" spans="1:21" x14ac:dyDescent="0.25">
      <c r="A34" t="s">
        <v>156</v>
      </c>
      <c r="B34" t="s">
        <v>22</v>
      </c>
      <c r="C34" t="s">
        <v>157</v>
      </c>
      <c r="E34" t="s">
        <v>24</v>
      </c>
      <c r="F34" t="s">
        <v>25</v>
      </c>
      <c r="G34" t="s">
        <v>26</v>
      </c>
      <c r="H34">
        <v>55.279791000000003</v>
      </c>
      <c r="I34">
        <v>25.199586</v>
      </c>
      <c r="J34">
        <v>165</v>
      </c>
      <c r="R34" t="s">
        <v>157</v>
      </c>
      <c r="S34" t="s">
        <v>158</v>
      </c>
      <c r="T34" t="s">
        <v>24</v>
      </c>
      <c r="U34" t="s">
        <v>159</v>
      </c>
    </row>
    <row r="35" spans="1:21" x14ac:dyDescent="0.25">
      <c r="A35" t="s">
        <v>160</v>
      </c>
      <c r="B35" t="s">
        <v>22</v>
      </c>
      <c r="C35" t="s">
        <v>161</v>
      </c>
      <c r="D35">
        <f t="shared" ref="D35:D66" si="0">43-8006655900</f>
        <v>-8006655857</v>
      </c>
      <c r="E35" t="s">
        <v>162</v>
      </c>
      <c r="F35" t="s">
        <v>163</v>
      </c>
      <c r="G35" t="s">
        <v>164</v>
      </c>
      <c r="H35">
        <v>13.0441856</v>
      </c>
      <c r="I35">
        <v>47.814382700000003</v>
      </c>
      <c r="J35">
        <v>100</v>
      </c>
      <c r="K35" t="s">
        <v>165</v>
      </c>
      <c r="L35" t="s">
        <v>165</v>
      </c>
      <c r="M35" t="s">
        <v>165</v>
      </c>
      <c r="N35" t="s">
        <v>165</v>
      </c>
      <c r="O35" t="s">
        <v>165</v>
      </c>
      <c r="P35" t="s">
        <v>166</v>
      </c>
      <c r="R35" t="s">
        <v>167</v>
      </c>
      <c r="T35" t="s">
        <v>162</v>
      </c>
      <c r="U35" t="s">
        <v>168</v>
      </c>
    </row>
    <row r="36" spans="1:21" x14ac:dyDescent="0.25">
      <c r="A36" t="s">
        <v>169</v>
      </c>
      <c r="B36" t="s">
        <v>38</v>
      </c>
      <c r="C36" t="s">
        <v>170</v>
      </c>
      <c r="D36">
        <f t="shared" si="0"/>
        <v>-8006655857</v>
      </c>
      <c r="E36" t="s">
        <v>171</v>
      </c>
      <c r="F36" t="s">
        <v>163</v>
      </c>
      <c r="G36" t="s">
        <v>164</v>
      </c>
      <c r="H36">
        <v>11.7069298118865</v>
      </c>
      <c r="I36">
        <v>47.3472798015992</v>
      </c>
      <c r="J36">
        <v>100</v>
      </c>
      <c r="K36" t="s">
        <v>165</v>
      </c>
      <c r="L36" t="s">
        <v>165</v>
      </c>
      <c r="M36" t="s">
        <v>165</v>
      </c>
      <c r="N36" t="s">
        <v>165</v>
      </c>
      <c r="O36" t="s">
        <v>165</v>
      </c>
      <c r="P36" t="s">
        <v>166</v>
      </c>
      <c r="R36" t="s">
        <v>172</v>
      </c>
      <c r="T36" t="s">
        <v>173</v>
      </c>
      <c r="U36" t="s">
        <v>174</v>
      </c>
    </row>
    <row r="37" spans="1:21" x14ac:dyDescent="0.25">
      <c r="A37" t="s">
        <v>175</v>
      </c>
      <c r="B37" t="s">
        <v>38</v>
      </c>
      <c r="C37" t="s">
        <v>176</v>
      </c>
      <c r="D37">
        <f t="shared" si="0"/>
        <v>-8006655857</v>
      </c>
      <c r="E37" t="s">
        <v>177</v>
      </c>
      <c r="F37" t="s">
        <v>163</v>
      </c>
      <c r="G37" t="s">
        <v>164</v>
      </c>
      <c r="H37">
        <v>15.3983017463074</v>
      </c>
      <c r="I37">
        <v>47.104565474214397</v>
      </c>
      <c r="J37">
        <v>100</v>
      </c>
      <c r="K37" t="s">
        <v>165</v>
      </c>
      <c r="L37" t="s">
        <v>165</v>
      </c>
      <c r="M37" t="s">
        <v>165</v>
      </c>
      <c r="N37" t="s">
        <v>165</v>
      </c>
      <c r="O37" t="s">
        <v>165</v>
      </c>
      <c r="P37" t="s">
        <v>166</v>
      </c>
      <c r="R37" t="s">
        <v>178</v>
      </c>
      <c r="T37" t="s">
        <v>179</v>
      </c>
      <c r="U37" t="s">
        <v>180</v>
      </c>
    </row>
    <row r="38" spans="1:21" x14ac:dyDescent="0.25">
      <c r="A38" t="s">
        <v>181</v>
      </c>
      <c r="B38" t="s">
        <v>22</v>
      </c>
      <c r="C38" t="s">
        <v>182</v>
      </c>
      <c r="D38">
        <f t="shared" si="0"/>
        <v>-8006655857</v>
      </c>
      <c r="E38" t="s">
        <v>183</v>
      </c>
      <c r="F38" t="s">
        <v>163</v>
      </c>
      <c r="G38" t="s">
        <v>164</v>
      </c>
      <c r="H38">
        <v>16.4623135819091</v>
      </c>
      <c r="I38">
        <v>48.342263000341099</v>
      </c>
      <c r="J38">
        <v>100</v>
      </c>
      <c r="K38" t="s">
        <v>184</v>
      </c>
      <c r="L38" t="s">
        <v>184</v>
      </c>
      <c r="M38" t="s">
        <v>184</v>
      </c>
      <c r="N38" t="s">
        <v>185</v>
      </c>
      <c r="O38" t="s">
        <v>185</v>
      </c>
      <c r="P38" t="s">
        <v>166</v>
      </c>
      <c r="R38" t="s">
        <v>186</v>
      </c>
      <c r="T38" t="s">
        <v>187</v>
      </c>
      <c r="U38" t="s">
        <v>188</v>
      </c>
    </row>
    <row r="39" spans="1:21" x14ac:dyDescent="0.25">
      <c r="A39" t="s">
        <v>189</v>
      </c>
      <c r="B39" t="s">
        <v>22</v>
      </c>
      <c r="C39" t="s">
        <v>190</v>
      </c>
      <c r="D39">
        <f t="shared" si="0"/>
        <v>-8006655857</v>
      </c>
      <c r="E39" t="s">
        <v>191</v>
      </c>
      <c r="F39" t="s">
        <v>163</v>
      </c>
      <c r="G39" t="s">
        <v>164</v>
      </c>
      <c r="H39">
        <v>16.384664600000001</v>
      </c>
      <c r="I39">
        <v>48.206205300000001</v>
      </c>
      <c r="J39">
        <v>100</v>
      </c>
      <c r="K39" t="s">
        <v>192</v>
      </c>
      <c r="L39" t="s">
        <v>192</v>
      </c>
      <c r="M39" t="s">
        <v>192</v>
      </c>
      <c r="N39" t="s">
        <v>192</v>
      </c>
      <c r="O39" t="s">
        <v>192</v>
      </c>
      <c r="P39" t="s">
        <v>166</v>
      </c>
      <c r="R39" t="s">
        <v>193</v>
      </c>
      <c r="T39" t="s">
        <v>191</v>
      </c>
      <c r="U39" t="s">
        <v>194</v>
      </c>
    </row>
    <row r="40" spans="1:21" x14ac:dyDescent="0.25">
      <c r="A40" t="s">
        <v>195</v>
      </c>
      <c r="B40" t="s">
        <v>22</v>
      </c>
      <c r="C40" t="s">
        <v>196</v>
      </c>
      <c r="D40">
        <f t="shared" si="0"/>
        <v>-8006655857</v>
      </c>
      <c r="E40" t="s">
        <v>197</v>
      </c>
      <c r="F40" t="s">
        <v>163</v>
      </c>
      <c r="G40" t="s">
        <v>164</v>
      </c>
      <c r="H40">
        <v>16.078793900000001</v>
      </c>
      <c r="I40">
        <v>47.050243600000002</v>
      </c>
      <c r="J40">
        <v>100</v>
      </c>
      <c r="K40" t="s">
        <v>198</v>
      </c>
      <c r="L40" t="s">
        <v>198</v>
      </c>
      <c r="M40" t="s">
        <v>198</v>
      </c>
      <c r="N40" t="s">
        <v>198</v>
      </c>
      <c r="O40" t="s">
        <v>198</v>
      </c>
      <c r="P40" t="s">
        <v>166</v>
      </c>
      <c r="R40" t="s">
        <v>199</v>
      </c>
      <c r="T40" t="s">
        <v>179</v>
      </c>
      <c r="U40" t="s">
        <v>200</v>
      </c>
    </row>
    <row r="41" spans="1:21" x14ac:dyDescent="0.25">
      <c r="A41" t="s">
        <v>201</v>
      </c>
      <c r="B41" t="s">
        <v>38</v>
      </c>
      <c r="C41" t="s">
        <v>202</v>
      </c>
      <c r="D41">
        <f t="shared" si="0"/>
        <v>-8006655857</v>
      </c>
      <c r="E41" t="s">
        <v>203</v>
      </c>
      <c r="F41" t="s">
        <v>163</v>
      </c>
      <c r="G41" t="s">
        <v>164</v>
      </c>
      <c r="H41">
        <v>13.485017529244899</v>
      </c>
      <c r="I41">
        <v>48.207344297536999</v>
      </c>
      <c r="J41">
        <v>100</v>
      </c>
      <c r="K41" t="s">
        <v>165</v>
      </c>
      <c r="L41" t="s">
        <v>165</v>
      </c>
      <c r="M41" t="s">
        <v>165</v>
      </c>
      <c r="N41" t="s">
        <v>165</v>
      </c>
      <c r="O41" t="s">
        <v>165</v>
      </c>
      <c r="P41" t="s">
        <v>166</v>
      </c>
      <c r="R41" t="s">
        <v>204</v>
      </c>
      <c r="T41" t="s">
        <v>205</v>
      </c>
      <c r="U41" t="s">
        <v>206</v>
      </c>
    </row>
    <row r="42" spans="1:21" x14ac:dyDescent="0.25">
      <c r="A42" t="s">
        <v>207</v>
      </c>
      <c r="B42" t="s">
        <v>38</v>
      </c>
      <c r="C42" t="s">
        <v>208</v>
      </c>
      <c r="D42">
        <f t="shared" si="0"/>
        <v>-8006655857</v>
      </c>
      <c r="E42" t="s">
        <v>209</v>
      </c>
      <c r="F42" t="s">
        <v>163</v>
      </c>
      <c r="G42" t="s">
        <v>164</v>
      </c>
      <c r="H42">
        <v>14.358653878959601</v>
      </c>
      <c r="I42">
        <v>46.767871120081701</v>
      </c>
      <c r="J42">
        <v>100</v>
      </c>
      <c r="K42" t="s">
        <v>198</v>
      </c>
      <c r="L42" t="s">
        <v>198</v>
      </c>
      <c r="M42" t="s">
        <v>198</v>
      </c>
      <c r="N42" t="s">
        <v>198</v>
      </c>
      <c r="O42" t="s">
        <v>198</v>
      </c>
      <c r="P42" t="s">
        <v>166</v>
      </c>
      <c r="R42" t="s">
        <v>210</v>
      </c>
      <c r="T42" t="s">
        <v>211</v>
      </c>
      <c r="U42" t="s">
        <v>212</v>
      </c>
    </row>
    <row r="43" spans="1:21" x14ac:dyDescent="0.25">
      <c r="A43" t="s">
        <v>213</v>
      </c>
      <c r="B43" t="s">
        <v>38</v>
      </c>
      <c r="C43" t="s">
        <v>214</v>
      </c>
      <c r="D43">
        <f t="shared" si="0"/>
        <v>-8006655857</v>
      </c>
      <c r="E43" t="s">
        <v>215</v>
      </c>
      <c r="F43" t="s">
        <v>163</v>
      </c>
      <c r="G43" t="s">
        <v>164</v>
      </c>
      <c r="H43">
        <v>16.049887626505999</v>
      </c>
      <c r="I43">
        <v>48.3309463166282</v>
      </c>
      <c r="J43">
        <v>100</v>
      </c>
      <c r="K43" t="s">
        <v>165</v>
      </c>
      <c r="L43" t="s">
        <v>165</v>
      </c>
      <c r="M43" t="s">
        <v>165</v>
      </c>
      <c r="N43" t="s">
        <v>165</v>
      </c>
      <c r="O43" t="s">
        <v>165</v>
      </c>
      <c r="P43" t="s">
        <v>166</v>
      </c>
      <c r="R43" t="s">
        <v>216</v>
      </c>
      <c r="T43" t="s">
        <v>187</v>
      </c>
      <c r="U43" t="s">
        <v>217</v>
      </c>
    </row>
    <row r="44" spans="1:21" x14ac:dyDescent="0.25">
      <c r="A44" t="s">
        <v>218</v>
      </c>
      <c r="B44" t="s">
        <v>22</v>
      </c>
      <c r="C44" t="s">
        <v>219</v>
      </c>
      <c r="D44">
        <f t="shared" si="0"/>
        <v>-8006655857</v>
      </c>
      <c r="E44" t="s">
        <v>220</v>
      </c>
      <c r="F44" t="s">
        <v>163</v>
      </c>
      <c r="G44" t="s">
        <v>164</v>
      </c>
      <c r="H44">
        <v>16.218295632418801</v>
      </c>
      <c r="I44">
        <v>47.818314399573502</v>
      </c>
      <c r="J44">
        <v>100</v>
      </c>
      <c r="K44" t="s">
        <v>165</v>
      </c>
      <c r="L44" t="s">
        <v>165</v>
      </c>
      <c r="M44" t="s">
        <v>165</v>
      </c>
      <c r="N44" t="s">
        <v>165</v>
      </c>
      <c r="O44" t="s">
        <v>165</v>
      </c>
      <c r="P44" t="s">
        <v>166</v>
      </c>
      <c r="R44" t="s">
        <v>221</v>
      </c>
      <c r="T44" t="s">
        <v>187</v>
      </c>
      <c r="U44" t="s">
        <v>222</v>
      </c>
    </row>
    <row r="45" spans="1:21" x14ac:dyDescent="0.25">
      <c r="A45" t="s">
        <v>223</v>
      </c>
      <c r="B45" t="s">
        <v>22</v>
      </c>
      <c r="C45" t="s">
        <v>224</v>
      </c>
      <c r="D45">
        <f t="shared" si="0"/>
        <v>-8006655857</v>
      </c>
      <c r="E45" t="s">
        <v>191</v>
      </c>
      <c r="F45" t="s">
        <v>163</v>
      </c>
      <c r="G45" t="s">
        <v>164</v>
      </c>
      <c r="H45">
        <v>16.4712904144776</v>
      </c>
      <c r="I45">
        <v>48.170168432449302</v>
      </c>
      <c r="J45">
        <v>100</v>
      </c>
      <c r="K45" t="s">
        <v>165</v>
      </c>
      <c r="L45" t="s">
        <v>165</v>
      </c>
      <c r="M45" t="s">
        <v>165</v>
      </c>
      <c r="N45" t="s">
        <v>165</v>
      </c>
      <c r="O45" t="s">
        <v>192</v>
      </c>
      <c r="P45" t="s">
        <v>166</v>
      </c>
      <c r="R45" t="s">
        <v>225</v>
      </c>
      <c r="T45" t="s">
        <v>191</v>
      </c>
      <c r="U45" t="s">
        <v>226</v>
      </c>
    </row>
    <row r="46" spans="1:21" x14ac:dyDescent="0.25">
      <c r="A46" t="s">
        <v>227</v>
      </c>
      <c r="B46" t="s">
        <v>38</v>
      </c>
      <c r="C46" t="s">
        <v>228</v>
      </c>
      <c r="D46">
        <f t="shared" si="0"/>
        <v>-8006655857</v>
      </c>
      <c r="E46" t="s">
        <v>162</v>
      </c>
      <c r="F46" t="s">
        <v>163</v>
      </c>
      <c r="G46" t="s">
        <v>164</v>
      </c>
      <c r="H46">
        <v>13.068785099999999</v>
      </c>
      <c r="I46">
        <v>47.775073499999998</v>
      </c>
      <c r="J46">
        <v>100</v>
      </c>
      <c r="K46" t="s">
        <v>165</v>
      </c>
      <c r="L46" t="s">
        <v>165</v>
      </c>
      <c r="M46" t="s">
        <v>165</v>
      </c>
      <c r="N46" t="s">
        <v>165</v>
      </c>
      <c r="O46" t="s">
        <v>165</v>
      </c>
      <c r="P46" t="s">
        <v>166</v>
      </c>
      <c r="R46" t="s">
        <v>229</v>
      </c>
      <c r="T46" t="s">
        <v>162</v>
      </c>
      <c r="U46" t="s">
        <v>230</v>
      </c>
    </row>
    <row r="47" spans="1:21" x14ac:dyDescent="0.25">
      <c r="A47" t="s">
        <v>231</v>
      </c>
      <c r="B47" t="s">
        <v>38</v>
      </c>
      <c r="C47" t="s">
        <v>232</v>
      </c>
      <c r="D47">
        <f t="shared" si="0"/>
        <v>-8006655857</v>
      </c>
      <c r="E47" t="s">
        <v>191</v>
      </c>
      <c r="F47" t="s">
        <v>163</v>
      </c>
      <c r="G47" t="s">
        <v>164</v>
      </c>
      <c r="H47">
        <v>16.422678746032702</v>
      </c>
      <c r="I47">
        <v>48.209664239262302</v>
      </c>
      <c r="J47">
        <v>100</v>
      </c>
      <c r="K47" t="s">
        <v>165</v>
      </c>
      <c r="L47" t="s">
        <v>165</v>
      </c>
      <c r="M47" t="s">
        <v>165</v>
      </c>
      <c r="N47" t="s">
        <v>165</v>
      </c>
      <c r="O47" t="s">
        <v>165</v>
      </c>
      <c r="P47" t="s">
        <v>166</v>
      </c>
      <c r="R47" t="s">
        <v>233</v>
      </c>
      <c r="T47" t="s">
        <v>191</v>
      </c>
      <c r="U47" t="s">
        <v>234</v>
      </c>
    </row>
    <row r="48" spans="1:21" x14ac:dyDescent="0.25">
      <c r="A48" t="s">
        <v>235</v>
      </c>
      <c r="B48" t="s">
        <v>38</v>
      </c>
      <c r="C48" t="s">
        <v>236</v>
      </c>
      <c r="D48">
        <f t="shared" si="0"/>
        <v>-8006655857</v>
      </c>
      <c r="E48" t="s">
        <v>237</v>
      </c>
      <c r="F48" t="s">
        <v>163</v>
      </c>
      <c r="G48" t="s">
        <v>164</v>
      </c>
      <c r="H48">
        <v>14.839207971441599</v>
      </c>
      <c r="I48">
        <v>46.842373845561198</v>
      </c>
      <c r="J48">
        <v>100</v>
      </c>
      <c r="K48" t="s">
        <v>198</v>
      </c>
      <c r="L48" t="s">
        <v>198</v>
      </c>
      <c r="M48" t="s">
        <v>198</v>
      </c>
      <c r="N48" t="s">
        <v>198</v>
      </c>
      <c r="O48" t="s">
        <v>198</v>
      </c>
      <c r="P48" t="s">
        <v>166</v>
      </c>
      <c r="R48" t="s">
        <v>238</v>
      </c>
      <c r="T48" t="s">
        <v>211</v>
      </c>
      <c r="U48" t="s">
        <v>239</v>
      </c>
    </row>
    <row r="49" spans="1:21" x14ac:dyDescent="0.25">
      <c r="A49" t="s">
        <v>240</v>
      </c>
      <c r="B49" t="s">
        <v>38</v>
      </c>
      <c r="C49" t="s">
        <v>241</v>
      </c>
      <c r="D49">
        <f t="shared" si="0"/>
        <v>-8006655857</v>
      </c>
      <c r="E49" t="s">
        <v>242</v>
      </c>
      <c r="F49" t="s">
        <v>163</v>
      </c>
      <c r="G49" t="s">
        <v>164</v>
      </c>
      <c r="H49">
        <v>13.2188532999999</v>
      </c>
      <c r="I49">
        <v>47.4173902</v>
      </c>
      <c r="J49">
        <v>100</v>
      </c>
      <c r="K49" t="s">
        <v>198</v>
      </c>
      <c r="L49" t="s">
        <v>198</v>
      </c>
      <c r="M49" t="s">
        <v>198</v>
      </c>
      <c r="N49" t="s">
        <v>198</v>
      </c>
      <c r="O49" t="s">
        <v>198</v>
      </c>
      <c r="P49" t="s">
        <v>166</v>
      </c>
      <c r="R49" t="s">
        <v>243</v>
      </c>
      <c r="T49" t="s">
        <v>162</v>
      </c>
      <c r="U49" t="s">
        <v>244</v>
      </c>
    </row>
    <row r="50" spans="1:21" x14ac:dyDescent="0.25">
      <c r="A50" t="s">
        <v>245</v>
      </c>
      <c r="B50" t="s">
        <v>38</v>
      </c>
      <c r="C50" t="s">
        <v>246</v>
      </c>
      <c r="D50">
        <f t="shared" si="0"/>
        <v>-8006655857</v>
      </c>
      <c r="E50" t="s">
        <v>247</v>
      </c>
      <c r="F50" t="s">
        <v>163</v>
      </c>
      <c r="G50" t="s">
        <v>164</v>
      </c>
      <c r="H50">
        <v>16.572199999999999</v>
      </c>
      <c r="I50">
        <v>48.569872231032903</v>
      </c>
      <c r="J50">
        <v>100</v>
      </c>
      <c r="K50" t="s">
        <v>248</v>
      </c>
      <c r="L50" t="s">
        <v>248</v>
      </c>
      <c r="M50" t="s">
        <v>248</v>
      </c>
      <c r="N50" t="s">
        <v>248</v>
      </c>
      <c r="O50" t="s">
        <v>248</v>
      </c>
      <c r="P50" t="s">
        <v>248</v>
      </c>
      <c r="R50" t="s">
        <v>249</v>
      </c>
      <c r="T50" t="s">
        <v>187</v>
      </c>
      <c r="U50" t="s">
        <v>250</v>
      </c>
    </row>
    <row r="51" spans="1:21" x14ac:dyDescent="0.25">
      <c r="A51" t="s">
        <v>251</v>
      </c>
      <c r="B51" t="s">
        <v>22</v>
      </c>
      <c r="C51" t="s">
        <v>252</v>
      </c>
      <c r="D51">
        <f t="shared" si="0"/>
        <v>-8006655857</v>
      </c>
      <c r="E51" t="s">
        <v>177</v>
      </c>
      <c r="F51" t="s">
        <v>163</v>
      </c>
      <c r="G51" t="s">
        <v>164</v>
      </c>
      <c r="H51">
        <v>15.4614766562499</v>
      </c>
      <c r="I51">
        <v>47.041710512562098</v>
      </c>
      <c r="J51">
        <v>100</v>
      </c>
      <c r="K51" t="s">
        <v>253</v>
      </c>
      <c r="L51" t="s">
        <v>253</v>
      </c>
      <c r="M51" t="s">
        <v>253</v>
      </c>
      <c r="N51" t="s">
        <v>253</v>
      </c>
      <c r="O51" t="s">
        <v>253</v>
      </c>
      <c r="P51" t="s">
        <v>166</v>
      </c>
      <c r="R51" t="s">
        <v>254</v>
      </c>
      <c r="T51" t="s">
        <v>179</v>
      </c>
      <c r="U51" t="s">
        <v>255</v>
      </c>
    </row>
    <row r="52" spans="1:21" x14ac:dyDescent="0.25">
      <c r="A52" t="s">
        <v>256</v>
      </c>
      <c r="B52" t="s">
        <v>38</v>
      </c>
      <c r="C52" t="s">
        <v>257</v>
      </c>
      <c r="D52">
        <f t="shared" si="0"/>
        <v>-8006655857</v>
      </c>
      <c r="E52" t="s">
        <v>220</v>
      </c>
      <c r="F52" t="s">
        <v>163</v>
      </c>
      <c r="G52" t="s">
        <v>164</v>
      </c>
      <c r="H52">
        <v>16.256912185363699</v>
      </c>
      <c r="I52">
        <v>47.824174171473203</v>
      </c>
      <c r="J52">
        <v>100</v>
      </c>
      <c r="K52" t="s">
        <v>165</v>
      </c>
      <c r="L52" t="s">
        <v>165</v>
      </c>
      <c r="M52" t="s">
        <v>165</v>
      </c>
      <c r="N52" t="s">
        <v>165</v>
      </c>
      <c r="O52" t="s">
        <v>165</v>
      </c>
      <c r="P52" t="s">
        <v>166</v>
      </c>
      <c r="R52" t="s">
        <v>258</v>
      </c>
      <c r="T52" t="s">
        <v>187</v>
      </c>
      <c r="U52" t="s">
        <v>259</v>
      </c>
    </row>
    <row r="53" spans="1:21" x14ac:dyDescent="0.25">
      <c r="A53" t="s">
        <v>260</v>
      </c>
      <c r="B53" t="s">
        <v>32</v>
      </c>
      <c r="C53" t="s">
        <v>261</v>
      </c>
      <c r="D53">
        <f t="shared" si="0"/>
        <v>-8006655857</v>
      </c>
      <c r="E53" t="s">
        <v>191</v>
      </c>
      <c r="F53" t="s">
        <v>163</v>
      </c>
      <c r="G53" t="s">
        <v>164</v>
      </c>
      <c r="H53">
        <v>16.3549415129532</v>
      </c>
      <c r="I53">
        <v>48.199868929005198</v>
      </c>
      <c r="J53">
        <v>100</v>
      </c>
      <c r="K53" t="s">
        <v>184</v>
      </c>
      <c r="L53" t="s">
        <v>184</v>
      </c>
      <c r="M53" t="s">
        <v>184</v>
      </c>
      <c r="N53" t="s">
        <v>185</v>
      </c>
      <c r="O53" t="s">
        <v>185</v>
      </c>
      <c r="P53" t="s">
        <v>262</v>
      </c>
      <c r="R53" t="s">
        <v>261</v>
      </c>
      <c r="T53" t="s">
        <v>191</v>
      </c>
      <c r="U53" t="s">
        <v>263</v>
      </c>
    </row>
    <row r="54" spans="1:21" x14ac:dyDescent="0.25">
      <c r="A54" t="s">
        <v>264</v>
      </c>
      <c r="B54" t="s">
        <v>38</v>
      </c>
      <c r="C54" t="s">
        <v>265</v>
      </c>
      <c r="D54">
        <f t="shared" si="0"/>
        <v>-8006655857</v>
      </c>
      <c r="E54" t="s">
        <v>266</v>
      </c>
      <c r="F54" t="s">
        <v>163</v>
      </c>
      <c r="G54" t="s">
        <v>164</v>
      </c>
      <c r="H54">
        <v>15.6285704524231</v>
      </c>
      <c r="I54">
        <v>47.217811274561399</v>
      </c>
      <c r="J54">
        <v>100</v>
      </c>
      <c r="K54" t="s">
        <v>198</v>
      </c>
      <c r="L54" t="s">
        <v>198</v>
      </c>
      <c r="M54" t="s">
        <v>198</v>
      </c>
      <c r="N54" t="s">
        <v>198</v>
      </c>
      <c r="O54" t="s">
        <v>198</v>
      </c>
      <c r="P54" t="s">
        <v>166</v>
      </c>
      <c r="R54" t="s">
        <v>267</v>
      </c>
      <c r="T54" t="s">
        <v>179</v>
      </c>
      <c r="U54" t="s">
        <v>268</v>
      </c>
    </row>
    <row r="55" spans="1:21" x14ac:dyDescent="0.25">
      <c r="A55" t="s">
        <v>269</v>
      </c>
      <c r="B55" t="s">
        <v>38</v>
      </c>
      <c r="C55" t="s">
        <v>270</v>
      </c>
      <c r="D55">
        <f t="shared" si="0"/>
        <v>-8006655857</v>
      </c>
      <c r="E55" t="s">
        <v>271</v>
      </c>
      <c r="F55" t="s">
        <v>163</v>
      </c>
      <c r="G55" t="s">
        <v>164</v>
      </c>
      <c r="H55">
        <v>16.855765000000002</v>
      </c>
      <c r="I55">
        <v>47.976840000000003</v>
      </c>
      <c r="J55">
        <v>100</v>
      </c>
      <c r="K55" t="s">
        <v>165</v>
      </c>
      <c r="L55" t="s">
        <v>165</v>
      </c>
      <c r="M55" t="s">
        <v>165</v>
      </c>
      <c r="N55" t="s">
        <v>165</v>
      </c>
      <c r="O55" t="s">
        <v>165</v>
      </c>
      <c r="P55" t="s">
        <v>166</v>
      </c>
      <c r="R55" t="s">
        <v>272</v>
      </c>
      <c r="T55" t="s">
        <v>273</v>
      </c>
      <c r="U55" t="s">
        <v>274</v>
      </c>
    </row>
    <row r="56" spans="1:21" x14ac:dyDescent="0.25">
      <c r="A56" t="s">
        <v>275</v>
      </c>
      <c r="B56" t="s">
        <v>22</v>
      </c>
      <c r="C56" t="s">
        <v>276</v>
      </c>
      <c r="D56">
        <f t="shared" si="0"/>
        <v>-8006655857</v>
      </c>
      <c r="E56" t="s">
        <v>191</v>
      </c>
      <c r="F56" t="s">
        <v>163</v>
      </c>
      <c r="G56" t="s">
        <v>164</v>
      </c>
      <c r="H56">
        <v>16.317765712738002</v>
      </c>
      <c r="I56">
        <v>48.1117007731333</v>
      </c>
      <c r="J56">
        <v>100</v>
      </c>
      <c r="K56" t="s">
        <v>165</v>
      </c>
      <c r="L56" t="s">
        <v>165</v>
      </c>
      <c r="M56" t="s">
        <v>165</v>
      </c>
      <c r="N56" t="s">
        <v>192</v>
      </c>
      <c r="O56" t="s">
        <v>192</v>
      </c>
      <c r="P56" t="s">
        <v>166</v>
      </c>
      <c r="R56" t="s">
        <v>277</v>
      </c>
      <c r="T56" t="s">
        <v>187</v>
      </c>
      <c r="U56" t="s">
        <v>278</v>
      </c>
    </row>
    <row r="57" spans="1:21" x14ac:dyDescent="0.25">
      <c r="A57" t="s">
        <v>279</v>
      </c>
      <c r="B57" t="s">
        <v>38</v>
      </c>
      <c r="C57" t="s">
        <v>280</v>
      </c>
      <c r="D57">
        <f t="shared" si="0"/>
        <v>-8006655857</v>
      </c>
      <c r="E57" t="s">
        <v>177</v>
      </c>
      <c r="F57" t="s">
        <v>163</v>
      </c>
      <c r="G57" t="s">
        <v>164</v>
      </c>
      <c r="H57">
        <v>15.4172832</v>
      </c>
      <c r="I57">
        <v>47.034074699999998</v>
      </c>
      <c r="J57">
        <v>100</v>
      </c>
      <c r="K57" t="s">
        <v>253</v>
      </c>
      <c r="L57" t="s">
        <v>253</v>
      </c>
      <c r="M57" t="s">
        <v>253</v>
      </c>
      <c r="N57" t="s">
        <v>253</v>
      </c>
      <c r="O57" t="s">
        <v>253</v>
      </c>
      <c r="P57" t="s">
        <v>166</v>
      </c>
      <c r="R57" t="s">
        <v>281</v>
      </c>
      <c r="T57" t="s">
        <v>179</v>
      </c>
      <c r="U57" t="s">
        <v>282</v>
      </c>
    </row>
    <row r="58" spans="1:21" x14ac:dyDescent="0.25">
      <c r="A58" t="s">
        <v>283</v>
      </c>
      <c r="B58" t="s">
        <v>38</v>
      </c>
      <c r="C58" t="s">
        <v>284</v>
      </c>
      <c r="D58">
        <f t="shared" si="0"/>
        <v>-8006655857</v>
      </c>
      <c r="E58" t="s">
        <v>285</v>
      </c>
      <c r="F58" t="s">
        <v>163</v>
      </c>
      <c r="G58" t="s">
        <v>164</v>
      </c>
      <c r="H58">
        <v>14.248924255371</v>
      </c>
      <c r="I58">
        <v>48.1951585514554</v>
      </c>
      <c r="J58">
        <v>100</v>
      </c>
      <c r="K58" t="s">
        <v>165</v>
      </c>
      <c r="L58" t="s">
        <v>165</v>
      </c>
      <c r="M58" t="s">
        <v>165</v>
      </c>
      <c r="N58" t="s">
        <v>165</v>
      </c>
      <c r="O58" t="s">
        <v>165</v>
      </c>
      <c r="P58" t="s">
        <v>166</v>
      </c>
      <c r="R58" t="s">
        <v>286</v>
      </c>
      <c r="T58" t="s">
        <v>205</v>
      </c>
      <c r="U58" t="s">
        <v>287</v>
      </c>
    </row>
    <row r="59" spans="1:21" x14ac:dyDescent="0.25">
      <c r="A59" t="s">
        <v>288</v>
      </c>
      <c r="B59" t="s">
        <v>22</v>
      </c>
      <c r="C59" t="s">
        <v>289</v>
      </c>
      <c r="D59">
        <f t="shared" si="0"/>
        <v>-8006655857</v>
      </c>
      <c r="E59" t="s">
        <v>285</v>
      </c>
      <c r="F59" t="s">
        <v>163</v>
      </c>
      <c r="G59" t="s">
        <v>164</v>
      </c>
      <c r="H59">
        <v>14.2362213134765</v>
      </c>
      <c r="I59">
        <v>48.243996307893497</v>
      </c>
      <c r="J59">
        <v>100</v>
      </c>
      <c r="K59" t="s">
        <v>184</v>
      </c>
      <c r="L59" t="s">
        <v>184</v>
      </c>
      <c r="M59" t="s">
        <v>184</v>
      </c>
      <c r="N59" t="s">
        <v>290</v>
      </c>
      <c r="O59" t="s">
        <v>290</v>
      </c>
      <c r="P59" t="s">
        <v>166</v>
      </c>
      <c r="R59" t="s">
        <v>291</v>
      </c>
      <c r="T59" t="s">
        <v>205</v>
      </c>
      <c r="U59" t="s">
        <v>292</v>
      </c>
    </row>
    <row r="60" spans="1:21" x14ac:dyDescent="0.25">
      <c r="A60" t="s">
        <v>293</v>
      </c>
      <c r="B60" t="s">
        <v>22</v>
      </c>
      <c r="C60" t="s">
        <v>294</v>
      </c>
      <c r="D60">
        <f t="shared" si="0"/>
        <v>-8006655857</v>
      </c>
      <c r="E60" t="s">
        <v>295</v>
      </c>
      <c r="F60" t="s">
        <v>163</v>
      </c>
      <c r="G60" t="s">
        <v>164</v>
      </c>
      <c r="H60">
        <v>11.4309566</v>
      </c>
      <c r="I60">
        <v>47.262676300000003</v>
      </c>
      <c r="J60">
        <v>100</v>
      </c>
      <c r="K60" t="s">
        <v>165</v>
      </c>
      <c r="L60" t="s">
        <v>165</v>
      </c>
      <c r="M60" t="s">
        <v>165</v>
      </c>
      <c r="N60" t="s">
        <v>192</v>
      </c>
      <c r="O60" t="s">
        <v>192</v>
      </c>
      <c r="P60" t="s">
        <v>166</v>
      </c>
      <c r="R60" t="s">
        <v>296</v>
      </c>
      <c r="T60" t="s">
        <v>173</v>
      </c>
      <c r="U60" t="s">
        <v>297</v>
      </c>
    </row>
    <row r="61" spans="1:21" x14ac:dyDescent="0.25">
      <c r="A61" t="s">
        <v>298</v>
      </c>
      <c r="B61" t="s">
        <v>22</v>
      </c>
      <c r="C61" t="s">
        <v>299</v>
      </c>
      <c r="D61">
        <f t="shared" si="0"/>
        <v>-8006655857</v>
      </c>
      <c r="E61" t="s">
        <v>191</v>
      </c>
      <c r="F61" t="s">
        <v>163</v>
      </c>
      <c r="G61" t="s">
        <v>164</v>
      </c>
      <c r="H61">
        <v>16.348496600000001</v>
      </c>
      <c r="I61">
        <v>48.197744700000001</v>
      </c>
      <c r="J61">
        <v>100</v>
      </c>
      <c r="K61" t="s">
        <v>185</v>
      </c>
      <c r="L61" t="s">
        <v>185</v>
      </c>
      <c r="M61" t="s">
        <v>185</v>
      </c>
      <c r="N61" t="s">
        <v>185</v>
      </c>
      <c r="O61" t="s">
        <v>185</v>
      </c>
      <c r="P61" t="s">
        <v>262</v>
      </c>
      <c r="R61" t="s">
        <v>299</v>
      </c>
      <c r="T61" t="s">
        <v>191</v>
      </c>
      <c r="U61" t="s">
        <v>300</v>
      </c>
    </row>
    <row r="62" spans="1:21" x14ac:dyDescent="0.25">
      <c r="A62" t="s">
        <v>301</v>
      </c>
      <c r="B62" t="s">
        <v>22</v>
      </c>
      <c r="C62" t="s">
        <v>302</v>
      </c>
      <c r="D62">
        <f t="shared" si="0"/>
        <v>-8006655857</v>
      </c>
      <c r="E62" t="s">
        <v>303</v>
      </c>
      <c r="F62" t="s">
        <v>163</v>
      </c>
      <c r="G62" t="s">
        <v>164</v>
      </c>
      <c r="H62">
        <v>14.3073320388793</v>
      </c>
      <c r="I62">
        <v>46.625303302212203</v>
      </c>
      <c r="J62">
        <v>100</v>
      </c>
      <c r="K62" t="s">
        <v>198</v>
      </c>
      <c r="L62" t="s">
        <v>198</v>
      </c>
      <c r="M62" t="s">
        <v>198</v>
      </c>
      <c r="N62" t="s">
        <v>198</v>
      </c>
      <c r="O62" t="s">
        <v>198</v>
      </c>
      <c r="P62" t="s">
        <v>166</v>
      </c>
      <c r="R62" t="s">
        <v>304</v>
      </c>
      <c r="T62" t="s">
        <v>211</v>
      </c>
      <c r="U62" t="s">
        <v>305</v>
      </c>
    </row>
    <row r="63" spans="1:21" x14ac:dyDescent="0.25">
      <c r="A63" t="s">
        <v>306</v>
      </c>
      <c r="B63" t="s">
        <v>38</v>
      </c>
      <c r="C63" t="s">
        <v>307</v>
      </c>
      <c r="D63">
        <f t="shared" si="0"/>
        <v>-8006655857</v>
      </c>
      <c r="E63" t="s">
        <v>191</v>
      </c>
      <c r="F63" t="s">
        <v>163</v>
      </c>
      <c r="G63" t="s">
        <v>164</v>
      </c>
      <c r="H63">
        <v>16.376131999999998</v>
      </c>
      <c r="I63">
        <v>48.179373300000002</v>
      </c>
      <c r="J63">
        <v>100</v>
      </c>
      <c r="K63" t="s">
        <v>184</v>
      </c>
      <c r="L63" t="s">
        <v>184</v>
      </c>
      <c r="M63" t="s">
        <v>184</v>
      </c>
      <c r="N63" t="s">
        <v>184</v>
      </c>
      <c r="O63" t="s">
        <v>184</v>
      </c>
      <c r="P63" t="s">
        <v>166</v>
      </c>
      <c r="R63" t="s">
        <v>308</v>
      </c>
      <c r="T63" t="s">
        <v>191</v>
      </c>
      <c r="U63" t="s">
        <v>309</v>
      </c>
    </row>
    <row r="64" spans="1:21" x14ac:dyDescent="0.25">
      <c r="A64" t="s">
        <v>310</v>
      </c>
      <c r="B64" t="s">
        <v>22</v>
      </c>
      <c r="C64" t="s">
        <v>311</v>
      </c>
      <c r="D64">
        <f t="shared" si="0"/>
        <v>-8006655857</v>
      </c>
      <c r="E64" t="s">
        <v>162</v>
      </c>
      <c r="F64" t="s">
        <v>163</v>
      </c>
      <c r="G64" t="s">
        <v>164</v>
      </c>
      <c r="H64">
        <v>13.0053663253784</v>
      </c>
      <c r="I64">
        <v>47.815748236592199</v>
      </c>
      <c r="J64">
        <v>100</v>
      </c>
      <c r="K64" t="s">
        <v>253</v>
      </c>
      <c r="L64" t="s">
        <v>253</v>
      </c>
      <c r="M64" t="s">
        <v>253</v>
      </c>
      <c r="N64" t="s">
        <v>253</v>
      </c>
      <c r="O64" t="s">
        <v>312</v>
      </c>
      <c r="P64" t="s">
        <v>166</v>
      </c>
      <c r="R64" t="s">
        <v>313</v>
      </c>
      <c r="T64" t="s">
        <v>162</v>
      </c>
      <c r="U64" t="s">
        <v>314</v>
      </c>
    </row>
    <row r="65" spans="1:21" x14ac:dyDescent="0.25">
      <c r="A65" t="s">
        <v>315</v>
      </c>
      <c r="B65" t="s">
        <v>22</v>
      </c>
      <c r="C65" t="s">
        <v>316</v>
      </c>
      <c r="D65">
        <f t="shared" si="0"/>
        <v>-8006655857</v>
      </c>
      <c r="E65" t="s">
        <v>191</v>
      </c>
      <c r="F65" t="s">
        <v>163</v>
      </c>
      <c r="G65" t="s">
        <v>164</v>
      </c>
      <c r="H65">
        <v>16.434688568115199</v>
      </c>
      <c r="I65">
        <v>48.242052838067103</v>
      </c>
      <c r="J65">
        <v>100</v>
      </c>
      <c r="K65" t="s">
        <v>192</v>
      </c>
      <c r="L65" t="s">
        <v>192</v>
      </c>
      <c r="M65" t="s">
        <v>192</v>
      </c>
      <c r="N65" t="s">
        <v>192</v>
      </c>
      <c r="O65" t="s">
        <v>192</v>
      </c>
      <c r="P65" t="s">
        <v>166</v>
      </c>
      <c r="R65" t="s">
        <v>317</v>
      </c>
      <c r="T65" t="s">
        <v>191</v>
      </c>
      <c r="U65" t="s">
        <v>318</v>
      </c>
    </row>
    <row r="66" spans="1:21" x14ac:dyDescent="0.25">
      <c r="A66" t="s">
        <v>319</v>
      </c>
      <c r="B66" t="s">
        <v>38</v>
      </c>
      <c r="C66" t="s">
        <v>320</v>
      </c>
      <c r="D66">
        <f t="shared" si="0"/>
        <v>-8006655857</v>
      </c>
      <c r="E66" t="s">
        <v>191</v>
      </c>
      <c r="F66" t="s">
        <v>163</v>
      </c>
      <c r="G66" t="s">
        <v>164</v>
      </c>
      <c r="H66">
        <v>16.329952599999999</v>
      </c>
      <c r="I66">
        <v>48.1775916</v>
      </c>
      <c r="J66">
        <v>100</v>
      </c>
      <c r="K66" t="s">
        <v>165</v>
      </c>
      <c r="L66" t="s">
        <v>165</v>
      </c>
      <c r="M66" t="s">
        <v>165</v>
      </c>
      <c r="N66" t="s">
        <v>165</v>
      </c>
      <c r="O66" t="s">
        <v>165</v>
      </c>
      <c r="P66" t="s">
        <v>166</v>
      </c>
      <c r="R66" t="s">
        <v>321</v>
      </c>
      <c r="T66" t="s">
        <v>191</v>
      </c>
      <c r="U66" t="s">
        <v>322</v>
      </c>
    </row>
    <row r="67" spans="1:21" x14ac:dyDescent="0.25">
      <c r="A67" t="s">
        <v>323</v>
      </c>
      <c r="B67" t="s">
        <v>38</v>
      </c>
      <c r="C67" t="s">
        <v>324</v>
      </c>
      <c r="D67">
        <f t="shared" ref="D67:D98" si="1">43-8006655900</f>
        <v>-8006655857</v>
      </c>
      <c r="E67" t="s">
        <v>325</v>
      </c>
      <c r="F67" t="s">
        <v>163</v>
      </c>
      <c r="G67" t="s">
        <v>164</v>
      </c>
      <c r="H67">
        <v>15.6226532</v>
      </c>
      <c r="I67">
        <v>48.206748500000003</v>
      </c>
      <c r="J67">
        <v>100</v>
      </c>
      <c r="K67" t="s">
        <v>166</v>
      </c>
      <c r="L67" t="s">
        <v>166</v>
      </c>
      <c r="M67" t="s">
        <v>166</v>
      </c>
      <c r="N67" t="s">
        <v>166</v>
      </c>
      <c r="O67" t="s">
        <v>166</v>
      </c>
      <c r="P67" t="s">
        <v>326</v>
      </c>
      <c r="R67" t="s">
        <v>327</v>
      </c>
      <c r="T67" t="s">
        <v>187</v>
      </c>
      <c r="U67" t="s">
        <v>328</v>
      </c>
    </row>
    <row r="68" spans="1:21" x14ac:dyDescent="0.25">
      <c r="A68" t="s">
        <v>329</v>
      </c>
      <c r="B68" t="s">
        <v>22</v>
      </c>
      <c r="C68" t="s">
        <v>330</v>
      </c>
      <c r="D68">
        <f t="shared" si="1"/>
        <v>-8006655857</v>
      </c>
      <c r="E68" t="s">
        <v>331</v>
      </c>
      <c r="F68" t="s">
        <v>163</v>
      </c>
      <c r="G68" t="s">
        <v>164</v>
      </c>
      <c r="H68">
        <v>9.7107662000000001</v>
      </c>
      <c r="I68">
        <v>47.411960999999998</v>
      </c>
      <c r="J68">
        <v>100</v>
      </c>
      <c r="K68" t="s">
        <v>165</v>
      </c>
      <c r="L68" t="s">
        <v>165</v>
      </c>
      <c r="M68" t="s">
        <v>165</v>
      </c>
      <c r="N68" t="s">
        <v>165</v>
      </c>
      <c r="O68" t="s">
        <v>192</v>
      </c>
      <c r="P68" t="s">
        <v>248</v>
      </c>
      <c r="R68" t="s">
        <v>332</v>
      </c>
      <c r="T68" t="s">
        <v>333</v>
      </c>
      <c r="U68" t="s">
        <v>334</v>
      </c>
    </row>
    <row r="69" spans="1:21" x14ac:dyDescent="0.25">
      <c r="A69" t="s">
        <v>335</v>
      </c>
      <c r="B69" t="s">
        <v>38</v>
      </c>
      <c r="C69" t="s">
        <v>336</v>
      </c>
      <c r="D69">
        <f t="shared" si="1"/>
        <v>-8006655857</v>
      </c>
      <c r="E69" t="s">
        <v>337</v>
      </c>
      <c r="F69" t="s">
        <v>163</v>
      </c>
      <c r="G69" t="s">
        <v>164</v>
      </c>
      <c r="H69">
        <v>15.620740700000001</v>
      </c>
      <c r="I69">
        <v>48.416339800000003</v>
      </c>
      <c r="J69">
        <v>100</v>
      </c>
      <c r="K69" t="s">
        <v>165</v>
      </c>
      <c r="L69" t="s">
        <v>165</v>
      </c>
      <c r="M69" t="s">
        <v>165</v>
      </c>
      <c r="N69" t="s">
        <v>165</v>
      </c>
      <c r="O69" t="s">
        <v>165</v>
      </c>
      <c r="P69" t="s">
        <v>166</v>
      </c>
      <c r="R69" t="s">
        <v>338</v>
      </c>
      <c r="T69" t="s">
        <v>187</v>
      </c>
      <c r="U69" t="s">
        <v>339</v>
      </c>
    </row>
    <row r="70" spans="1:21" x14ac:dyDescent="0.25">
      <c r="A70" t="s">
        <v>340</v>
      </c>
      <c r="B70" t="s">
        <v>22</v>
      </c>
      <c r="C70" t="s">
        <v>341</v>
      </c>
      <c r="D70">
        <f t="shared" si="1"/>
        <v>-8006655857</v>
      </c>
      <c r="E70" t="s">
        <v>177</v>
      </c>
      <c r="F70" t="s">
        <v>163</v>
      </c>
      <c r="G70" t="s">
        <v>164</v>
      </c>
      <c r="H70">
        <v>15.4383015632629</v>
      </c>
      <c r="I70">
        <v>47.0709256361759</v>
      </c>
      <c r="J70">
        <v>100</v>
      </c>
      <c r="K70" t="s">
        <v>165</v>
      </c>
      <c r="L70" t="s">
        <v>165</v>
      </c>
      <c r="M70" t="s">
        <v>165</v>
      </c>
      <c r="N70" t="s">
        <v>165</v>
      </c>
      <c r="O70" t="s">
        <v>165</v>
      </c>
      <c r="P70" t="s">
        <v>166</v>
      </c>
      <c r="R70" t="s">
        <v>341</v>
      </c>
      <c r="T70" t="s">
        <v>179</v>
      </c>
      <c r="U70" t="s">
        <v>342</v>
      </c>
    </row>
    <row r="71" spans="1:21" x14ac:dyDescent="0.25">
      <c r="A71" t="s">
        <v>343</v>
      </c>
      <c r="B71" t="s">
        <v>22</v>
      </c>
      <c r="C71" t="s">
        <v>344</v>
      </c>
      <c r="D71">
        <f t="shared" si="1"/>
        <v>-8006655857</v>
      </c>
      <c r="E71" t="s">
        <v>191</v>
      </c>
      <c r="F71" t="s">
        <v>163</v>
      </c>
      <c r="G71" t="s">
        <v>164</v>
      </c>
      <c r="H71">
        <v>16.334021</v>
      </c>
      <c r="I71">
        <v>48.204065</v>
      </c>
      <c r="J71">
        <v>100</v>
      </c>
      <c r="K71" t="s">
        <v>312</v>
      </c>
      <c r="L71" t="s">
        <v>312</v>
      </c>
      <c r="M71" t="s">
        <v>312</v>
      </c>
      <c r="N71" t="s">
        <v>312</v>
      </c>
      <c r="O71" t="s">
        <v>312</v>
      </c>
      <c r="P71" t="s">
        <v>166</v>
      </c>
      <c r="R71" t="s">
        <v>345</v>
      </c>
      <c r="T71" t="s">
        <v>191</v>
      </c>
      <c r="U71" t="s">
        <v>346</v>
      </c>
    </row>
    <row r="72" spans="1:21" x14ac:dyDescent="0.25">
      <c r="A72" t="s">
        <v>347</v>
      </c>
      <c r="B72" t="s">
        <v>38</v>
      </c>
      <c r="C72" t="s">
        <v>348</v>
      </c>
      <c r="D72">
        <f t="shared" si="1"/>
        <v>-8006655857</v>
      </c>
      <c r="E72" t="s">
        <v>191</v>
      </c>
      <c r="F72" t="s">
        <v>163</v>
      </c>
      <c r="G72" t="s">
        <v>164</v>
      </c>
      <c r="H72">
        <v>16.398811340331999</v>
      </c>
      <c r="I72">
        <v>48.266426605840898</v>
      </c>
      <c r="J72">
        <v>100</v>
      </c>
      <c r="K72" t="s">
        <v>165</v>
      </c>
      <c r="L72" t="s">
        <v>165</v>
      </c>
      <c r="M72" t="s">
        <v>165</v>
      </c>
      <c r="N72" t="s">
        <v>165</v>
      </c>
      <c r="O72" t="s">
        <v>165</v>
      </c>
      <c r="P72" t="s">
        <v>166</v>
      </c>
      <c r="R72" t="s">
        <v>349</v>
      </c>
      <c r="T72" t="s">
        <v>191</v>
      </c>
      <c r="U72" t="s">
        <v>350</v>
      </c>
    </row>
    <row r="73" spans="1:21" x14ac:dyDescent="0.25">
      <c r="A73" t="s">
        <v>351</v>
      </c>
      <c r="B73" t="s">
        <v>38</v>
      </c>
      <c r="C73" t="s">
        <v>352</v>
      </c>
      <c r="D73">
        <f t="shared" si="1"/>
        <v>-8006655857</v>
      </c>
      <c r="E73" t="s">
        <v>177</v>
      </c>
      <c r="F73" t="s">
        <v>163</v>
      </c>
      <c r="G73" t="s">
        <v>164</v>
      </c>
      <c r="H73">
        <v>15.427395000000001</v>
      </c>
      <c r="I73">
        <v>47.059463999999998</v>
      </c>
      <c r="J73">
        <v>100</v>
      </c>
      <c r="K73" t="s">
        <v>253</v>
      </c>
      <c r="L73" t="s">
        <v>253</v>
      </c>
      <c r="M73" t="s">
        <v>253</v>
      </c>
      <c r="N73" t="s">
        <v>253</v>
      </c>
      <c r="O73" t="s">
        <v>253</v>
      </c>
      <c r="P73" t="s">
        <v>166</v>
      </c>
      <c r="R73" t="s">
        <v>353</v>
      </c>
      <c r="T73" t="s">
        <v>179</v>
      </c>
      <c r="U73" t="s">
        <v>354</v>
      </c>
    </row>
    <row r="74" spans="1:21" x14ac:dyDescent="0.25">
      <c r="A74" t="s">
        <v>355</v>
      </c>
      <c r="B74" t="s">
        <v>22</v>
      </c>
      <c r="C74" t="s">
        <v>356</v>
      </c>
      <c r="D74">
        <f t="shared" si="1"/>
        <v>-8006655857</v>
      </c>
      <c r="E74" t="s">
        <v>191</v>
      </c>
      <c r="F74" t="s">
        <v>163</v>
      </c>
      <c r="G74" t="s">
        <v>164</v>
      </c>
      <c r="H74">
        <v>16.384863853454501</v>
      </c>
      <c r="I74">
        <v>48.241023912382303</v>
      </c>
      <c r="J74">
        <v>100</v>
      </c>
      <c r="K74" t="s">
        <v>165</v>
      </c>
      <c r="L74" t="s">
        <v>165</v>
      </c>
      <c r="M74" t="s">
        <v>165</v>
      </c>
      <c r="N74" t="s">
        <v>165</v>
      </c>
      <c r="O74" t="s">
        <v>165</v>
      </c>
      <c r="P74" t="s">
        <v>166</v>
      </c>
      <c r="R74" t="s">
        <v>357</v>
      </c>
      <c r="T74" t="s">
        <v>191</v>
      </c>
      <c r="U74" t="s">
        <v>358</v>
      </c>
    </row>
    <row r="75" spans="1:21" x14ac:dyDescent="0.25">
      <c r="A75" t="s">
        <v>359</v>
      </c>
      <c r="B75" t="s">
        <v>22</v>
      </c>
      <c r="C75" t="s">
        <v>360</v>
      </c>
      <c r="D75">
        <f t="shared" si="1"/>
        <v>-8006655857</v>
      </c>
      <c r="E75" t="s">
        <v>285</v>
      </c>
      <c r="F75" t="s">
        <v>163</v>
      </c>
      <c r="G75" t="s">
        <v>164</v>
      </c>
      <c r="H75">
        <v>14.2906873</v>
      </c>
      <c r="I75">
        <v>48.300532500000003</v>
      </c>
      <c r="J75">
        <v>100</v>
      </c>
      <c r="K75" t="s">
        <v>184</v>
      </c>
      <c r="L75" t="s">
        <v>184</v>
      </c>
      <c r="M75" t="s">
        <v>184</v>
      </c>
      <c r="N75" t="s">
        <v>184</v>
      </c>
      <c r="O75" t="s">
        <v>184</v>
      </c>
      <c r="P75" t="s">
        <v>166</v>
      </c>
      <c r="R75" t="s">
        <v>360</v>
      </c>
      <c r="T75" t="s">
        <v>205</v>
      </c>
      <c r="U75" t="s">
        <v>361</v>
      </c>
    </row>
    <row r="76" spans="1:21" x14ac:dyDescent="0.25">
      <c r="A76" t="s">
        <v>362</v>
      </c>
      <c r="B76" t="s">
        <v>38</v>
      </c>
      <c r="C76" t="s">
        <v>363</v>
      </c>
      <c r="D76">
        <f t="shared" si="1"/>
        <v>-8006655857</v>
      </c>
      <c r="E76" t="s">
        <v>364</v>
      </c>
      <c r="F76" t="s">
        <v>163</v>
      </c>
      <c r="G76" t="s">
        <v>164</v>
      </c>
      <c r="H76">
        <v>15.2912917</v>
      </c>
      <c r="I76">
        <v>47.444577299999999</v>
      </c>
      <c r="J76">
        <v>100</v>
      </c>
      <c r="K76" t="s">
        <v>365</v>
      </c>
      <c r="L76" t="s">
        <v>365</v>
      </c>
      <c r="M76" t="s">
        <v>365</v>
      </c>
      <c r="N76" t="s">
        <v>365</v>
      </c>
      <c r="O76" t="s">
        <v>365</v>
      </c>
      <c r="P76" t="s">
        <v>166</v>
      </c>
      <c r="R76" t="s">
        <v>366</v>
      </c>
      <c r="T76" t="s">
        <v>179</v>
      </c>
      <c r="U76" t="s">
        <v>367</v>
      </c>
    </row>
    <row r="77" spans="1:21" x14ac:dyDescent="0.25">
      <c r="A77" t="s">
        <v>368</v>
      </c>
      <c r="B77" t="s">
        <v>38</v>
      </c>
      <c r="C77" t="s">
        <v>369</v>
      </c>
      <c r="D77">
        <f t="shared" si="1"/>
        <v>-8006655857</v>
      </c>
      <c r="E77" t="s">
        <v>370</v>
      </c>
      <c r="F77" t="s">
        <v>163</v>
      </c>
      <c r="G77" t="s">
        <v>164</v>
      </c>
      <c r="H77">
        <v>14.415585999999999</v>
      </c>
      <c r="I77">
        <v>48.037362000000002</v>
      </c>
      <c r="J77">
        <v>100</v>
      </c>
      <c r="K77" t="s">
        <v>198</v>
      </c>
      <c r="L77" t="s">
        <v>198</v>
      </c>
      <c r="M77" t="s">
        <v>198</v>
      </c>
      <c r="N77" t="s">
        <v>198</v>
      </c>
      <c r="O77" t="s">
        <v>165</v>
      </c>
      <c r="P77" t="s">
        <v>166</v>
      </c>
      <c r="R77" t="s">
        <v>371</v>
      </c>
      <c r="T77" t="s">
        <v>205</v>
      </c>
      <c r="U77" t="s">
        <v>372</v>
      </c>
    </row>
    <row r="78" spans="1:21" x14ac:dyDescent="0.25">
      <c r="A78" t="s">
        <v>373</v>
      </c>
      <c r="B78" t="s">
        <v>38</v>
      </c>
      <c r="C78" t="s">
        <v>374</v>
      </c>
      <c r="D78">
        <f t="shared" si="1"/>
        <v>-8006655857</v>
      </c>
      <c r="E78" t="s">
        <v>325</v>
      </c>
      <c r="F78" t="s">
        <v>163</v>
      </c>
      <c r="G78" t="s">
        <v>164</v>
      </c>
      <c r="H78">
        <v>15.6370639801025</v>
      </c>
      <c r="I78">
        <v>48.222785629159802</v>
      </c>
      <c r="J78">
        <v>100</v>
      </c>
      <c r="K78" t="s">
        <v>198</v>
      </c>
      <c r="L78" t="s">
        <v>198</v>
      </c>
      <c r="M78" t="s">
        <v>198</v>
      </c>
      <c r="N78" t="s">
        <v>165</v>
      </c>
      <c r="O78" t="s">
        <v>165</v>
      </c>
      <c r="P78" t="s">
        <v>166</v>
      </c>
      <c r="R78" t="s">
        <v>375</v>
      </c>
      <c r="T78" t="s">
        <v>187</v>
      </c>
      <c r="U78" t="s">
        <v>376</v>
      </c>
    </row>
    <row r="79" spans="1:21" x14ac:dyDescent="0.25">
      <c r="A79" t="s">
        <v>377</v>
      </c>
      <c r="B79" t="s">
        <v>38</v>
      </c>
      <c r="C79" t="s">
        <v>378</v>
      </c>
      <c r="D79">
        <f t="shared" si="1"/>
        <v>-8006655857</v>
      </c>
      <c r="E79" t="s">
        <v>379</v>
      </c>
      <c r="F79" t="s">
        <v>163</v>
      </c>
      <c r="G79" t="s">
        <v>164</v>
      </c>
      <c r="H79">
        <v>12.766083399999999</v>
      </c>
      <c r="I79">
        <v>46.829364699999999</v>
      </c>
      <c r="J79">
        <v>100</v>
      </c>
      <c r="K79" t="s">
        <v>166</v>
      </c>
      <c r="L79" t="s">
        <v>166</v>
      </c>
      <c r="M79" t="s">
        <v>166</v>
      </c>
      <c r="N79" t="s">
        <v>166</v>
      </c>
      <c r="O79" t="s">
        <v>166</v>
      </c>
      <c r="P79" t="s">
        <v>326</v>
      </c>
      <c r="R79" t="s">
        <v>380</v>
      </c>
      <c r="T79" t="s">
        <v>381</v>
      </c>
      <c r="U79" t="s">
        <v>382</v>
      </c>
    </row>
    <row r="80" spans="1:21" x14ac:dyDescent="0.25">
      <c r="A80" t="s">
        <v>383</v>
      </c>
      <c r="B80" t="s">
        <v>38</v>
      </c>
      <c r="C80" t="s">
        <v>384</v>
      </c>
      <c r="D80">
        <f t="shared" si="1"/>
        <v>-8006655857</v>
      </c>
      <c r="E80" t="s">
        <v>385</v>
      </c>
      <c r="F80" t="s">
        <v>163</v>
      </c>
      <c r="G80" t="s">
        <v>164</v>
      </c>
      <c r="H80">
        <v>12.068910598754799</v>
      </c>
      <c r="I80">
        <v>47.488151006871199</v>
      </c>
      <c r="J80">
        <v>100</v>
      </c>
      <c r="K80" t="s">
        <v>198</v>
      </c>
      <c r="L80" t="s">
        <v>198</v>
      </c>
      <c r="M80" t="s">
        <v>198</v>
      </c>
      <c r="N80" t="s">
        <v>198</v>
      </c>
      <c r="O80" t="s">
        <v>198</v>
      </c>
      <c r="P80" t="s">
        <v>166</v>
      </c>
      <c r="R80" t="s">
        <v>386</v>
      </c>
      <c r="T80" t="s">
        <v>173</v>
      </c>
      <c r="U80" t="s">
        <v>387</v>
      </c>
    </row>
    <row r="81" spans="1:21" x14ac:dyDescent="0.25">
      <c r="A81" t="s">
        <v>388</v>
      </c>
      <c r="B81" t="s">
        <v>38</v>
      </c>
      <c r="C81" t="s">
        <v>389</v>
      </c>
      <c r="D81">
        <f t="shared" si="1"/>
        <v>-8006655857</v>
      </c>
      <c r="E81" t="s">
        <v>390</v>
      </c>
      <c r="F81" t="s">
        <v>163</v>
      </c>
      <c r="G81" t="s">
        <v>164</v>
      </c>
      <c r="H81">
        <v>14.024691581726</v>
      </c>
      <c r="I81">
        <v>48.158614166910702</v>
      </c>
      <c r="J81">
        <v>100</v>
      </c>
      <c r="K81" t="s">
        <v>198</v>
      </c>
      <c r="L81" t="s">
        <v>198</v>
      </c>
      <c r="M81" t="s">
        <v>198</v>
      </c>
      <c r="N81" t="s">
        <v>198</v>
      </c>
      <c r="O81" t="s">
        <v>198</v>
      </c>
      <c r="P81" t="s">
        <v>166</v>
      </c>
      <c r="R81" t="s">
        <v>391</v>
      </c>
      <c r="T81" t="s">
        <v>205</v>
      </c>
      <c r="U81" t="s">
        <v>392</v>
      </c>
    </row>
    <row r="82" spans="1:21" x14ac:dyDescent="0.25">
      <c r="A82" t="s">
        <v>393</v>
      </c>
      <c r="B82" t="s">
        <v>38</v>
      </c>
      <c r="C82" t="s">
        <v>394</v>
      </c>
      <c r="D82">
        <f t="shared" si="1"/>
        <v>-8006655857</v>
      </c>
      <c r="E82" t="s">
        <v>395</v>
      </c>
      <c r="F82" t="s">
        <v>163</v>
      </c>
      <c r="G82" t="s">
        <v>164</v>
      </c>
      <c r="H82">
        <v>14.8689651489257</v>
      </c>
      <c r="I82">
        <v>48.121270231196299</v>
      </c>
      <c r="J82">
        <v>100</v>
      </c>
      <c r="K82" t="s">
        <v>198</v>
      </c>
      <c r="L82" t="s">
        <v>198</v>
      </c>
      <c r="M82" t="s">
        <v>198</v>
      </c>
      <c r="N82" t="s">
        <v>198</v>
      </c>
      <c r="O82" t="s">
        <v>165</v>
      </c>
      <c r="P82" t="s">
        <v>166</v>
      </c>
      <c r="R82" t="s">
        <v>396</v>
      </c>
      <c r="T82" t="s">
        <v>187</v>
      </c>
      <c r="U82" t="s">
        <v>397</v>
      </c>
    </row>
    <row r="83" spans="1:21" x14ac:dyDescent="0.25">
      <c r="A83" t="s">
        <v>398</v>
      </c>
      <c r="B83" t="s">
        <v>22</v>
      </c>
      <c r="C83" t="s">
        <v>399</v>
      </c>
      <c r="D83">
        <f t="shared" si="1"/>
        <v>-8006655857</v>
      </c>
      <c r="E83" t="s">
        <v>400</v>
      </c>
      <c r="F83" t="s">
        <v>163</v>
      </c>
      <c r="G83" t="s">
        <v>164</v>
      </c>
      <c r="H83">
        <v>9.8121643066406303</v>
      </c>
      <c r="I83">
        <v>47.150647353753797</v>
      </c>
      <c r="J83">
        <v>100</v>
      </c>
      <c r="K83" t="s">
        <v>165</v>
      </c>
      <c r="L83" t="s">
        <v>165</v>
      </c>
      <c r="M83" t="s">
        <v>165</v>
      </c>
      <c r="N83" t="s">
        <v>165</v>
      </c>
      <c r="O83" t="s">
        <v>192</v>
      </c>
      <c r="P83" t="s">
        <v>248</v>
      </c>
      <c r="R83" t="s">
        <v>401</v>
      </c>
      <c r="T83" t="s">
        <v>333</v>
      </c>
      <c r="U83" t="s">
        <v>402</v>
      </c>
    </row>
    <row r="84" spans="1:21" x14ac:dyDescent="0.25">
      <c r="A84" t="s">
        <v>403</v>
      </c>
      <c r="B84" t="s">
        <v>38</v>
      </c>
      <c r="C84" t="s">
        <v>404</v>
      </c>
      <c r="D84">
        <f t="shared" si="1"/>
        <v>-8006655857</v>
      </c>
      <c r="E84" t="s">
        <v>191</v>
      </c>
      <c r="F84" t="s">
        <v>163</v>
      </c>
      <c r="G84" t="s">
        <v>164</v>
      </c>
      <c r="H84">
        <v>16.416642665863002</v>
      </c>
      <c r="I84">
        <v>48.173949095892603</v>
      </c>
      <c r="J84">
        <v>100</v>
      </c>
      <c r="K84" t="s">
        <v>165</v>
      </c>
      <c r="L84" t="s">
        <v>165</v>
      </c>
      <c r="M84" t="s">
        <v>165</v>
      </c>
      <c r="N84" t="s">
        <v>192</v>
      </c>
      <c r="O84" t="s">
        <v>165</v>
      </c>
      <c r="P84" t="s">
        <v>166</v>
      </c>
      <c r="R84" t="s">
        <v>405</v>
      </c>
      <c r="T84" t="s">
        <v>191</v>
      </c>
      <c r="U84" t="s">
        <v>406</v>
      </c>
    </row>
    <row r="85" spans="1:21" x14ac:dyDescent="0.25">
      <c r="A85" t="s">
        <v>407</v>
      </c>
      <c r="B85" t="s">
        <v>22</v>
      </c>
      <c r="C85" t="s">
        <v>408</v>
      </c>
      <c r="D85">
        <f t="shared" si="1"/>
        <v>-8006655857</v>
      </c>
      <c r="E85" t="s">
        <v>409</v>
      </c>
      <c r="F85" t="s">
        <v>163</v>
      </c>
      <c r="G85" t="s">
        <v>164</v>
      </c>
      <c r="H85">
        <v>15.413048399999999</v>
      </c>
      <c r="I85">
        <v>47.013766099999998</v>
      </c>
      <c r="J85">
        <v>100</v>
      </c>
      <c r="K85" t="s">
        <v>253</v>
      </c>
      <c r="L85" t="s">
        <v>253</v>
      </c>
      <c r="M85" t="s">
        <v>253</v>
      </c>
      <c r="N85" t="s">
        <v>253</v>
      </c>
      <c r="O85" t="s">
        <v>253</v>
      </c>
      <c r="P85" t="s">
        <v>166</v>
      </c>
      <c r="R85" t="s">
        <v>410</v>
      </c>
      <c r="T85" t="s">
        <v>179</v>
      </c>
      <c r="U85" t="s">
        <v>411</v>
      </c>
    </row>
    <row r="86" spans="1:21" x14ac:dyDescent="0.25">
      <c r="A86" t="s">
        <v>412</v>
      </c>
      <c r="B86" t="s">
        <v>38</v>
      </c>
      <c r="C86" t="s">
        <v>413</v>
      </c>
      <c r="D86">
        <f t="shared" si="1"/>
        <v>-8006655857</v>
      </c>
      <c r="E86" t="s">
        <v>414</v>
      </c>
      <c r="F86" t="s">
        <v>163</v>
      </c>
      <c r="G86" t="s">
        <v>164</v>
      </c>
      <c r="H86">
        <v>16.5256476402282</v>
      </c>
      <c r="I86">
        <v>47.846977964659601</v>
      </c>
      <c r="J86">
        <v>100</v>
      </c>
      <c r="K86" t="s">
        <v>198</v>
      </c>
      <c r="L86" t="s">
        <v>198</v>
      </c>
      <c r="M86" t="s">
        <v>198</v>
      </c>
      <c r="N86" t="s">
        <v>198</v>
      </c>
      <c r="O86" t="s">
        <v>198</v>
      </c>
      <c r="P86" t="s">
        <v>166</v>
      </c>
      <c r="R86" t="s">
        <v>415</v>
      </c>
      <c r="T86" t="s">
        <v>273</v>
      </c>
      <c r="U86" t="s">
        <v>416</v>
      </c>
    </row>
    <row r="87" spans="1:21" x14ac:dyDescent="0.25">
      <c r="A87" t="s">
        <v>417</v>
      </c>
      <c r="B87" t="s">
        <v>22</v>
      </c>
      <c r="C87" t="s">
        <v>418</v>
      </c>
      <c r="D87">
        <f t="shared" si="1"/>
        <v>-8006655857</v>
      </c>
      <c r="E87" t="s">
        <v>177</v>
      </c>
      <c r="F87" t="s">
        <v>163</v>
      </c>
      <c r="G87" t="s">
        <v>164</v>
      </c>
      <c r="H87">
        <v>15.442078113555899</v>
      </c>
      <c r="I87">
        <v>47.068484932129103</v>
      </c>
      <c r="J87">
        <v>100</v>
      </c>
      <c r="K87" t="s">
        <v>165</v>
      </c>
      <c r="L87" t="s">
        <v>165</v>
      </c>
      <c r="M87" t="s">
        <v>165</v>
      </c>
      <c r="N87" t="s">
        <v>165</v>
      </c>
      <c r="O87" t="s">
        <v>165</v>
      </c>
      <c r="P87" t="s">
        <v>166</v>
      </c>
      <c r="R87" t="s">
        <v>419</v>
      </c>
      <c r="T87" t="s">
        <v>179</v>
      </c>
      <c r="U87" t="s">
        <v>420</v>
      </c>
    </row>
    <row r="88" spans="1:21" x14ac:dyDescent="0.25">
      <c r="A88" t="s">
        <v>421</v>
      </c>
      <c r="B88" t="s">
        <v>22</v>
      </c>
      <c r="C88" t="s">
        <v>422</v>
      </c>
      <c r="D88">
        <f t="shared" si="1"/>
        <v>-8006655857</v>
      </c>
      <c r="E88" t="s">
        <v>423</v>
      </c>
      <c r="F88" t="s">
        <v>163</v>
      </c>
      <c r="G88" t="s">
        <v>164</v>
      </c>
      <c r="H88">
        <v>9.5962572097778303</v>
      </c>
      <c r="I88">
        <v>47.237053849043903</v>
      </c>
      <c r="J88">
        <v>100</v>
      </c>
      <c r="K88" t="s">
        <v>198</v>
      </c>
      <c r="L88" t="s">
        <v>198</v>
      </c>
      <c r="M88" t="s">
        <v>198</v>
      </c>
      <c r="N88" t="s">
        <v>198</v>
      </c>
      <c r="O88" t="s">
        <v>198</v>
      </c>
      <c r="P88" t="s">
        <v>166</v>
      </c>
      <c r="R88" t="s">
        <v>424</v>
      </c>
      <c r="T88" t="s">
        <v>333</v>
      </c>
      <c r="U88" t="s">
        <v>425</v>
      </c>
    </row>
    <row r="89" spans="1:21" x14ac:dyDescent="0.25">
      <c r="A89" t="s">
        <v>426</v>
      </c>
      <c r="B89" t="s">
        <v>32</v>
      </c>
      <c r="C89" t="s">
        <v>427</v>
      </c>
      <c r="D89">
        <f t="shared" si="1"/>
        <v>-8006655857</v>
      </c>
      <c r="E89" t="s">
        <v>191</v>
      </c>
      <c r="F89" t="s">
        <v>163</v>
      </c>
      <c r="G89" t="s">
        <v>164</v>
      </c>
      <c r="H89">
        <v>16.370743999999998</v>
      </c>
      <c r="I89">
        <v>48.205074600000003</v>
      </c>
      <c r="J89">
        <v>100</v>
      </c>
      <c r="K89" t="s">
        <v>45</v>
      </c>
      <c r="L89" t="s">
        <v>45</v>
      </c>
      <c r="M89" t="s">
        <v>45</v>
      </c>
      <c r="N89" t="s">
        <v>45</v>
      </c>
      <c r="O89" t="s">
        <v>45</v>
      </c>
      <c r="P89" t="s">
        <v>428</v>
      </c>
      <c r="R89" t="s">
        <v>429</v>
      </c>
      <c r="T89" t="s">
        <v>191</v>
      </c>
      <c r="U89" t="s">
        <v>430</v>
      </c>
    </row>
    <row r="90" spans="1:21" x14ac:dyDescent="0.25">
      <c r="A90" t="s">
        <v>431</v>
      </c>
      <c r="B90" t="s">
        <v>38</v>
      </c>
      <c r="C90" t="s">
        <v>432</v>
      </c>
      <c r="D90">
        <f t="shared" si="1"/>
        <v>-8006655857</v>
      </c>
      <c r="E90" t="s">
        <v>191</v>
      </c>
      <c r="F90" t="s">
        <v>163</v>
      </c>
      <c r="G90" t="s">
        <v>164</v>
      </c>
      <c r="H90">
        <v>16.217064857482899</v>
      </c>
      <c r="I90">
        <v>48.2078585622234</v>
      </c>
      <c r="J90">
        <v>100</v>
      </c>
      <c r="K90" t="s">
        <v>192</v>
      </c>
      <c r="L90" t="s">
        <v>192</v>
      </c>
      <c r="M90" t="s">
        <v>192</v>
      </c>
      <c r="N90" t="s">
        <v>192</v>
      </c>
      <c r="O90" t="s">
        <v>192</v>
      </c>
      <c r="P90" t="s">
        <v>166</v>
      </c>
      <c r="R90" t="s">
        <v>433</v>
      </c>
      <c r="T90" t="s">
        <v>191</v>
      </c>
      <c r="U90" t="s">
        <v>434</v>
      </c>
    </row>
    <row r="91" spans="1:21" x14ac:dyDescent="0.25">
      <c r="A91" t="s">
        <v>435</v>
      </c>
      <c r="B91" t="s">
        <v>38</v>
      </c>
      <c r="C91" t="s">
        <v>436</v>
      </c>
      <c r="D91">
        <f t="shared" si="1"/>
        <v>-8006655857</v>
      </c>
      <c r="E91" t="s">
        <v>390</v>
      </c>
      <c r="F91" t="s">
        <v>163</v>
      </c>
      <c r="G91" t="s">
        <v>164</v>
      </c>
      <c r="H91">
        <v>13.9728498458862</v>
      </c>
      <c r="I91">
        <v>48.1456442378772</v>
      </c>
      <c r="J91">
        <v>100</v>
      </c>
      <c r="K91" t="s">
        <v>165</v>
      </c>
      <c r="L91" t="s">
        <v>165</v>
      </c>
      <c r="M91" t="s">
        <v>165</v>
      </c>
      <c r="N91" t="s">
        <v>165</v>
      </c>
      <c r="O91" t="s">
        <v>192</v>
      </c>
      <c r="P91" t="s">
        <v>166</v>
      </c>
      <c r="R91" t="s">
        <v>437</v>
      </c>
      <c r="T91" t="s">
        <v>205</v>
      </c>
      <c r="U91" t="s">
        <v>438</v>
      </c>
    </row>
    <row r="92" spans="1:21" x14ac:dyDescent="0.25">
      <c r="A92" t="s">
        <v>439</v>
      </c>
      <c r="B92" t="s">
        <v>38</v>
      </c>
      <c r="C92" t="s">
        <v>440</v>
      </c>
      <c r="D92">
        <f t="shared" si="1"/>
        <v>-8006655857</v>
      </c>
      <c r="E92" t="s">
        <v>441</v>
      </c>
      <c r="F92" t="s">
        <v>163</v>
      </c>
      <c r="G92" t="s">
        <v>164</v>
      </c>
      <c r="H92">
        <v>13.4912109375</v>
      </c>
      <c r="I92">
        <v>46.797650434395699</v>
      </c>
      <c r="J92">
        <v>100</v>
      </c>
      <c r="K92" t="s">
        <v>165</v>
      </c>
      <c r="L92" t="s">
        <v>165</v>
      </c>
      <c r="M92" t="s">
        <v>165</v>
      </c>
      <c r="N92" t="s">
        <v>165</v>
      </c>
      <c r="O92" t="s">
        <v>165</v>
      </c>
      <c r="P92" t="s">
        <v>442</v>
      </c>
      <c r="R92" t="s">
        <v>443</v>
      </c>
      <c r="T92" t="s">
        <v>211</v>
      </c>
      <c r="U92" t="s">
        <v>444</v>
      </c>
    </row>
    <row r="93" spans="1:21" x14ac:dyDescent="0.25">
      <c r="A93" t="s">
        <v>445</v>
      </c>
      <c r="B93" t="s">
        <v>38</v>
      </c>
      <c r="C93" t="s">
        <v>446</v>
      </c>
      <c r="D93">
        <f t="shared" si="1"/>
        <v>-8006655857</v>
      </c>
      <c r="E93" t="s">
        <v>303</v>
      </c>
      <c r="F93" t="s">
        <v>163</v>
      </c>
      <c r="G93" t="s">
        <v>164</v>
      </c>
      <c r="H93">
        <v>14.3207913</v>
      </c>
      <c r="I93">
        <v>46.613738599999998</v>
      </c>
      <c r="J93">
        <v>100</v>
      </c>
      <c r="K93" t="s">
        <v>165</v>
      </c>
      <c r="L93" t="s">
        <v>165</v>
      </c>
      <c r="M93" t="s">
        <v>165</v>
      </c>
      <c r="N93" t="s">
        <v>165</v>
      </c>
      <c r="O93" t="s">
        <v>165</v>
      </c>
      <c r="P93" t="s">
        <v>166</v>
      </c>
      <c r="R93" t="s">
        <v>447</v>
      </c>
      <c r="T93" t="s">
        <v>211</v>
      </c>
      <c r="U93" t="s">
        <v>448</v>
      </c>
    </row>
    <row r="94" spans="1:21" x14ac:dyDescent="0.25">
      <c r="A94" t="s">
        <v>449</v>
      </c>
      <c r="B94" t="s">
        <v>32</v>
      </c>
      <c r="C94" t="s">
        <v>450</v>
      </c>
      <c r="D94">
        <f t="shared" si="1"/>
        <v>-8006655857</v>
      </c>
      <c r="E94" t="s">
        <v>191</v>
      </c>
      <c r="F94" t="s">
        <v>163</v>
      </c>
      <c r="G94" t="s">
        <v>164</v>
      </c>
      <c r="H94">
        <v>16.370629699999999</v>
      </c>
      <c r="I94">
        <v>48.207958400000003</v>
      </c>
      <c r="J94">
        <v>100</v>
      </c>
      <c r="K94" t="s">
        <v>45</v>
      </c>
      <c r="L94" t="s">
        <v>45</v>
      </c>
      <c r="M94" t="s">
        <v>45</v>
      </c>
      <c r="N94" t="s">
        <v>45</v>
      </c>
      <c r="O94" t="s">
        <v>45</v>
      </c>
      <c r="P94" t="s">
        <v>428</v>
      </c>
      <c r="R94" t="s">
        <v>450</v>
      </c>
      <c r="S94" t="s">
        <v>451</v>
      </c>
      <c r="T94" t="s">
        <v>191</v>
      </c>
      <c r="U94" t="s">
        <v>452</v>
      </c>
    </row>
    <row r="95" spans="1:21" x14ac:dyDescent="0.25">
      <c r="A95" t="s">
        <v>453</v>
      </c>
      <c r="B95" t="s">
        <v>22</v>
      </c>
      <c r="C95" t="s">
        <v>454</v>
      </c>
      <c r="D95">
        <f t="shared" si="1"/>
        <v>-8006655857</v>
      </c>
      <c r="E95" t="s">
        <v>191</v>
      </c>
      <c r="F95" t="s">
        <v>163</v>
      </c>
      <c r="G95" t="s">
        <v>164</v>
      </c>
      <c r="H95">
        <v>16.366592645645099</v>
      </c>
      <c r="I95">
        <v>48.253655400450697</v>
      </c>
      <c r="J95">
        <v>100</v>
      </c>
      <c r="K95" t="s">
        <v>253</v>
      </c>
      <c r="L95" t="s">
        <v>253</v>
      </c>
      <c r="M95" t="s">
        <v>253</v>
      </c>
      <c r="N95" t="s">
        <v>253</v>
      </c>
      <c r="O95" t="s">
        <v>253</v>
      </c>
      <c r="P95" t="s">
        <v>166</v>
      </c>
      <c r="R95" t="s">
        <v>454</v>
      </c>
      <c r="S95" t="s">
        <v>455</v>
      </c>
      <c r="T95" t="s">
        <v>191</v>
      </c>
      <c r="U95" t="s">
        <v>456</v>
      </c>
    </row>
    <row r="96" spans="1:21" x14ac:dyDescent="0.25">
      <c r="A96" t="s">
        <v>457</v>
      </c>
      <c r="B96" t="s">
        <v>22</v>
      </c>
      <c r="C96" t="s">
        <v>458</v>
      </c>
      <c r="D96">
        <f t="shared" si="1"/>
        <v>-8006655857</v>
      </c>
      <c r="E96" t="s">
        <v>459</v>
      </c>
      <c r="F96" t="s">
        <v>163</v>
      </c>
      <c r="G96" t="s">
        <v>164</v>
      </c>
      <c r="H96">
        <v>13.8359808</v>
      </c>
      <c r="I96">
        <v>46.596244300000002</v>
      </c>
      <c r="J96">
        <v>100</v>
      </c>
      <c r="K96" t="s">
        <v>253</v>
      </c>
      <c r="L96" t="s">
        <v>253</v>
      </c>
      <c r="M96" t="s">
        <v>253</v>
      </c>
      <c r="N96" t="s">
        <v>253</v>
      </c>
      <c r="O96" t="s">
        <v>253</v>
      </c>
      <c r="P96" t="s">
        <v>166</v>
      </c>
      <c r="R96" t="s">
        <v>458</v>
      </c>
      <c r="S96" t="s">
        <v>460</v>
      </c>
      <c r="T96" t="s">
        <v>211</v>
      </c>
      <c r="U96" t="s">
        <v>461</v>
      </c>
    </row>
    <row r="97" spans="1:21" x14ac:dyDescent="0.25">
      <c r="A97" t="s">
        <v>462</v>
      </c>
      <c r="B97" t="s">
        <v>22</v>
      </c>
      <c r="C97" t="s">
        <v>463</v>
      </c>
      <c r="D97">
        <f t="shared" si="1"/>
        <v>-8006655857</v>
      </c>
      <c r="E97" t="s">
        <v>303</v>
      </c>
      <c r="F97" t="s">
        <v>163</v>
      </c>
      <c r="G97" t="s">
        <v>164</v>
      </c>
      <c r="H97">
        <v>14.308533668518001</v>
      </c>
      <c r="I97">
        <v>46.626570618798503</v>
      </c>
      <c r="J97">
        <v>100</v>
      </c>
      <c r="K97" t="s">
        <v>253</v>
      </c>
      <c r="L97" t="s">
        <v>253</v>
      </c>
      <c r="M97" t="s">
        <v>253</v>
      </c>
      <c r="N97" t="s">
        <v>253</v>
      </c>
      <c r="O97" t="s">
        <v>253</v>
      </c>
      <c r="P97" t="s">
        <v>166</v>
      </c>
      <c r="R97" t="s">
        <v>464</v>
      </c>
      <c r="T97" t="s">
        <v>211</v>
      </c>
      <c r="U97" t="s">
        <v>465</v>
      </c>
    </row>
    <row r="98" spans="1:21" x14ac:dyDescent="0.25">
      <c r="A98" t="s">
        <v>466</v>
      </c>
      <c r="B98" t="s">
        <v>38</v>
      </c>
      <c r="C98" t="s">
        <v>467</v>
      </c>
      <c r="D98">
        <f t="shared" si="1"/>
        <v>-8006655857</v>
      </c>
      <c r="E98" t="s">
        <v>468</v>
      </c>
      <c r="F98" t="s">
        <v>163</v>
      </c>
      <c r="G98" t="s">
        <v>164</v>
      </c>
      <c r="H98">
        <v>15.095388</v>
      </c>
      <c r="I98">
        <v>47.382010399999999</v>
      </c>
      <c r="J98">
        <v>100</v>
      </c>
      <c r="K98" t="s">
        <v>165</v>
      </c>
      <c r="L98" t="s">
        <v>165</v>
      </c>
      <c r="M98" t="s">
        <v>165</v>
      </c>
      <c r="N98" t="s">
        <v>165</v>
      </c>
      <c r="O98" t="s">
        <v>165</v>
      </c>
      <c r="P98" t="s">
        <v>166</v>
      </c>
      <c r="R98" t="s">
        <v>469</v>
      </c>
      <c r="T98" t="s">
        <v>179</v>
      </c>
      <c r="U98" t="s">
        <v>470</v>
      </c>
    </row>
    <row r="99" spans="1:21" x14ac:dyDescent="0.25">
      <c r="A99" t="s">
        <v>471</v>
      </c>
      <c r="B99" t="s">
        <v>22</v>
      </c>
      <c r="C99" t="s">
        <v>472</v>
      </c>
      <c r="D99">
        <f t="shared" ref="D99:D111" si="2">43-8006655900</f>
        <v>-8006655857</v>
      </c>
      <c r="E99" t="s">
        <v>295</v>
      </c>
      <c r="F99" t="s">
        <v>163</v>
      </c>
      <c r="G99" t="s">
        <v>164</v>
      </c>
      <c r="H99">
        <v>11.404213199999999</v>
      </c>
      <c r="I99">
        <v>47.265908199999998</v>
      </c>
      <c r="J99">
        <v>100</v>
      </c>
      <c r="K99" t="s">
        <v>165</v>
      </c>
      <c r="L99" t="s">
        <v>165</v>
      </c>
      <c r="M99" t="s">
        <v>165</v>
      </c>
      <c r="N99" t="s">
        <v>192</v>
      </c>
      <c r="O99" t="s">
        <v>192</v>
      </c>
      <c r="P99" t="s">
        <v>166</v>
      </c>
      <c r="R99" t="s">
        <v>473</v>
      </c>
      <c r="T99" t="s">
        <v>173</v>
      </c>
      <c r="U99" t="s">
        <v>474</v>
      </c>
    </row>
    <row r="100" spans="1:21" x14ac:dyDescent="0.25">
      <c r="A100" t="s">
        <v>475</v>
      </c>
      <c r="B100" t="s">
        <v>22</v>
      </c>
      <c r="C100" t="s">
        <v>476</v>
      </c>
      <c r="D100">
        <f t="shared" si="2"/>
        <v>-8006655857</v>
      </c>
      <c r="E100" t="s">
        <v>285</v>
      </c>
      <c r="F100" t="s">
        <v>163</v>
      </c>
      <c r="G100" t="s">
        <v>164</v>
      </c>
      <c r="H100">
        <v>14.2881778</v>
      </c>
      <c r="I100">
        <v>48.303977199999999</v>
      </c>
      <c r="J100">
        <v>100</v>
      </c>
      <c r="K100" t="s">
        <v>184</v>
      </c>
      <c r="L100" t="s">
        <v>184</v>
      </c>
      <c r="M100" t="s">
        <v>184</v>
      </c>
      <c r="N100" t="s">
        <v>184</v>
      </c>
      <c r="O100" t="s">
        <v>184</v>
      </c>
      <c r="P100" t="s">
        <v>166</v>
      </c>
      <c r="R100" t="s">
        <v>476</v>
      </c>
      <c r="T100" t="s">
        <v>205</v>
      </c>
      <c r="U100" t="s">
        <v>477</v>
      </c>
    </row>
    <row r="101" spans="1:21" x14ac:dyDescent="0.25">
      <c r="A101" t="s">
        <v>478</v>
      </c>
      <c r="B101" t="s">
        <v>38</v>
      </c>
      <c r="C101" t="s">
        <v>479</v>
      </c>
      <c r="D101">
        <f t="shared" si="2"/>
        <v>-8006655857</v>
      </c>
      <c r="E101" t="s">
        <v>480</v>
      </c>
      <c r="F101" t="s">
        <v>163</v>
      </c>
      <c r="G101" t="s">
        <v>164</v>
      </c>
      <c r="H101">
        <v>12.795016499999999</v>
      </c>
      <c r="I101">
        <v>47.298510299999997</v>
      </c>
      <c r="J101">
        <v>100</v>
      </c>
      <c r="K101" t="s">
        <v>198</v>
      </c>
      <c r="L101" t="s">
        <v>198</v>
      </c>
      <c r="M101" t="s">
        <v>198</v>
      </c>
      <c r="N101" t="s">
        <v>198</v>
      </c>
      <c r="O101" t="s">
        <v>198</v>
      </c>
      <c r="P101" t="s">
        <v>166</v>
      </c>
      <c r="R101" t="s">
        <v>481</v>
      </c>
      <c r="T101" t="s">
        <v>162</v>
      </c>
      <c r="U101" t="s">
        <v>482</v>
      </c>
    </row>
    <row r="102" spans="1:21" x14ac:dyDescent="0.25">
      <c r="A102" t="s">
        <v>483</v>
      </c>
      <c r="B102" t="s">
        <v>22</v>
      </c>
      <c r="C102" t="s">
        <v>484</v>
      </c>
      <c r="D102">
        <f t="shared" si="2"/>
        <v>-8006655857</v>
      </c>
      <c r="E102" t="s">
        <v>409</v>
      </c>
      <c r="F102" t="s">
        <v>163</v>
      </c>
      <c r="G102" t="s">
        <v>164</v>
      </c>
      <c r="H102">
        <v>15.413697000000001</v>
      </c>
      <c r="I102">
        <v>47.013410899999997</v>
      </c>
      <c r="J102">
        <v>100</v>
      </c>
      <c r="K102" t="s">
        <v>253</v>
      </c>
      <c r="L102" t="s">
        <v>253</v>
      </c>
      <c r="M102" t="s">
        <v>253</v>
      </c>
      <c r="N102" t="s">
        <v>253</v>
      </c>
      <c r="O102" t="s">
        <v>253</v>
      </c>
      <c r="P102" t="s">
        <v>166</v>
      </c>
      <c r="R102" t="s">
        <v>485</v>
      </c>
      <c r="S102" t="s">
        <v>486</v>
      </c>
      <c r="T102" t="s">
        <v>179</v>
      </c>
      <c r="U102" t="s">
        <v>487</v>
      </c>
    </row>
    <row r="103" spans="1:21" x14ac:dyDescent="0.25">
      <c r="A103" t="s">
        <v>488</v>
      </c>
      <c r="B103" t="s">
        <v>22</v>
      </c>
      <c r="C103" t="s">
        <v>489</v>
      </c>
      <c r="D103">
        <f t="shared" si="2"/>
        <v>-8006655857</v>
      </c>
      <c r="E103" t="s">
        <v>490</v>
      </c>
      <c r="F103" t="s">
        <v>163</v>
      </c>
      <c r="G103" t="s">
        <v>164</v>
      </c>
      <c r="H103">
        <v>16.186208724975501</v>
      </c>
      <c r="I103">
        <v>47.286601834042102</v>
      </c>
      <c r="J103">
        <v>100</v>
      </c>
      <c r="K103" t="s">
        <v>165</v>
      </c>
      <c r="L103" t="s">
        <v>165</v>
      </c>
      <c r="M103" t="s">
        <v>165</v>
      </c>
      <c r="N103" t="s">
        <v>165</v>
      </c>
      <c r="O103" t="s">
        <v>165</v>
      </c>
      <c r="P103" t="s">
        <v>166</v>
      </c>
      <c r="R103" t="s">
        <v>489</v>
      </c>
      <c r="S103" t="s">
        <v>491</v>
      </c>
      <c r="T103" t="s">
        <v>273</v>
      </c>
      <c r="U103" t="s">
        <v>492</v>
      </c>
    </row>
    <row r="104" spans="1:21" x14ac:dyDescent="0.25">
      <c r="A104" t="s">
        <v>493</v>
      </c>
      <c r="B104" t="s">
        <v>38</v>
      </c>
      <c r="C104" t="s">
        <v>494</v>
      </c>
      <c r="D104">
        <f t="shared" si="2"/>
        <v>-8006655857</v>
      </c>
      <c r="E104" t="s">
        <v>191</v>
      </c>
      <c r="F104" t="s">
        <v>163</v>
      </c>
      <c r="G104" t="s">
        <v>164</v>
      </c>
      <c r="H104">
        <v>16.2794637680053</v>
      </c>
      <c r="I104">
        <v>48.137053076500798</v>
      </c>
      <c r="J104">
        <v>100</v>
      </c>
      <c r="K104" t="s">
        <v>192</v>
      </c>
      <c r="L104" t="s">
        <v>192</v>
      </c>
      <c r="M104" t="s">
        <v>192</v>
      </c>
      <c r="N104" t="s">
        <v>192</v>
      </c>
      <c r="O104" t="s">
        <v>192</v>
      </c>
      <c r="P104" t="s">
        <v>166</v>
      </c>
      <c r="R104" t="s">
        <v>495</v>
      </c>
      <c r="T104" t="s">
        <v>191</v>
      </c>
      <c r="U104" t="s">
        <v>496</v>
      </c>
    </row>
    <row r="105" spans="1:21" x14ac:dyDescent="0.25">
      <c r="A105" t="s">
        <v>497</v>
      </c>
      <c r="B105" t="s">
        <v>38</v>
      </c>
      <c r="C105" t="s">
        <v>498</v>
      </c>
      <c r="D105">
        <f t="shared" si="2"/>
        <v>-8006655857</v>
      </c>
      <c r="E105" t="s">
        <v>499</v>
      </c>
      <c r="F105" t="s">
        <v>163</v>
      </c>
      <c r="G105" t="s">
        <v>164</v>
      </c>
      <c r="H105">
        <v>14.244552254676799</v>
      </c>
      <c r="I105">
        <v>47.564574865998701</v>
      </c>
      <c r="J105">
        <v>100</v>
      </c>
      <c r="K105" t="s">
        <v>198</v>
      </c>
      <c r="L105" t="s">
        <v>198</v>
      </c>
      <c r="M105" t="s">
        <v>198</v>
      </c>
      <c r="N105" t="s">
        <v>198</v>
      </c>
      <c r="O105" t="s">
        <v>198</v>
      </c>
      <c r="P105" t="s">
        <v>166</v>
      </c>
      <c r="R105" t="s">
        <v>500</v>
      </c>
      <c r="T105" t="s">
        <v>179</v>
      </c>
      <c r="U105" t="s">
        <v>501</v>
      </c>
    </row>
    <row r="106" spans="1:21" x14ac:dyDescent="0.25">
      <c r="A106" t="s">
        <v>502</v>
      </c>
      <c r="B106" t="s">
        <v>22</v>
      </c>
      <c r="C106" t="s">
        <v>503</v>
      </c>
      <c r="D106">
        <f t="shared" si="2"/>
        <v>-8006655857</v>
      </c>
      <c r="E106" t="s">
        <v>504</v>
      </c>
      <c r="F106" t="s">
        <v>163</v>
      </c>
      <c r="G106" t="s">
        <v>164</v>
      </c>
      <c r="H106">
        <v>13.668585</v>
      </c>
      <c r="I106">
        <v>48.002958700000001</v>
      </c>
      <c r="J106">
        <v>100</v>
      </c>
      <c r="K106" t="s">
        <v>165</v>
      </c>
      <c r="L106" t="s">
        <v>165</v>
      </c>
      <c r="M106" t="s">
        <v>165</v>
      </c>
      <c r="N106" t="s">
        <v>165</v>
      </c>
      <c r="O106" t="s">
        <v>165</v>
      </c>
      <c r="P106" t="s">
        <v>166</v>
      </c>
      <c r="R106" t="s">
        <v>505</v>
      </c>
      <c r="T106" t="s">
        <v>205</v>
      </c>
      <c r="U106" t="s">
        <v>506</v>
      </c>
    </row>
    <row r="107" spans="1:21" x14ac:dyDescent="0.25">
      <c r="A107" t="s">
        <v>507</v>
      </c>
      <c r="B107" t="s">
        <v>38</v>
      </c>
      <c r="C107" t="s">
        <v>508</v>
      </c>
      <c r="D107">
        <f t="shared" si="2"/>
        <v>-8006655857</v>
      </c>
      <c r="E107" t="s">
        <v>509</v>
      </c>
      <c r="F107" t="s">
        <v>163</v>
      </c>
      <c r="G107" t="s">
        <v>164</v>
      </c>
      <c r="H107">
        <v>11.0696804523468</v>
      </c>
      <c r="I107">
        <v>47.3054550132399</v>
      </c>
      <c r="J107">
        <v>100</v>
      </c>
      <c r="K107" t="s">
        <v>166</v>
      </c>
      <c r="L107" t="s">
        <v>166</v>
      </c>
      <c r="M107" t="s">
        <v>166</v>
      </c>
      <c r="N107" t="s">
        <v>166</v>
      </c>
      <c r="O107" t="s">
        <v>166</v>
      </c>
      <c r="P107" t="s">
        <v>326</v>
      </c>
      <c r="R107" t="s">
        <v>510</v>
      </c>
      <c r="T107" t="s">
        <v>173</v>
      </c>
      <c r="U107" t="s">
        <v>511</v>
      </c>
    </row>
    <row r="108" spans="1:21" x14ac:dyDescent="0.25">
      <c r="A108" t="s">
        <v>512</v>
      </c>
      <c r="B108" t="s">
        <v>22</v>
      </c>
      <c r="C108" t="s">
        <v>513</v>
      </c>
      <c r="D108">
        <f t="shared" si="2"/>
        <v>-8006655857</v>
      </c>
      <c r="E108" t="s">
        <v>162</v>
      </c>
      <c r="F108" t="s">
        <v>163</v>
      </c>
      <c r="G108" t="s">
        <v>164</v>
      </c>
      <c r="H108">
        <v>13.0437755584716</v>
      </c>
      <c r="I108">
        <v>47.800039843538002</v>
      </c>
      <c r="J108">
        <v>100</v>
      </c>
      <c r="K108" t="s">
        <v>184</v>
      </c>
      <c r="L108" t="s">
        <v>184</v>
      </c>
      <c r="M108" t="s">
        <v>184</v>
      </c>
      <c r="N108" t="s">
        <v>184</v>
      </c>
      <c r="O108" t="s">
        <v>184</v>
      </c>
      <c r="P108" t="s">
        <v>166</v>
      </c>
      <c r="R108" t="s">
        <v>514</v>
      </c>
      <c r="T108" t="s">
        <v>162</v>
      </c>
      <c r="U108" t="s">
        <v>515</v>
      </c>
    </row>
    <row r="109" spans="1:21" x14ac:dyDescent="0.25">
      <c r="A109" t="s">
        <v>516</v>
      </c>
      <c r="B109" t="s">
        <v>22</v>
      </c>
      <c r="C109" t="s">
        <v>517</v>
      </c>
      <c r="D109">
        <f t="shared" si="2"/>
        <v>-8006655857</v>
      </c>
      <c r="E109" t="s">
        <v>295</v>
      </c>
      <c r="F109" t="s">
        <v>163</v>
      </c>
      <c r="G109" t="s">
        <v>164</v>
      </c>
      <c r="H109">
        <v>11.394304399999999</v>
      </c>
      <c r="I109">
        <v>47.265614300000003</v>
      </c>
      <c r="J109">
        <v>100</v>
      </c>
      <c r="K109" t="s">
        <v>165</v>
      </c>
      <c r="L109" t="s">
        <v>165</v>
      </c>
      <c r="M109" t="s">
        <v>165</v>
      </c>
      <c r="N109" t="s">
        <v>165</v>
      </c>
      <c r="O109" t="s">
        <v>165</v>
      </c>
      <c r="P109" t="s">
        <v>166</v>
      </c>
      <c r="R109" t="s">
        <v>518</v>
      </c>
      <c r="T109" t="s">
        <v>173</v>
      </c>
      <c r="U109" t="s">
        <v>519</v>
      </c>
    </row>
    <row r="110" spans="1:21" x14ac:dyDescent="0.25">
      <c r="A110" t="s">
        <v>520</v>
      </c>
      <c r="B110" t="s">
        <v>38</v>
      </c>
      <c r="C110" t="s">
        <v>521</v>
      </c>
      <c r="D110">
        <f t="shared" si="2"/>
        <v>-8006655857</v>
      </c>
      <c r="E110" t="s">
        <v>522</v>
      </c>
      <c r="F110" t="s">
        <v>163</v>
      </c>
      <c r="G110" t="s">
        <v>164</v>
      </c>
      <c r="H110">
        <v>12.1702766418457</v>
      </c>
      <c r="I110">
        <v>47.584515552636297</v>
      </c>
      <c r="J110">
        <v>100</v>
      </c>
      <c r="K110" t="s">
        <v>198</v>
      </c>
      <c r="L110" t="s">
        <v>198</v>
      </c>
      <c r="M110" t="s">
        <v>198</v>
      </c>
      <c r="N110" t="s">
        <v>198</v>
      </c>
      <c r="O110" t="s">
        <v>198</v>
      </c>
      <c r="P110" t="s">
        <v>166</v>
      </c>
      <c r="R110" t="s">
        <v>523</v>
      </c>
      <c r="T110" t="s">
        <v>173</v>
      </c>
      <c r="U110" t="s">
        <v>524</v>
      </c>
    </row>
    <row r="111" spans="1:21" x14ac:dyDescent="0.25">
      <c r="A111" t="s">
        <v>525</v>
      </c>
      <c r="B111" t="s">
        <v>38</v>
      </c>
      <c r="C111" t="s">
        <v>526</v>
      </c>
      <c r="D111">
        <f t="shared" si="2"/>
        <v>-8006655857</v>
      </c>
      <c r="E111" t="s">
        <v>527</v>
      </c>
      <c r="F111" t="s">
        <v>163</v>
      </c>
      <c r="G111" t="s">
        <v>164</v>
      </c>
      <c r="H111">
        <v>15.5563402175903</v>
      </c>
      <c r="I111">
        <v>46.795740774769101</v>
      </c>
      <c r="J111">
        <v>100</v>
      </c>
      <c r="K111" t="s">
        <v>165</v>
      </c>
      <c r="L111" t="s">
        <v>165</v>
      </c>
      <c r="M111" t="s">
        <v>165</v>
      </c>
      <c r="N111" t="s">
        <v>165</v>
      </c>
      <c r="O111" t="s">
        <v>165</v>
      </c>
      <c r="P111" t="s">
        <v>166</v>
      </c>
      <c r="R111" t="s">
        <v>528</v>
      </c>
      <c r="T111" t="s">
        <v>179</v>
      </c>
      <c r="U111" t="s">
        <v>529</v>
      </c>
    </row>
    <row r="112" spans="1:21" x14ac:dyDescent="0.25">
      <c r="A112" t="s">
        <v>530</v>
      </c>
      <c r="B112" t="s">
        <v>32</v>
      </c>
      <c r="C112" t="s">
        <v>531</v>
      </c>
      <c r="D112">
        <f t="shared" ref="D112:D147" si="3">61-1300401300</f>
        <v>-1300401239</v>
      </c>
      <c r="E112" t="s">
        <v>532</v>
      </c>
      <c r="F112" t="s">
        <v>533</v>
      </c>
      <c r="G112" t="s">
        <v>534</v>
      </c>
      <c r="H112">
        <v>144.963498814595</v>
      </c>
      <c r="I112">
        <v>-37.814005512520097</v>
      </c>
      <c r="J112">
        <v>255</v>
      </c>
      <c r="K112" t="s">
        <v>535</v>
      </c>
      <c r="L112" t="s">
        <v>535</v>
      </c>
      <c r="M112" t="s">
        <v>535</v>
      </c>
      <c r="N112" t="s">
        <v>536</v>
      </c>
      <c r="O112" t="s">
        <v>536</v>
      </c>
      <c r="P112" t="s">
        <v>45</v>
      </c>
      <c r="Q112" t="s">
        <v>535</v>
      </c>
      <c r="R112" t="s">
        <v>537</v>
      </c>
      <c r="T112" t="s">
        <v>538</v>
      </c>
      <c r="U112" t="s">
        <v>539</v>
      </c>
    </row>
    <row r="113" spans="1:21" x14ac:dyDescent="0.25">
      <c r="A113" t="s">
        <v>540</v>
      </c>
      <c r="B113" t="s">
        <v>32</v>
      </c>
      <c r="C113" t="s">
        <v>541</v>
      </c>
      <c r="D113">
        <f t="shared" si="3"/>
        <v>-1300401239</v>
      </c>
      <c r="E113" t="s">
        <v>542</v>
      </c>
      <c r="F113" t="s">
        <v>533</v>
      </c>
      <c r="G113" t="s">
        <v>534</v>
      </c>
      <c r="H113">
        <v>151.208389204166</v>
      </c>
      <c r="I113">
        <v>-33.869413387035102</v>
      </c>
      <c r="J113">
        <v>255</v>
      </c>
      <c r="K113" t="s">
        <v>184</v>
      </c>
      <c r="L113" t="s">
        <v>184</v>
      </c>
      <c r="M113" t="s">
        <v>184</v>
      </c>
      <c r="N113" t="s">
        <v>290</v>
      </c>
      <c r="O113" t="s">
        <v>185</v>
      </c>
      <c r="P113" t="s">
        <v>184</v>
      </c>
      <c r="Q113" t="s">
        <v>535</v>
      </c>
      <c r="R113" t="s">
        <v>543</v>
      </c>
      <c r="T113" t="s">
        <v>544</v>
      </c>
      <c r="U113" t="s">
        <v>545</v>
      </c>
    </row>
    <row r="114" spans="1:21" x14ac:dyDescent="0.25">
      <c r="A114" t="s">
        <v>546</v>
      </c>
      <c r="B114" t="s">
        <v>22</v>
      </c>
      <c r="C114" t="s">
        <v>547</v>
      </c>
      <c r="D114">
        <f t="shared" si="3"/>
        <v>-1300401239</v>
      </c>
      <c r="E114" t="s">
        <v>542</v>
      </c>
      <c r="F114" t="s">
        <v>533</v>
      </c>
      <c r="G114" t="s">
        <v>534</v>
      </c>
      <c r="H114">
        <v>151.119429</v>
      </c>
      <c r="I114">
        <v>-33.775820000000003</v>
      </c>
      <c r="J114">
        <v>255</v>
      </c>
      <c r="K114" t="s">
        <v>262</v>
      </c>
      <c r="L114" t="s">
        <v>262</v>
      </c>
      <c r="M114" t="s">
        <v>262</v>
      </c>
      <c r="N114" t="s">
        <v>290</v>
      </c>
      <c r="O114" t="s">
        <v>262</v>
      </c>
      <c r="P114" t="s">
        <v>166</v>
      </c>
      <c r="Q114" t="s">
        <v>428</v>
      </c>
      <c r="R114" t="s">
        <v>548</v>
      </c>
      <c r="T114" t="s">
        <v>544</v>
      </c>
      <c r="U114" t="s">
        <v>549</v>
      </c>
    </row>
    <row r="115" spans="1:21" x14ac:dyDescent="0.25">
      <c r="A115" t="s">
        <v>550</v>
      </c>
      <c r="B115" t="s">
        <v>22</v>
      </c>
      <c r="C115" t="s">
        <v>551</v>
      </c>
      <c r="D115">
        <f t="shared" si="3"/>
        <v>-1300401239</v>
      </c>
      <c r="E115" t="s">
        <v>552</v>
      </c>
      <c r="F115" t="s">
        <v>533</v>
      </c>
      <c r="G115" t="s">
        <v>534</v>
      </c>
      <c r="H115">
        <v>153.08207126022899</v>
      </c>
      <c r="I115">
        <v>-27.5630409376685</v>
      </c>
      <c r="J115">
        <v>255</v>
      </c>
      <c r="K115" t="s">
        <v>442</v>
      </c>
      <c r="L115" t="s">
        <v>442</v>
      </c>
      <c r="M115" t="s">
        <v>442</v>
      </c>
      <c r="N115" t="s">
        <v>312</v>
      </c>
      <c r="O115" t="s">
        <v>442</v>
      </c>
      <c r="P115" t="s">
        <v>326</v>
      </c>
      <c r="Q115" t="s">
        <v>553</v>
      </c>
      <c r="R115" t="s">
        <v>554</v>
      </c>
      <c r="T115" t="s">
        <v>555</v>
      </c>
      <c r="U115" t="s">
        <v>556</v>
      </c>
    </row>
    <row r="116" spans="1:21" x14ac:dyDescent="0.25">
      <c r="A116" t="s">
        <v>557</v>
      </c>
      <c r="B116" t="s">
        <v>22</v>
      </c>
      <c r="C116" t="s">
        <v>558</v>
      </c>
      <c r="D116">
        <f t="shared" si="3"/>
        <v>-1300401239</v>
      </c>
      <c r="E116" t="s">
        <v>552</v>
      </c>
      <c r="F116" t="s">
        <v>533</v>
      </c>
      <c r="G116" t="s">
        <v>534</v>
      </c>
      <c r="H116">
        <v>152.97177699999901</v>
      </c>
      <c r="I116">
        <v>-27.501124000000001</v>
      </c>
      <c r="J116">
        <v>255</v>
      </c>
      <c r="K116" t="s">
        <v>442</v>
      </c>
      <c r="L116" t="s">
        <v>442</v>
      </c>
      <c r="M116" t="s">
        <v>442</v>
      </c>
      <c r="N116" t="s">
        <v>312</v>
      </c>
      <c r="O116" t="s">
        <v>442</v>
      </c>
      <c r="P116" t="s">
        <v>326</v>
      </c>
      <c r="Q116" t="s">
        <v>553</v>
      </c>
      <c r="R116" t="s">
        <v>559</v>
      </c>
      <c r="T116" t="s">
        <v>555</v>
      </c>
      <c r="U116" t="s">
        <v>560</v>
      </c>
    </row>
    <row r="117" spans="1:21" x14ac:dyDescent="0.25">
      <c r="A117" t="s">
        <v>561</v>
      </c>
      <c r="B117" t="s">
        <v>22</v>
      </c>
      <c r="C117" t="s">
        <v>562</v>
      </c>
      <c r="D117">
        <f t="shared" si="3"/>
        <v>-1300401239</v>
      </c>
      <c r="E117" t="s">
        <v>563</v>
      </c>
      <c r="F117" t="s">
        <v>533</v>
      </c>
      <c r="G117" t="s">
        <v>534</v>
      </c>
      <c r="H117">
        <v>115.76770967889099</v>
      </c>
      <c r="I117">
        <v>-31.7439740017014</v>
      </c>
      <c r="J117">
        <v>225</v>
      </c>
      <c r="K117" t="s">
        <v>442</v>
      </c>
      <c r="L117" t="s">
        <v>442</v>
      </c>
      <c r="M117" t="s">
        <v>442</v>
      </c>
      <c r="N117" t="s">
        <v>312</v>
      </c>
      <c r="O117" t="s">
        <v>442</v>
      </c>
      <c r="P117" t="s">
        <v>326</v>
      </c>
      <c r="Q117" t="s">
        <v>564</v>
      </c>
      <c r="R117" t="s">
        <v>565</v>
      </c>
      <c r="T117" t="s">
        <v>566</v>
      </c>
      <c r="U117" t="s">
        <v>567</v>
      </c>
    </row>
    <row r="118" spans="1:21" x14ac:dyDescent="0.25">
      <c r="A118" t="s">
        <v>568</v>
      </c>
      <c r="B118" t="s">
        <v>22</v>
      </c>
      <c r="C118" t="s">
        <v>569</v>
      </c>
      <c r="D118">
        <f t="shared" si="3"/>
        <v>-1300401239</v>
      </c>
      <c r="E118" t="s">
        <v>532</v>
      </c>
      <c r="F118" t="s">
        <v>533</v>
      </c>
      <c r="G118" t="s">
        <v>534</v>
      </c>
      <c r="H118">
        <v>145.22977355888301</v>
      </c>
      <c r="I118">
        <v>-37.814026479625298</v>
      </c>
      <c r="J118">
        <v>255</v>
      </c>
      <c r="K118" t="s">
        <v>442</v>
      </c>
      <c r="L118" t="s">
        <v>442</v>
      </c>
      <c r="M118" t="s">
        <v>442</v>
      </c>
      <c r="N118" t="s">
        <v>312</v>
      </c>
      <c r="O118" t="s">
        <v>312</v>
      </c>
      <c r="P118" t="s">
        <v>326</v>
      </c>
      <c r="Q118" t="s">
        <v>553</v>
      </c>
      <c r="R118" t="s">
        <v>570</v>
      </c>
      <c r="T118" t="s">
        <v>538</v>
      </c>
      <c r="U118" t="s">
        <v>571</v>
      </c>
    </row>
    <row r="119" spans="1:21" x14ac:dyDescent="0.25">
      <c r="A119" t="s">
        <v>572</v>
      </c>
      <c r="B119" t="s">
        <v>32</v>
      </c>
      <c r="C119" t="s">
        <v>573</v>
      </c>
      <c r="D119">
        <f t="shared" si="3"/>
        <v>-1300401239</v>
      </c>
      <c r="E119" t="s">
        <v>552</v>
      </c>
      <c r="F119" t="s">
        <v>533</v>
      </c>
      <c r="G119" t="s">
        <v>534</v>
      </c>
      <c r="H119">
        <v>153.02579046112899</v>
      </c>
      <c r="I119">
        <v>-27.468920121070301</v>
      </c>
      <c r="J119">
        <v>255</v>
      </c>
      <c r="K119" t="s">
        <v>165</v>
      </c>
      <c r="L119" t="s">
        <v>165</v>
      </c>
      <c r="M119" t="s">
        <v>165</v>
      </c>
      <c r="N119" t="s">
        <v>165</v>
      </c>
      <c r="O119" t="s">
        <v>312</v>
      </c>
      <c r="P119" t="s">
        <v>166</v>
      </c>
      <c r="Q119" t="s">
        <v>553</v>
      </c>
      <c r="R119" t="s">
        <v>574</v>
      </c>
      <c r="T119" t="s">
        <v>555</v>
      </c>
      <c r="U119" t="s">
        <v>575</v>
      </c>
    </row>
    <row r="120" spans="1:21" x14ac:dyDescent="0.25">
      <c r="A120" t="s">
        <v>576</v>
      </c>
      <c r="B120" t="s">
        <v>32</v>
      </c>
      <c r="C120" t="s">
        <v>577</v>
      </c>
      <c r="D120">
        <f t="shared" si="3"/>
        <v>-1300401239</v>
      </c>
      <c r="E120" t="s">
        <v>563</v>
      </c>
      <c r="F120" t="s">
        <v>533</v>
      </c>
      <c r="G120" t="s">
        <v>534</v>
      </c>
      <c r="H120">
        <v>115.8570471</v>
      </c>
      <c r="I120">
        <v>-31.9535132</v>
      </c>
      <c r="J120">
        <v>225</v>
      </c>
      <c r="K120" t="s">
        <v>262</v>
      </c>
      <c r="L120" t="s">
        <v>262</v>
      </c>
      <c r="M120" t="s">
        <v>262</v>
      </c>
      <c r="N120" t="s">
        <v>262</v>
      </c>
      <c r="O120" t="s">
        <v>290</v>
      </c>
      <c r="P120" t="s">
        <v>578</v>
      </c>
      <c r="Q120" t="s">
        <v>564</v>
      </c>
      <c r="R120" t="s">
        <v>579</v>
      </c>
      <c r="T120" t="s">
        <v>566</v>
      </c>
      <c r="U120" t="s">
        <v>580</v>
      </c>
    </row>
    <row r="121" spans="1:21" x14ac:dyDescent="0.25">
      <c r="A121" t="s">
        <v>581</v>
      </c>
      <c r="B121" t="s">
        <v>22</v>
      </c>
      <c r="C121" t="s">
        <v>582</v>
      </c>
      <c r="D121">
        <f t="shared" si="3"/>
        <v>-1300401239</v>
      </c>
      <c r="E121" t="s">
        <v>542</v>
      </c>
      <c r="F121" t="s">
        <v>533</v>
      </c>
      <c r="G121" t="s">
        <v>534</v>
      </c>
      <c r="H121">
        <v>151.19318033213099</v>
      </c>
      <c r="I121">
        <v>-33.883728892249302</v>
      </c>
      <c r="J121">
        <v>255</v>
      </c>
      <c r="K121" t="s">
        <v>45</v>
      </c>
      <c r="L121" t="s">
        <v>45</v>
      </c>
      <c r="M121" t="s">
        <v>45</v>
      </c>
      <c r="N121" t="s">
        <v>536</v>
      </c>
      <c r="O121" t="s">
        <v>45</v>
      </c>
      <c r="P121" t="s">
        <v>166</v>
      </c>
      <c r="Q121" t="s">
        <v>428</v>
      </c>
      <c r="R121" t="s">
        <v>583</v>
      </c>
      <c r="T121" t="s">
        <v>544</v>
      </c>
      <c r="U121" t="s">
        <v>584</v>
      </c>
    </row>
    <row r="122" spans="1:21" x14ac:dyDescent="0.25">
      <c r="A122" t="s">
        <v>585</v>
      </c>
      <c r="B122" t="s">
        <v>32</v>
      </c>
      <c r="C122" t="s">
        <v>586</v>
      </c>
      <c r="D122">
        <f t="shared" si="3"/>
        <v>-1300401239</v>
      </c>
      <c r="E122" t="s">
        <v>532</v>
      </c>
      <c r="F122" t="s">
        <v>533</v>
      </c>
      <c r="G122" t="s">
        <v>534</v>
      </c>
      <c r="H122">
        <v>145.08272400000001</v>
      </c>
      <c r="I122">
        <v>-37.885837000000002</v>
      </c>
      <c r="J122">
        <v>255</v>
      </c>
      <c r="K122" t="s">
        <v>442</v>
      </c>
      <c r="L122" t="s">
        <v>442</v>
      </c>
      <c r="M122" t="s">
        <v>442</v>
      </c>
      <c r="N122" t="s">
        <v>312</v>
      </c>
      <c r="O122" t="s">
        <v>312</v>
      </c>
      <c r="P122" t="s">
        <v>312</v>
      </c>
      <c r="Q122" t="s">
        <v>535</v>
      </c>
      <c r="R122" t="s">
        <v>587</v>
      </c>
      <c r="T122" t="s">
        <v>538</v>
      </c>
      <c r="U122" t="s">
        <v>588</v>
      </c>
    </row>
    <row r="123" spans="1:21" x14ac:dyDescent="0.25">
      <c r="A123" t="s">
        <v>589</v>
      </c>
      <c r="B123" t="s">
        <v>22</v>
      </c>
      <c r="C123" t="s">
        <v>590</v>
      </c>
      <c r="D123">
        <f t="shared" si="3"/>
        <v>-1300401239</v>
      </c>
      <c r="E123" t="s">
        <v>591</v>
      </c>
      <c r="F123" t="s">
        <v>533</v>
      </c>
      <c r="G123" t="s">
        <v>534</v>
      </c>
      <c r="H123">
        <v>153.42779899999999</v>
      </c>
      <c r="I123">
        <v>-28.036715000000001</v>
      </c>
      <c r="J123">
        <v>255</v>
      </c>
      <c r="K123" t="s">
        <v>442</v>
      </c>
      <c r="L123" t="s">
        <v>442</v>
      </c>
      <c r="M123" t="s">
        <v>442</v>
      </c>
      <c r="N123" t="s">
        <v>312</v>
      </c>
      <c r="O123" t="s">
        <v>442</v>
      </c>
      <c r="P123" t="s">
        <v>442</v>
      </c>
      <c r="Q123" t="s">
        <v>553</v>
      </c>
      <c r="R123" t="s">
        <v>592</v>
      </c>
      <c r="T123" t="s">
        <v>555</v>
      </c>
      <c r="U123" t="s">
        <v>593</v>
      </c>
    </row>
    <row r="124" spans="1:21" x14ac:dyDescent="0.25">
      <c r="A124" t="s">
        <v>594</v>
      </c>
      <c r="B124" t="s">
        <v>22</v>
      </c>
      <c r="C124" t="s">
        <v>595</v>
      </c>
      <c r="D124">
        <f t="shared" si="3"/>
        <v>-1300401239</v>
      </c>
      <c r="E124" t="s">
        <v>596</v>
      </c>
      <c r="F124" t="s">
        <v>533</v>
      </c>
      <c r="G124" t="s">
        <v>534</v>
      </c>
      <c r="H124">
        <v>151.69418194362001</v>
      </c>
      <c r="I124">
        <v>-32.963319976434697</v>
      </c>
      <c r="J124">
        <v>255</v>
      </c>
      <c r="K124" t="s">
        <v>442</v>
      </c>
      <c r="L124" t="s">
        <v>442</v>
      </c>
      <c r="M124" t="s">
        <v>442</v>
      </c>
      <c r="N124" t="s">
        <v>312</v>
      </c>
      <c r="O124" t="s">
        <v>442</v>
      </c>
      <c r="P124" t="s">
        <v>326</v>
      </c>
      <c r="Q124" t="s">
        <v>553</v>
      </c>
      <c r="R124" t="s">
        <v>597</v>
      </c>
      <c r="T124" t="s">
        <v>544</v>
      </c>
      <c r="U124" t="s">
        <v>598</v>
      </c>
    </row>
    <row r="125" spans="1:21" x14ac:dyDescent="0.25">
      <c r="A125" t="s">
        <v>599</v>
      </c>
      <c r="B125" t="s">
        <v>22</v>
      </c>
      <c r="C125" t="s">
        <v>600</v>
      </c>
      <c r="D125">
        <f t="shared" si="3"/>
        <v>-1300401239</v>
      </c>
      <c r="E125" t="s">
        <v>552</v>
      </c>
      <c r="F125" t="s">
        <v>533</v>
      </c>
      <c r="G125" t="s">
        <v>534</v>
      </c>
      <c r="H125">
        <v>153.03231299999999</v>
      </c>
      <c r="I125">
        <v>-27.384482999999999</v>
      </c>
      <c r="J125">
        <v>255</v>
      </c>
      <c r="K125" t="s">
        <v>442</v>
      </c>
      <c r="L125" t="s">
        <v>442</v>
      </c>
      <c r="M125" t="s">
        <v>442</v>
      </c>
      <c r="N125" t="s">
        <v>312</v>
      </c>
      <c r="O125" t="s">
        <v>442</v>
      </c>
      <c r="P125" t="s">
        <v>326</v>
      </c>
      <c r="Q125" t="s">
        <v>553</v>
      </c>
      <c r="R125" t="s">
        <v>601</v>
      </c>
      <c r="T125" t="s">
        <v>555</v>
      </c>
      <c r="U125" t="s">
        <v>602</v>
      </c>
    </row>
    <row r="126" spans="1:21" x14ac:dyDescent="0.25">
      <c r="A126" t="s">
        <v>603</v>
      </c>
      <c r="B126" t="s">
        <v>22</v>
      </c>
      <c r="C126" t="s">
        <v>604</v>
      </c>
      <c r="D126">
        <f t="shared" si="3"/>
        <v>-1300401239</v>
      </c>
      <c r="E126" t="s">
        <v>542</v>
      </c>
      <c r="F126" t="s">
        <v>533</v>
      </c>
      <c r="G126" t="s">
        <v>534</v>
      </c>
      <c r="H126">
        <v>151.26616100000001</v>
      </c>
      <c r="I126">
        <v>-33.767004</v>
      </c>
      <c r="J126">
        <v>255</v>
      </c>
      <c r="K126" t="s">
        <v>166</v>
      </c>
      <c r="L126" t="s">
        <v>166</v>
      </c>
      <c r="M126" t="s">
        <v>166</v>
      </c>
      <c r="N126" t="s">
        <v>312</v>
      </c>
      <c r="O126" t="s">
        <v>166</v>
      </c>
      <c r="P126" t="s">
        <v>166</v>
      </c>
      <c r="Q126" t="s">
        <v>262</v>
      </c>
      <c r="R126" t="s">
        <v>605</v>
      </c>
      <c r="T126" t="s">
        <v>544</v>
      </c>
      <c r="U126" t="s">
        <v>606</v>
      </c>
    </row>
    <row r="127" spans="1:21" x14ac:dyDescent="0.25">
      <c r="A127" t="s">
        <v>607</v>
      </c>
      <c r="B127" t="s">
        <v>22</v>
      </c>
      <c r="C127" t="s">
        <v>608</v>
      </c>
      <c r="D127">
        <f t="shared" si="3"/>
        <v>-1300401239</v>
      </c>
      <c r="E127" t="s">
        <v>532</v>
      </c>
      <c r="F127" t="s">
        <v>533</v>
      </c>
      <c r="G127" t="s">
        <v>534</v>
      </c>
      <c r="H127">
        <v>144.68045166402999</v>
      </c>
      <c r="I127">
        <v>-37.876171498301296</v>
      </c>
      <c r="J127">
        <v>255</v>
      </c>
      <c r="K127" t="s">
        <v>442</v>
      </c>
      <c r="L127" t="s">
        <v>442</v>
      </c>
      <c r="M127" t="s">
        <v>442</v>
      </c>
      <c r="N127" t="s">
        <v>312</v>
      </c>
      <c r="O127" t="s">
        <v>312</v>
      </c>
      <c r="P127" t="s">
        <v>166</v>
      </c>
      <c r="Q127" t="s">
        <v>553</v>
      </c>
      <c r="R127" t="s">
        <v>609</v>
      </c>
      <c r="T127" t="s">
        <v>538</v>
      </c>
      <c r="U127" t="s">
        <v>610</v>
      </c>
    </row>
    <row r="128" spans="1:21" x14ac:dyDescent="0.25">
      <c r="A128" t="s">
        <v>611</v>
      </c>
      <c r="B128" t="s">
        <v>22</v>
      </c>
      <c r="C128" t="s">
        <v>612</v>
      </c>
      <c r="D128">
        <f t="shared" si="3"/>
        <v>-1300401239</v>
      </c>
      <c r="E128" t="s">
        <v>542</v>
      </c>
      <c r="F128" t="s">
        <v>533</v>
      </c>
      <c r="G128" t="s">
        <v>534</v>
      </c>
      <c r="H128">
        <v>151.00169299999999</v>
      </c>
      <c r="I128">
        <v>-33.817171999999999</v>
      </c>
      <c r="J128">
        <v>255</v>
      </c>
      <c r="K128" t="s">
        <v>262</v>
      </c>
      <c r="L128" t="s">
        <v>262</v>
      </c>
      <c r="M128" t="s">
        <v>262</v>
      </c>
      <c r="N128" t="s">
        <v>290</v>
      </c>
      <c r="O128" t="s">
        <v>262</v>
      </c>
      <c r="P128" t="s">
        <v>166</v>
      </c>
      <c r="Q128" t="s">
        <v>428</v>
      </c>
      <c r="R128" t="s">
        <v>613</v>
      </c>
      <c r="T128" t="s">
        <v>544</v>
      </c>
      <c r="U128" t="s">
        <v>614</v>
      </c>
    </row>
    <row r="129" spans="1:21" x14ac:dyDescent="0.25">
      <c r="A129" t="s">
        <v>615</v>
      </c>
      <c r="B129" t="s">
        <v>22</v>
      </c>
      <c r="C129" t="s">
        <v>616</v>
      </c>
      <c r="D129">
        <f t="shared" si="3"/>
        <v>-1300401239</v>
      </c>
      <c r="E129" t="s">
        <v>542</v>
      </c>
      <c r="F129" t="s">
        <v>533</v>
      </c>
      <c r="G129" t="s">
        <v>534</v>
      </c>
      <c r="H129">
        <v>150.797824101646</v>
      </c>
      <c r="I129">
        <v>-34.074571153373597</v>
      </c>
      <c r="J129">
        <v>255</v>
      </c>
      <c r="K129" t="s">
        <v>166</v>
      </c>
      <c r="L129" t="s">
        <v>166</v>
      </c>
      <c r="M129" t="s">
        <v>166</v>
      </c>
      <c r="N129" t="s">
        <v>312</v>
      </c>
      <c r="O129" t="s">
        <v>166</v>
      </c>
      <c r="P129" t="s">
        <v>166</v>
      </c>
      <c r="Q129" t="s">
        <v>553</v>
      </c>
      <c r="R129" t="s">
        <v>617</v>
      </c>
      <c r="T129" t="s">
        <v>544</v>
      </c>
      <c r="U129" t="s">
        <v>618</v>
      </c>
    </row>
    <row r="130" spans="1:21" x14ac:dyDescent="0.25">
      <c r="A130" t="s">
        <v>619</v>
      </c>
      <c r="B130" t="s">
        <v>22</v>
      </c>
      <c r="C130" t="s">
        <v>620</v>
      </c>
      <c r="D130">
        <f t="shared" si="3"/>
        <v>-1300401239</v>
      </c>
      <c r="E130" t="s">
        <v>621</v>
      </c>
      <c r="F130" t="s">
        <v>533</v>
      </c>
      <c r="G130" t="s">
        <v>534</v>
      </c>
      <c r="H130">
        <v>150.89450689331201</v>
      </c>
      <c r="I130">
        <v>-34.424996132628102</v>
      </c>
      <c r="J130">
        <v>255</v>
      </c>
      <c r="K130" t="s">
        <v>442</v>
      </c>
      <c r="L130" t="s">
        <v>442</v>
      </c>
      <c r="M130" t="s">
        <v>442</v>
      </c>
      <c r="N130" t="s">
        <v>312</v>
      </c>
      <c r="O130" t="s">
        <v>442</v>
      </c>
      <c r="P130" t="s">
        <v>326</v>
      </c>
      <c r="Q130" t="s">
        <v>622</v>
      </c>
      <c r="R130" t="s">
        <v>623</v>
      </c>
      <c r="T130" t="s">
        <v>544</v>
      </c>
      <c r="U130" t="s">
        <v>624</v>
      </c>
    </row>
    <row r="131" spans="1:21" x14ac:dyDescent="0.25">
      <c r="A131" t="s">
        <v>625</v>
      </c>
      <c r="B131" t="s">
        <v>22</v>
      </c>
      <c r="C131" t="s">
        <v>626</v>
      </c>
      <c r="D131">
        <f t="shared" si="3"/>
        <v>-1300401239</v>
      </c>
      <c r="E131" t="s">
        <v>627</v>
      </c>
      <c r="F131" t="s">
        <v>533</v>
      </c>
      <c r="G131" t="s">
        <v>534</v>
      </c>
      <c r="H131">
        <v>138.60166827990099</v>
      </c>
      <c r="I131">
        <v>-34.922710782650903</v>
      </c>
      <c r="J131">
        <v>245</v>
      </c>
      <c r="K131" t="s">
        <v>165</v>
      </c>
      <c r="L131" t="s">
        <v>165</v>
      </c>
      <c r="M131" t="s">
        <v>165</v>
      </c>
      <c r="N131" t="s">
        <v>165</v>
      </c>
      <c r="O131" t="s">
        <v>312</v>
      </c>
      <c r="P131" t="s">
        <v>326</v>
      </c>
      <c r="Q131" t="s">
        <v>564</v>
      </c>
      <c r="R131" t="s">
        <v>626</v>
      </c>
      <c r="T131" t="s">
        <v>628</v>
      </c>
      <c r="U131" t="s">
        <v>629</v>
      </c>
    </row>
    <row r="132" spans="1:21" x14ac:dyDescent="0.25">
      <c r="A132" t="s">
        <v>630</v>
      </c>
      <c r="B132" t="s">
        <v>22</v>
      </c>
      <c r="C132" t="s">
        <v>631</v>
      </c>
      <c r="D132">
        <f t="shared" si="3"/>
        <v>-1300401239</v>
      </c>
      <c r="E132" t="s">
        <v>596</v>
      </c>
      <c r="F132" t="s">
        <v>533</v>
      </c>
      <c r="G132" t="s">
        <v>534</v>
      </c>
      <c r="H132">
        <v>151.71107799999999</v>
      </c>
      <c r="I132">
        <v>-32.941769000000001</v>
      </c>
      <c r="J132">
        <v>255</v>
      </c>
      <c r="K132" t="s">
        <v>442</v>
      </c>
      <c r="L132" t="s">
        <v>442</v>
      </c>
      <c r="M132" t="s">
        <v>442</v>
      </c>
      <c r="N132" t="s">
        <v>312</v>
      </c>
      <c r="O132" t="s">
        <v>442</v>
      </c>
      <c r="P132" t="s">
        <v>326</v>
      </c>
      <c r="Q132" t="s">
        <v>622</v>
      </c>
      <c r="R132" t="s">
        <v>632</v>
      </c>
      <c r="T132" t="s">
        <v>544</v>
      </c>
      <c r="U132" t="s">
        <v>633</v>
      </c>
    </row>
    <row r="133" spans="1:21" x14ac:dyDescent="0.25">
      <c r="A133" t="s">
        <v>634</v>
      </c>
      <c r="B133" t="s">
        <v>22</v>
      </c>
      <c r="C133" t="s">
        <v>635</v>
      </c>
      <c r="D133">
        <f t="shared" si="3"/>
        <v>-1300401239</v>
      </c>
      <c r="E133" t="s">
        <v>552</v>
      </c>
      <c r="F133" t="s">
        <v>533</v>
      </c>
      <c r="G133" t="s">
        <v>534</v>
      </c>
      <c r="H133">
        <v>151.95078047738201</v>
      </c>
      <c r="I133">
        <v>-27.561791527668198</v>
      </c>
      <c r="J133">
        <v>255</v>
      </c>
      <c r="K133" t="s">
        <v>442</v>
      </c>
      <c r="L133" t="s">
        <v>442</v>
      </c>
      <c r="M133" t="s">
        <v>442</v>
      </c>
      <c r="N133" t="s">
        <v>312</v>
      </c>
      <c r="O133" t="s">
        <v>442</v>
      </c>
      <c r="P133" t="s">
        <v>326</v>
      </c>
      <c r="Q133" t="s">
        <v>622</v>
      </c>
      <c r="R133" t="s">
        <v>636</v>
      </c>
      <c r="T133" t="s">
        <v>555</v>
      </c>
      <c r="U133" t="s">
        <v>637</v>
      </c>
    </row>
    <row r="134" spans="1:21" x14ac:dyDescent="0.25">
      <c r="A134" t="s">
        <v>638</v>
      </c>
      <c r="B134" t="s">
        <v>22</v>
      </c>
      <c r="C134" t="s">
        <v>639</v>
      </c>
      <c r="D134">
        <f t="shared" si="3"/>
        <v>-1300401239</v>
      </c>
      <c r="E134" t="s">
        <v>591</v>
      </c>
      <c r="F134" t="s">
        <v>533</v>
      </c>
      <c r="G134" t="s">
        <v>534</v>
      </c>
      <c r="H134">
        <v>153.385803564963</v>
      </c>
      <c r="I134">
        <v>-28.0784314142144</v>
      </c>
      <c r="J134">
        <v>255</v>
      </c>
      <c r="K134" t="s">
        <v>442</v>
      </c>
      <c r="L134" t="s">
        <v>442</v>
      </c>
      <c r="M134" t="s">
        <v>442</v>
      </c>
      <c r="N134" t="s">
        <v>312</v>
      </c>
      <c r="O134" t="s">
        <v>442</v>
      </c>
      <c r="P134" t="s">
        <v>442</v>
      </c>
      <c r="Q134" t="s">
        <v>622</v>
      </c>
      <c r="R134" t="s">
        <v>640</v>
      </c>
      <c r="T134" t="s">
        <v>555</v>
      </c>
      <c r="U134" t="s">
        <v>641</v>
      </c>
    </row>
    <row r="135" spans="1:21" x14ac:dyDescent="0.25">
      <c r="A135" t="s">
        <v>642</v>
      </c>
      <c r="B135" t="s">
        <v>22</v>
      </c>
      <c r="C135" t="s">
        <v>643</v>
      </c>
      <c r="D135">
        <f t="shared" si="3"/>
        <v>-1300401239</v>
      </c>
      <c r="E135" t="s">
        <v>644</v>
      </c>
      <c r="F135" t="s">
        <v>533</v>
      </c>
      <c r="G135" t="s">
        <v>534</v>
      </c>
      <c r="H135">
        <v>149.13409184093999</v>
      </c>
      <c r="I135">
        <v>-35.279445114174401</v>
      </c>
      <c r="J135">
        <v>255</v>
      </c>
      <c r="K135" t="s">
        <v>442</v>
      </c>
      <c r="L135" t="s">
        <v>442</v>
      </c>
      <c r="M135" t="s">
        <v>442</v>
      </c>
      <c r="N135" t="s">
        <v>442</v>
      </c>
      <c r="O135" t="s">
        <v>312</v>
      </c>
      <c r="P135" t="s">
        <v>326</v>
      </c>
      <c r="Q135" t="s">
        <v>553</v>
      </c>
      <c r="R135" t="s">
        <v>645</v>
      </c>
      <c r="T135" t="s">
        <v>646</v>
      </c>
      <c r="U135" t="s">
        <v>647</v>
      </c>
    </row>
    <row r="136" spans="1:21" x14ac:dyDescent="0.25">
      <c r="A136" t="s">
        <v>648</v>
      </c>
      <c r="B136" t="s">
        <v>22</v>
      </c>
      <c r="C136" t="s">
        <v>649</v>
      </c>
      <c r="D136">
        <f t="shared" si="3"/>
        <v>-1300401239</v>
      </c>
      <c r="E136" t="s">
        <v>563</v>
      </c>
      <c r="F136" t="s">
        <v>533</v>
      </c>
      <c r="G136" t="s">
        <v>534</v>
      </c>
      <c r="H136">
        <v>115.937756677246</v>
      </c>
      <c r="I136">
        <v>-32.018858033443003</v>
      </c>
      <c r="J136">
        <v>225</v>
      </c>
      <c r="K136" t="s">
        <v>442</v>
      </c>
      <c r="L136" t="s">
        <v>442</v>
      </c>
      <c r="M136" t="s">
        <v>442</v>
      </c>
      <c r="N136" t="s">
        <v>312</v>
      </c>
      <c r="O136" t="s">
        <v>442</v>
      </c>
      <c r="P136" t="s">
        <v>326</v>
      </c>
      <c r="Q136" t="s">
        <v>564</v>
      </c>
      <c r="R136" t="s">
        <v>650</v>
      </c>
      <c r="T136" t="s">
        <v>566</v>
      </c>
      <c r="U136" t="s">
        <v>651</v>
      </c>
    </row>
    <row r="137" spans="1:21" x14ac:dyDescent="0.25">
      <c r="A137" t="s">
        <v>652</v>
      </c>
      <c r="B137" t="s">
        <v>22</v>
      </c>
      <c r="C137" t="s">
        <v>653</v>
      </c>
      <c r="D137">
        <f t="shared" si="3"/>
        <v>-1300401239</v>
      </c>
      <c r="E137" t="s">
        <v>654</v>
      </c>
      <c r="F137" t="s">
        <v>533</v>
      </c>
      <c r="G137" t="s">
        <v>534</v>
      </c>
      <c r="H137">
        <v>153.085351353384</v>
      </c>
      <c r="I137">
        <v>-26.655264831929301</v>
      </c>
      <c r="J137">
        <v>255</v>
      </c>
      <c r="K137" t="s">
        <v>442</v>
      </c>
      <c r="L137" t="s">
        <v>442</v>
      </c>
      <c r="M137" t="s">
        <v>442</v>
      </c>
      <c r="N137" t="s">
        <v>312</v>
      </c>
      <c r="O137" t="s">
        <v>442</v>
      </c>
      <c r="P137" t="s">
        <v>326</v>
      </c>
      <c r="Q137" t="s">
        <v>622</v>
      </c>
      <c r="R137" t="s">
        <v>655</v>
      </c>
      <c r="T137" t="s">
        <v>555</v>
      </c>
      <c r="U137" t="s">
        <v>656</v>
      </c>
    </row>
    <row r="138" spans="1:21" x14ac:dyDescent="0.25">
      <c r="A138" t="s">
        <v>657</v>
      </c>
      <c r="B138" t="s">
        <v>22</v>
      </c>
      <c r="C138" t="s">
        <v>658</v>
      </c>
      <c r="D138">
        <f t="shared" si="3"/>
        <v>-1300401239</v>
      </c>
      <c r="E138" t="s">
        <v>532</v>
      </c>
      <c r="F138" t="s">
        <v>533</v>
      </c>
      <c r="G138" t="s">
        <v>534</v>
      </c>
      <c r="H138">
        <v>144.9393</v>
      </c>
      <c r="I138">
        <v>-37.815600000000003</v>
      </c>
      <c r="J138">
        <v>255</v>
      </c>
      <c r="K138" t="s">
        <v>659</v>
      </c>
      <c r="L138" t="s">
        <v>659</v>
      </c>
      <c r="M138" t="s">
        <v>659</v>
      </c>
      <c r="N138" t="s">
        <v>659</v>
      </c>
      <c r="O138" t="s">
        <v>659</v>
      </c>
      <c r="P138" t="s">
        <v>428</v>
      </c>
      <c r="Q138" t="s">
        <v>428</v>
      </c>
      <c r="R138" t="s">
        <v>660</v>
      </c>
      <c r="T138" t="s">
        <v>538</v>
      </c>
      <c r="U138" t="s">
        <v>661</v>
      </c>
    </row>
    <row r="139" spans="1:21" x14ac:dyDescent="0.25">
      <c r="A139" t="s">
        <v>662</v>
      </c>
      <c r="B139" t="s">
        <v>22</v>
      </c>
      <c r="C139" t="s">
        <v>663</v>
      </c>
      <c r="D139">
        <f t="shared" si="3"/>
        <v>-1300401239</v>
      </c>
      <c r="E139" t="s">
        <v>542</v>
      </c>
      <c r="F139" t="s">
        <v>533</v>
      </c>
      <c r="G139" t="s">
        <v>534</v>
      </c>
      <c r="H139">
        <v>150.737012136657</v>
      </c>
      <c r="I139">
        <v>-34.040683697199</v>
      </c>
      <c r="J139">
        <v>255</v>
      </c>
      <c r="K139" t="s">
        <v>166</v>
      </c>
      <c r="L139" t="s">
        <v>166</v>
      </c>
      <c r="M139" t="s">
        <v>166</v>
      </c>
      <c r="N139" t="s">
        <v>312</v>
      </c>
      <c r="O139" t="s">
        <v>166</v>
      </c>
      <c r="P139" t="s">
        <v>326</v>
      </c>
      <c r="Q139" t="s">
        <v>553</v>
      </c>
      <c r="R139" t="s">
        <v>664</v>
      </c>
      <c r="T139" t="s">
        <v>544</v>
      </c>
      <c r="U139" t="s">
        <v>665</v>
      </c>
    </row>
    <row r="140" spans="1:21" x14ac:dyDescent="0.25">
      <c r="A140" t="s">
        <v>666</v>
      </c>
      <c r="B140" t="s">
        <v>22</v>
      </c>
      <c r="C140" t="s">
        <v>667</v>
      </c>
      <c r="D140">
        <f t="shared" si="3"/>
        <v>-1300401239</v>
      </c>
      <c r="E140" t="s">
        <v>668</v>
      </c>
      <c r="F140" t="s">
        <v>533</v>
      </c>
      <c r="G140" t="s">
        <v>534</v>
      </c>
      <c r="H140">
        <v>147.32381480000001</v>
      </c>
      <c r="I140">
        <v>-42.881903199999996</v>
      </c>
      <c r="J140">
        <v>255</v>
      </c>
      <c r="K140" t="s">
        <v>442</v>
      </c>
      <c r="L140" t="s">
        <v>442</v>
      </c>
      <c r="M140" t="s">
        <v>442</v>
      </c>
      <c r="N140" t="s">
        <v>442</v>
      </c>
      <c r="O140" t="s">
        <v>442</v>
      </c>
      <c r="P140" t="s">
        <v>326</v>
      </c>
      <c r="Q140" t="s">
        <v>622</v>
      </c>
      <c r="R140" t="s">
        <v>669</v>
      </c>
      <c r="T140" t="s">
        <v>670</v>
      </c>
      <c r="U140" t="s">
        <v>671</v>
      </c>
    </row>
    <row r="141" spans="1:21" x14ac:dyDescent="0.25">
      <c r="A141" t="s">
        <v>672</v>
      </c>
      <c r="B141" t="s">
        <v>22</v>
      </c>
      <c r="C141" t="s">
        <v>673</v>
      </c>
      <c r="D141">
        <f t="shared" si="3"/>
        <v>-1300401239</v>
      </c>
      <c r="E141" t="s">
        <v>563</v>
      </c>
      <c r="F141" t="s">
        <v>533</v>
      </c>
      <c r="G141" t="s">
        <v>534</v>
      </c>
      <c r="H141">
        <v>115.741849</v>
      </c>
      <c r="I141">
        <v>-32.536703000000003</v>
      </c>
      <c r="J141">
        <v>225</v>
      </c>
      <c r="K141" t="s">
        <v>326</v>
      </c>
      <c r="L141" t="s">
        <v>326</v>
      </c>
      <c r="M141" t="s">
        <v>326</v>
      </c>
      <c r="N141" t="s">
        <v>312</v>
      </c>
      <c r="O141" t="s">
        <v>326</v>
      </c>
      <c r="P141" t="s">
        <v>326</v>
      </c>
      <c r="Q141" t="s">
        <v>564</v>
      </c>
      <c r="R141" t="s">
        <v>674</v>
      </c>
      <c r="T141" t="s">
        <v>566</v>
      </c>
      <c r="U141" t="s">
        <v>675</v>
      </c>
    </row>
    <row r="142" spans="1:21" x14ac:dyDescent="0.25">
      <c r="A142" t="s">
        <v>676</v>
      </c>
      <c r="B142" t="s">
        <v>22</v>
      </c>
      <c r="C142" t="s">
        <v>677</v>
      </c>
      <c r="D142">
        <f t="shared" si="3"/>
        <v>-1300401239</v>
      </c>
      <c r="E142" t="s">
        <v>532</v>
      </c>
      <c r="F142" t="s">
        <v>533</v>
      </c>
      <c r="G142" t="s">
        <v>534</v>
      </c>
      <c r="H142">
        <v>145.166</v>
      </c>
      <c r="I142">
        <v>-37.877000000000002</v>
      </c>
      <c r="J142">
        <v>255</v>
      </c>
      <c r="K142" t="s">
        <v>442</v>
      </c>
      <c r="L142" t="s">
        <v>442</v>
      </c>
      <c r="M142" t="s">
        <v>442</v>
      </c>
      <c r="N142" t="s">
        <v>312</v>
      </c>
      <c r="O142" t="s">
        <v>312</v>
      </c>
      <c r="P142" t="s">
        <v>326</v>
      </c>
      <c r="Q142" t="s">
        <v>553</v>
      </c>
      <c r="R142" t="s">
        <v>678</v>
      </c>
      <c r="T142" t="s">
        <v>538</v>
      </c>
      <c r="U142" t="s">
        <v>679</v>
      </c>
    </row>
    <row r="143" spans="1:21" x14ac:dyDescent="0.25">
      <c r="A143" t="s">
        <v>680</v>
      </c>
      <c r="B143" t="s">
        <v>22</v>
      </c>
      <c r="C143" t="s">
        <v>681</v>
      </c>
      <c r="D143">
        <f t="shared" si="3"/>
        <v>-1300401239</v>
      </c>
      <c r="E143" t="s">
        <v>563</v>
      </c>
      <c r="F143" t="s">
        <v>533</v>
      </c>
      <c r="G143" t="s">
        <v>534</v>
      </c>
      <c r="H143">
        <v>115.7792113</v>
      </c>
      <c r="I143">
        <v>-31.876919699999998</v>
      </c>
      <c r="J143">
        <v>225</v>
      </c>
      <c r="K143" t="s">
        <v>442</v>
      </c>
      <c r="L143" t="s">
        <v>442</v>
      </c>
      <c r="M143" t="s">
        <v>442</v>
      </c>
      <c r="N143" t="s">
        <v>312</v>
      </c>
      <c r="O143" t="s">
        <v>442</v>
      </c>
      <c r="P143" t="s">
        <v>326</v>
      </c>
      <c r="Q143" t="s">
        <v>564</v>
      </c>
      <c r="R143" t="s">
        <v>682</v>
      </c>
      <c r="T143" t="s">
        <v>566</v>
      </c>
      <c r="U143" t="s">
        <v>683</v>
      </c>
    </row>
    <row r="144" spans="1:21" x14ac:dyDescent="0.25">
      <c r="A144" t="s">
        <v>684</v>
      </c>
      <c r="B144" t="s">
        <v>22</v>
      </c>
      <c r="C144" t="s">
        <v>685</v>
      </c>
      <c r="D144">
        <f t="shared" si="3"/>
        <v>-1300401239</v>
      </c>
      <c r="E144" t="s">
        <v>532</v>
      </c>
      <c r="F144" t="s">
        <v>533</v>
      </c>
      <c r="G144" t="s">
        <v>534</v>
      </c>
      <c r="H144">
        <v>145.03003799999999</v>
      </c>
      <c r="I144">
        <v>-37.738477000000003</v>
      </c>
      <c r="J144">
        <v>255</v>
      </c>
      <c r="K144" t="s">
        <v>442</v>
      </c>
      <c r="L144" t="s">
        <v>442</v>
      </c>
      <c r="M144" t="s">
        <v>442</v>
      </c>
      <c r="N144" t="s">
        <v>312</v>
      </c>
      <c r="O144" t="s">
        <v>312</v>
      </c>
      <c r="P144" t="s">
        <v>326</v>
      </c>
      <c r="Q144" t="s">
        <v>553</v>
      </c>
      <c r="R144" t="s">
        <v>686</v>
      </c>
      <c r="T144" t="s">
        <v>538</v>
      </c>
      <c r="U144" t="s">
        <v>687</v>
      </c>
    </row>
    <row r="145" spans="1:21" x14ac:dyDescent="0.25">
      <c r="A145" t="s">
        <v>688</v>
      </c>
      <c r="B145" t="s">
        <v>22</v>
      </c>
      <c r="C145" t="s">
        <v>689</v>
      </c>
      <c r="D145">
        <f t="shared" si="3"/>
        <v>-1300401239</v>
      </c>
      <c r="E145" t="s">
        <v>596</v>
      </c>
      <c r="F145" t="s">
        <v>533</v>
      </c>
      <c r="G145" t="s">
        <v>534</v>
      </c>
      <c r="H145">
        <v>151.59141299999999</v>
      </c>
      <c r="I145">
        <v>-32.762523000000002</v>
      </c>
      <c r="J145">
        <v>255</v>
      </c>
      <c r="K145" t="s">
        <v>442</v>
      </c>
      <c r="L145" t="s">
        <v>442</v>
      </c>
      <c r="M145" t="s">
        <v>442</v>
      </c>
      <c r="N145" t="s">
        <v>312</v>
      </c>
      <c r="O145" t="s">
        <v>442</v>
      </c>
      <c r="P145" t="s">
        <v>326</v>
      </c>
      <c r="Q145" t="s">
        <v>622</v>
      </c>
      <c r="R145" t="s">
        <v>690</v>
      </c>
      <c r="T145" t="s">
        <v>544</v>
      </c>
      <c r="U145" t="s">
        <v>691</v>
      </c>
    </row>
    <row r="146" spans="1:21" x14ac:dyDescent="0.25">
      <c r="A146" t="s">
        <v>692</v>
      </c>
      <c r="B146" t="s">
        <v>38</v>
      </c>
      <c r="C146" t="s">
        <v>693</v>
      </c>
      <c r="D146">
        <f t="shared" si="3"/>
        <v>-1300401239</v>
      </c>
      <c r="E146" t="s">
        <v>596</v>
      </c>
      <c r="F146" t="s">
        <v>533</v>
      </c>
      <c r="G146" t="s">
        <v>534</v>
      </c>
      <c r="H146">
        <v>151.41474890000001</v>
      </c>
      <c r="I146">
        <v>-33.308132399999998</v>
      </c>
      <c r="J146">
        <v>255</v>
      </c>
      <c r="K146" t="s">
        <v>442</v>
      </c>
      <c r="L146" t="s">
        <v>442</v>
      </c>
      <c r="M146" t="s">
        <v>442</v>
      </c>
      <c r="N146" t="s">
        <v>312</v>
      </c>
      <c r="O146" t="s">
        <v>442</v>
      </c>
      <c r="P146" t="s">
        <v>326</v>
      </c>
      <c r="Q146" t="s">
        <v>553</v>
      </c>
      <c r="R146" t="s">
        <v>694</v>
      </c>
      <c r="T146" t="s">
        <v>544</v>
      </c>
      <c r="U146" t="s">
        <v>695</v>
      </c>
    </row>
    <row r="147" spans="1:21" x14ac:dyDescent="0.25">
      <c r="A147" t="s">
        <v>696</v>
      </c>
      <c r="B147" t="s">
        <v>38</v>
      </c>
      <c r="C147" t="s">
        <v>697</v>
      </c>
      <c r="D147">
        <f t="shared" si="3"/>
        <v>-1300401239</v>
      </c>
      <c r="E147" t="s">
        <v>591</v>
      </c>
      <c r="F147" t="s">
        <v>533</v>
      </c>
      <c r="G147" t="s">
        <v>534</v>
      </c>
      <c r="H147">
        <v>153.31605690000001</v>
      </c>
      <c r="I147">
        <v>-27.853772800000002</v>
      </c>
      <c r="J147">
        <v>255</v>
      </c>
      <c r="K147" t="s">
        <v>442</v>
      </c>
      <c r="L147" t="s">
        <v>442</v>
      </c>
      <c r="M147" t="s">
        <v>442</v>
      </c>
      <c r="N147" t="s">
        <v>312</v>
      </c>
      <c r="O147" t="s">
        <v>442</v>
      </c>
      <c r="P147" t="s">
        <v>326</v>
      </c>
      <c r="Q147" t="s">
        <v>622</v>
      </c>
      <c r="R147" t="s">
        <v>698</v>
      </c>
      <c r="T147" t="s">
        <v>555</v>
      </c>
      <c r="U147" t="s">
        <v>699</v>
      </c>
    </row>
    <row r="148" spans="1:21" x14ac:dyDescent="0.25">
      <c r="A148" t="s">
        <v>700</v>
      </c>
      <c r="B148" t="s">
        <v>22</v>
      </c>
      <c r="C148" t="s">
        <v>701</v>
      </c>
      <c r="D148">
        <f>38-751498020</f>
        <v>-751497982</v>
      </c>
      <c r="E148" t="s">
        <v>702</v>
      </c>
      <c r="F148" t="s">
        <v>703</v>
      </c>
      <c r="G148" t="s">
        <v>704</v>
      </c>
      <c r="H148">
        <v>17.2073941999999</v>
      </c>
      <c r="I148">
        <v>44.779783399999999</v>
      </c>
      <c r="J148">
        <v>100</v>
      </c>
      <c r="K148" t="s">
        <v>312</v>
      </c>
      <c r="L148" t="s">
        <v>312</v>
      </c>
      <c r="M148" t="s">
        <v>312</v>
      </c>
      <c r="N148" t="s">
        <v>312</v>
      </c>
      <c r="O148" t="s">
        <v>312</v>
      </c>
      <c r="P148" t="s">
        <v>312</v>
      </c>
      <c r="Q148" t="s">
        <v>312</v>
      </c>
      <c r="R148" t="s">
        <v>701</v>
      </c>
      <c r="S148" t="s">
        <v>705</v>
      </c>
      <c r="U148" t="s">
        <v>706</v>
      </c>
    </row>
    <row r="149" spans="1:21" x14ac:dyDescent="0.25">
      <c r="A149" t="s">
        <v>707</v>
      </c>
      <c r="B149" t="s">
        <v>38</v>
      </c>
      <c r="C149" t="s">
        <v>708</v>
      </c>
      <c r="E149" t="s">
        <v>709</v>
      </c>
      <c r="F149" t="s">
        <v>703</v>
      </c>
      <c r="G149" t="s">
        <v>704</v>
      </c>
      <c r="H149">
        <v>18.651860824176001</v>
      </c>
      <c r="I149">
        <v>44.532321801053897</v>
      </c>
      <c r="J149">
        <v>100</v>
      </c>
      <c r="K149" t="s">
        <v>312</v>
      </c>
      <c r="L149" t="s">
        <v>312</v>
      </c>
      <c r="M149" t="s">
        <v>312</v>
      </c>
      <c r="N149" t="s">
        <v>312</v>
      </c>
      <c r="O149" t="s">
        <v>312</v>
      </c>
      <c r="P149" t="s">
        <v>312</v>
      </c>
      <c r="Q149" t="s">
        <v>192</v>
      </c>
      <c r="R149" t="s">
        <v>708</v>
      </c>
      <c r="S149" t="s">
        <v>710</v>
      </c>
      <c r="U149" t="s">
        <v>711</v>
      </c>
    </row>
    <row r="150" spans="1:21" x14ac:dyDescent="0.25">
      <c r="A150" t="s">
        <v>712</v>
      </c>
      <c r="B150" t="s">
        <v>32</v>
      </c>
      <c r="C150" t="s">
        <v>713</v>
      </c>
      <c r="D150">
        <f t="shared" ref="D150:D164" si="4">32-80026880</f>
        <v>-80026848</v>
      </c>
      <c r="E150" t="s">
        <v>714</v>
      </c>
      <c r="F150" t="s">
        <v>715</v>
      </c>
      <c r="G150" t="s">
        <v>716</v>
      </c>
      <c r="H150">
        <v>4.356465</v>
      </c>
      <c r="I150">
        <v>50.834893999999998</v>
      </c>
      <c r="J150">
        <v>100</v>
      </c>
      <c r="K150" t="s">
        <v>535</v>
      </c>
      <c r="L150" t="s">
        <v>535</v>
      </c>
      <c r="M150" t="s">
        <v>535</v>
      </c>
      <c r="N150" t="s">
        <v>535</v>
      </c>
      <c r="O150" t="s">
        <v>535</v>
      </c>
      <c r="P150" t="s">
        <v>717</v>
      </c>
      <c r="R150" t="s">
        <v>713</v>
      </c>
      <c r="U150" t="s">
        <v>718</v>
      </c>
    </row>
    <row r="151" spans="1:21" x14ac:dyDescent="0.25">
      <c r="A151" t="s">
        <v>719</v>
      </c>
      <c r="B151" t="s">
        <v>38</v>
      </c>
      <c r="C151" t="s">
        <v>720</v>
      </c>
      <c r="D151">
        <f t="shared" si="4"/>
        <v>-80026848</v>
      </c>
      <c r="E151" t="s">
        <v>721</v>
      </c>
      <c r="F151" t="s">
        <v>715</v>
      </c>
      <c r="G151" t="s">
        <v>716</v>
      </c>
      <c r="H151">
        <v>5.6994480000000003</v>
      </c>
      <c r="I151">
        <v>50.987287999999999</v>
      </c>
      <c r="J151">
        <v>100</v>
      </c>
      <c r="K151" t="s">
        <v>535</v>
      </c>
      <c r="L151" t="s">
        <v>535</v>
      </c>
      <c r="M151" t="s">
        <v>535</v>
      </c>
      <c r="N151" t="s">
        <v>535</v>
      </c>
      <c r="O151" t="s">
        <v>535</v>
      </c>
      <c r="P151" t="s">
        <v>535</v>
      </c>
      <c r="R151" t="s">
        <v>720</v>
      </c>
      <c r="S151" t="s">
        <v>722</v>
      </c>
      <c r="T151" t="s">
        <v>723</v>
      </c>
      <c r="U151" t="s">
        <v>724</v>
      </c>
    </row>
    <row r="152" spans="1:21" x14ac:dyDescent="0.25">
      <c r="A152" t="s">
        <v>725</v>
      </c>
      <c r="B152" t="s">
        <v>22</v>
      </c>
      <c r="C152" t="s">
        <v>726</v>
      </c>
      <c r="D152">
        <f t="shared" si="4"/>
        <v>-80026848</v>
      </c>
      <c r="E152" t="s">
        <v>727</v>
      </c>
      <c r="F152" t="s">
        <v>715</v>
      </c>
      <c r="G152" t="s">
        <v>716</v>
      </c>
      <c r="H152">
        <v>3.7224140000000001</v>
      </c>
      <c r="I152">
        <v>51.052996999999998</v>
      </c>
      <c r="J152">
        <v>100</v>
      </c>
      <c r="K152" t="s">
        <v>728</v>
      </c>
      <c r="L152" t="s">
        <v>728</v>
      </c>
      <c r="M152" t="s">
        <v>728</v>
      </c>
      <c r="N152" t="s">
        <v>728</v>
      </c>
      <c r="O152" t="s">
        <v>728</v>
      </c>
      <c r="P152" t="s">
        <v>184</v>
      </c>
      <c r="R152" t="s">
        <v>726</v>
      </c>
      <c r="T152" t="s">
        <v>729</v>
      </c>
      <c r="U152" t="s">
        <v>730</v>
      </c>
    </row>
    <row r="153" spans="1:21" x14ac:dyDescent="0.25">
      <c r="A153" t="s">
        <v>731</v>
      </c>
      <c r="B153" t="s">
        <v>22</v>
      </c>
      <c r="C153" t="s">
        <v>732</v>
      </c>
      <c r="D153">
        <f t="shared" si="4"/>
        <v>-80026848</v>
      </c>
      <c r="E153" t="s">
        <v>733</v>
      </c>
      <c r="F153" t="s">
        <v>715</v>
      </c>
      <c r="G153" t="s">
        <v>716</v>
      </c>
      <c r="H153">
        <v>4.0365820000000001</v>
      </c>
      <c r="I153">
        <v>50.938549999999999</v>
      </c>
      <c r="J153">
        <v>100</v>
      </c>
      <c r="K153" t="s">
        <v>262</v>
      </c>
      <c r="L153" t="s">
        <v>262</v>
      </c>
      <c r="M153" t="s">
        <v>262</v>
      </c>
      <c r="N153" t="s">
        <v>262</v>
      </c>
      <c r="O153" t="s">
        <v>728</v>
      </c>
      <c r="P153" t="s">
        <v>728</v>
      </c>
      <c r="R153" t="s">
        <v>732</v>
      </c>
      <c r="T153" t="s">
        <v>729</v>
      </c>
      <c r="U153" t="s">
        <v>734</v>
      </c>
    </row>
    <row r="154" spans="1:21" x14ac:dyDescent="0.25">
      <c r="A154" t="s">
        <v>735</v>
      </c>
      <c r="B154" t="s">
        <v>38</v>
      </c>
      <c r="C154" t="s">
        <v>736</v>
      </c>
      <c r="D154">
        <f t="shared" si="4"/>
        <v>-80026848</v>
      </c>
      <c r="E154" t="s">
        <v>737</v>
      </c>
      <c r="F154" t="s">
        <v>715</v>
      </c>
      <c r="G154" t="s">
        <v>716</v>
      </c>
      <c r="H154">
        <v>4.2033360000000002</v>
      </c>
      <c r="I154">
        <v>50.486443999999999</v>
      </c>
      <c r="J154">
        <v>100</v>
      </c>
      <c r="K154" t="s">
        <v>45</v>
      </c>
      <c r="L154" t="s">
        <v>45</v>
      </c>
      <c r="M154" t="s">
        <v>45</v>
      </c>
      <c r="N154" t="s">
        <v>45</v>
      </c>
      <c r="O154" t="s">
        <v>45</v>
      </c>
      <c r="P154" t="s">
        <v>45</v>
      </c>
      <c r="R154" t="s">
        <v>738</v>
      </c>
      <c r="S154" t="s">
        <v>739</v>
      </c>
      <c r="T154" t="s">
        <v>740</v>
      </c>
      <c r="U154" t="s">
        <v>741</v>
      </c>
    </row>
    <row r="155" spans="1:21" x14ac:dyDescent="0.25">
      <c r="A155" t="s">
        <v>742</v>
      </c>
      <c r="B155" t="s">
        <v>22</v>
      </c>
      <c r="C155" t="s">
        <v>743</v>
      </c>
      <c r="D155">
        <f t="shared" si="4"/>
        <v>-80026848</v>
      </c>
      <c r="E155" t="s">
        <v>744</v>
      </c>
      <c r="F155" t="s">
        <v>715</v>
      </c>
      <c r="G155" t="s">
        <v>716</v>
      </c>
      <c r="H155">
        <v>3.221606</v>
      </c>
      <c r="I155">
        <v>51.206415999999997</v>
      </c>
      <c r="J155">
        <v>100</v>
      </c>
      <c r="K155" t="s">
        <v>745</v>
      </c>
      <c r="L155" t="s">
        <v>745</v>
      </c>
      <c r="M155" t="s">
        <v>745</v>
      </c>
      <c r="N155" t="s">
        <v>745</v>
      </c>
      <c r="O155" t="s">
        <v>745</v>
      </c>
      <c r="P155" t="s">
        <v>745</v>
      </c>
      <c r="R155" t="s">
        <v>743</v>
      </c>
      <c r="T155" t="s">
        <v>723</v>
      </c>
      <c r="U155" t="s">
        <v>746</v>
      </c>
    </row>
    <row r="156" spans="1:21" x14ac:dyDescent="0.25">
      <c r="A156" t="s">
        <v>747</v>
      </c>
      <c r="B156" t="s">
        <v>38</v>
      </c>
      <c r="C156" t="s">
        <v>736</v>
      </c>
      <c r="D156">
        <f t="shared" si="4"/>
        <v>-80026848</v>
      </c>
      <c r="E156" t="s">
        <v>748</v>
      </c>
      <c r="F156" t="s">
        <v>715</v>
      </c>
      <c r="G156" t="s">
        <v>716</v>
      </c>
      <c r="H156">
        <v>5.5974120000000003</v>
      </c>
      <c r="I156">
        <v>50.615338999999999</v>
      </c>
      <c r="J156">
        <v>100</v>
      </c>
      <c r="K156" t="s">
        <v>535</v>
      </c>
      <c r="L156" t="s">
        <v>535</v>
      </c>
      <c r="M156" t="s">
        <v>535</v>
      </c>
      <c r="N156" t="s">
        <v>535</v>
      </c>
      <c r="O156" t="s">
        <v>535</v>
      </c>
      <c r="P156" t="s">
        <v>535</v>
      </c>
      <c r="R156" t="s">
        <v>749</v>
      </c>
      <c r="S156" t="s">
        <v>750</v>
      </c>
      <c r="T156" t="s">
        <v>751</v>
      </c>
      <c r="U156" t="s">
        <v>752</v>
      </c>
    </row>
    <row r="157" spans="1:21" x14ac:dyDescent="0.25">
      <c r="A157" t="s">
        <v>753</v>
      </c>
      <c r="B157" t="s">
        <v>38</v>
      </c>
      <c r="C157" t="s">
        <v>736</v>
      </c>
      <c r="D157">
        <f t="shared" si="4"/>
        <v>-80026848</v>
      </c>
      <c r="E157" t="s">
        <v>754</v>
      </c>
      <c r="F157" t="s">
        <v>715</v>
      </c>
      <c r="G157" t="s">
        <v>716</v>
      </c>
      <c r="H157">
        <v>5.8111470000000001</v>
      </c>
      <c r="I157">
        <v>49.607334000000002</v>
      </c>
      <c r="J157">
        <v>100</v>
      </c>
      <c r="K157" t="s">
        <v>184</v>
      </c>
      <c r="L157" t="s">
        <v>184</v>
      </c>
      <c r="M157" t="s">
        <v>184</v>
      </c>
      <c r="N157" t="s">
        <v>184</v>
      </c>
      <c r="O157" t="s">
        <v>184</v>
      </c>
      <c r="P157" t="s">
        <v>184</v>
      </c>
      <c r="R157" t="s">
        <v>755</v>
      </c>
      <c r="T157" t="s">
        <v>751</v>
      </c>
      <c r="U157" t="s">
        <v>756</v>
      </c>
    </row>
    <row r="158" spans="1:21" x14ac:dyDescent="0.25">
      <c r="A158" t="s">
        <v>757</v>
      </c>
      <c r="B158" t="s">
        <v>38</v>
      </c>
      <c r="C158" t="s">
        <v>736</v>
      </c>
      <c r="D158">
        <f t="shared" si="4"/>
        <v>-80026848</v>
      </c>
      <c r="E158" t="s">
        <v>758</v>
      </c>
      <c r="F158" t="s">
        <v>715</v>
      </c>
      <c r="G158" t="s">
        <v>716</v>
      </c>
      <c r="H158">
        <v>3.8383530000000001</v>
      </c>
      <c r="I158">
        <v>50.438471</v>
      </c>
      <c r="J158">
        <v>100</v>
      </c>
      <c r="K158" t="s">
        <v>759</v>
      </c>
      <c r="L158" t="s">
        <v>759</v>
      </c>
      <c r="M158" t="s">
        <v>759</v>
      </c>
      <c r="N158" t="s">
        <v>759</v>
      </c>
      <c r="O158" t="s">
        <v>759</v>
      </c>
      <c r="P158" t="s">
        <v>759</v>
      </c>
      <c r="R158" t="s">
        <v>760</v>
      </c>
      <c r="T158" t="s">
        <v>740</v>
      </c>
      <c r="U158" t="s">
        <v>761</v>
      </c>
    </row>
    <row r="159" spans="1:21" x14ac:dyDescent="0.25">
      <c r="A159" t="s">
        <v>762</v>
      </c>
      <c r="B159" t="s">
        <v>22</v>
      </c>
      <c r="C159" t="s">
        <v>763</v>
      </c>
      <c r="D159">
        <f t="shared" si="4"/>
        <v>-80026848</v>
      </c>
      <c r="E159" t="s">
        <v>764</v>
      </c>
      <c r="F159" t="s">
        <v>715</v>
      </c>
      <c r="G159" t="s">
        <v>716</v>
      </c>
      <c r="H159">
        <v>4.7075719999999999</v>
      </c>
      <c r="I159">
        <v>50.88008</v>
      </c>
      <c r="J159">
        <v>100</v>
      </c>
      <c r="K159" t="s">
        <v>745</v>
      </c>
      <c r="L159" t="s">
        <v>745</v>
      </c>
      <c r="M159" t="s">
        <v>745</v>
      </c>
      <c r="N159" t="s">
        <v>745</v>
      </c>
      <c r="O159" t="s">
        <v>745</v>
      </c>
      <c r="P159" t="s">
        <v>745</v>
      </c>
      <c r="R159" t="s">
        <v>765</v>
      </c>
      <c r="T159" t="s">
        <v>766</v>
      </c>
      <c r="U159" t="s">
        <v>767</v>
      </c>
    </row>
    <row r="160" spans="1:21" x14ac:dyDescent="0.25">
      <c r="A160" t="s">
        <v>768</v>
      </c>
      <c r="B160" t="s">
        <v>22</v>
      </c>
      <c r="C160" t="s">
        <v>769</v>
      </c>
      <c r="D160">
        <f t="shared" si="4"/>
        <v>-80026848</v>
      </c>
      <c r="E160" t="s">
        <v>770</v>
      </c>
      <c r="F160" t="s">
        <v>715</v>
      </c>
      <c r="G160" t="s">
        <v>716</v>
      </c>
      <c r="H160">
        <v>3.127186</v>
      </c>
      <c r="I160">
        <v>50.946643000000002</v>
      </c>
      <c r="J160">
        <v>100</v>
      </c>
      <c r="K160" t="s">
        <v>428</v>
      </c>
      <c r="L160" t="s">
        <v>428</v>
      </c>
      <c r="M160" t="s">
        <v>428</v>
      </c>
      <c r="N160" t="s">
        <v>428</v>
      </c>
      <c r="O160" t="s">
        <v>745</v>
      </c>
      <c r="P160" t="s">
        <v>745</v>
      </c>
      <c r="R160" t="s">
        <v>769</v>
      </c>
      <c r="T160" t="s">
        <v>723</v>
      </c>
      <c r="U160" t="s">
        <v>771</v>
      </c>
    </row>
    <row r="161" spans="1:21" x14ac:dyDescent="0.25">
      <c r="A161" t="s">
        <v>772</v>
      </c>
      <c r="B161" t="s">
        <v>22</v>
      </c>
      <c r="C161" t="s">
        <v>773</v>
      </c>
      <c r="D161">
        <f t="shared" si="4"/>
        <v>-80026848</v>
      </c>
      <c r="E161" t="s">
        <v>714</v>
      </c>
      <c r="F161" t="s">
        <v>715</v>
      </c>
      <c r="G161" t="s">
        <v>716</v>
      </c>
      <c r="H161">
        <v>4.2878999999999996</v>
      </c>
      <c r="I161">
        <v>50.839188</v>
      </c>
      <c r="J161">
        <v>100</v>
      </c>
      <c r="K161" t="s">
        <v>774</v>
      </c>
      <c r="L161" t="s">
        <v>774</v>
      </c>
      <c r="M161" t="s">
        <v>774</v>
      </c>
      <c r="N161" t="s">
        <v>774</v>
      </c>
      <c r="O161" t="s">
        <v>774</v>
      </c>
      <c r="P161" t="s">
        <v>774</v>
      </c>
      <c r="R161" t="s">
        <v>775</v>
      </c>
      <c r="T161" t="s">
        <v>723</v>
      </c>
      <c r="U161" t="s">
        <v>776</v>
      </c>
    </row>
    <row r="162" spans="1:21" x14ac:dyDescent="0.25">
      <c r="A162" t="s">
        <v>777</v>
      </c>
      <c r="B162" t="s">
        <v>22</v>
      </c>
      <c r="C162" t="s">
        <v>778</v>
      </c>
      <c r="D162">
        <f t="shared" si="4"/>
        <v>-80026848</v>
      </c>
      <c r="E162" t="s">
        <v>714</v>
      </c>
      <c r="F162" t="s">
        <v>715</v>
      </c>
      <c r="G162" t="s">
        <v>716</v>
      </c>
      <c r="H162">
        <v>4.3546630000000004</v>
      </c>
      <c r="I162">
        <v>50.851312</v>
      </c>
      <c r="J162">
        <v>100</v>
      </c>
      <c r="K162" t="s">
        <v>774</v>
      </c>
      <c r="L162" t="s">
        <v>774</v>
      </c>
      <c r="M162" t="s">
        <v>774</v>
      </c>
      <c r="N162" t="s">
        <v>774</v>
      </c>
      <c r="O162" t="s">
        <v>774</v>
      </c>
      <c r="P162" t="s">
        <v>774</v>
      </c>
      <c r="R162" t="s">
        <v>778</v>
      </c>
      <c r="T162" t="s">
        <v>723</v>
      </c>
      <c r="U162" t="s">
        <v>779</v>
      </c>
    </row>
    <row r="163" spans="1:21" x14ac:dyDescent="0.25">
      <c r="A163" t="s">
        <v>780</v>
      </c>
      <c r="B163" t="s">
        <v>22</v>
      </c>
      <c r="C163" t="s">
        <v>781</v>
      </c>
      <c r="D163">
        <f t="shared" si="4"/>
        <v>-80026848</v>
      </c>
      <c r="E163" t="s">
        <v>782</v>
      </c>
      <c r="F163" t="s">
        <v>715</v>
      </c>
      <c r="G163" t="s">
        <v>716</v>
      </c>
      <c r="H163">
        <v>4.1532080000000002</v>
      </c>
      <c r="I163">
        <v>51.151024999999997</v>
      </c>
      <c r="J163">
        <v>100</v>
      </c>
      <c r="K163" t="s">
        <v>45</v>
      </c>
      <c r="L163" t="s">
        <v>45</v>
      </c>
      <c r="M163" t="s">
        <v>45</v>
      </c>
      <c r="N163" t="s">
        <v>45</v>
      </c>
      <c r="O163" t="s">
        <v>536</v>
      </c>
      <c r="P163" t="s">
        <v>45</v>
      </c>
      <c r="R163" t="s">
        <v>783</v>
      </c>
      <c r="T163" t="s">
        <v>723</v>
      </c>
      <c r="U163" t="s">
        <v>784</v>
      </c>
    </row>
    <row r="164" spans="1:21" x14ac:dyDescent="0.25">
      <c r="A164" t="s">
        <v>785</v>
      </c>
      <c r="B164" t="s">
        <v>22</v>
      </c>
      <c r="C164" t="s">
        <v>786</v>
      </c>
      <c r="D164">
        <f t="shared" si="4"/>
        <v>-80026848</v>
      </c>
      <c r="E164" t="s">
        <v>787</v>
      </c>
      <c r="F164" t="s">
        <v>715</v>
      </c>
      <c r="G164" t="s">
        <v>716</v>
      </c>
      <c r="H164">
        <v>2.9186290000000001</v>
      </c>
      <c r="I164">
        <v>51.231493999999998</v>
      </c>
      <c r="J164">
        <v>100</v>
      </c>
      <c r="K164" t="s">
        <v>428</v>
      </c>
      <c r="L164" t="s">
        <v>428</v>
      </c>
      <c r="M164" t="s">
        <v>428</v>
      </c>
      <c r="N164" t="s">
        <v>428</v>
      </c>
      <c r="O164" t="s">
        <v>428</v>
      </c>
      <c r="P164" t="s">
        <v>745</v>
      </c>
      <c r="Q164" t="s">
        <v>428</v>
      </c>
      <c r="R164" t="s">
        <v>788</v>
      </c>
      <c r="S164" t="s">
        <v>789</v>
      </c>
      <c r="T164" t="s">
        <v>723</v>
      </c>
      <c r="U164" t="s">
        <v>790</v>
      </c>
    </row>
    <row r="165" spans="1:21" x14ac:dyDescent="0.25">
      <c r="A165" t="s">
        <v>791</v>
      </c>
      <c r="B165" t="s">
        <v>32</v>
      </c>
      <c r="C165" t="s">
        <v>792</v>
      </c>
      <c r="E165" t="s">
        <v>793</v>
      </c>
      <c r="F165" t="s">
        <v>715</v>
      </c>
      <c r="G165" t="s">
        <v>716</v>
      </c>
      <c r="H165">
        <v>4.4109040000000004</v>
      </c>
      <c r="I165">
        <v>51.218175000000002</v>
      </c>
      <c r="J165">
        <v>100</v>
      </c>
      <c r="K165" t="s">
        <v>535</v>
      </c>
      <c r="L165" t="s">
        <v>535</v>
      </c>
      <c r="M165" t="s">
        <v>535</v>
      </c>
      <c r="N165" t="s">
        <v>535</v>
      </c>
      <c r="O165" t="s">
        <v>535</v>
      </c>
      <c r="P165" t="s">
        <v>535</v>
      </c>
      <c r="R165" t="s">
        <v>792</v>
      </c>
      <c r="T165" t="s">
        <v>723</v>
      </c>
      <c r="U165" t="s">
        <v>794</v>
      </c>
    </row>
    <row r="166" spans="1:21" x14ac:dyDescent="0.25">
      <c r="A166" t="s">
        <v>795</v>
      </c>
      <c r="B166" t="s">
        <v>22</v>
      </c>
      <c r="C166" t="s">
        <v>796</v>
      </c>
      <c r="D166">
        <f>32-80026880</f>
        <v>-80026848</v>
      </c>
      <c r="E166" t="s">
        <v>797</v>
      </c>
      <c r="F166" t="s">
        <v>715</v>
      </c>
      <c r="G166" t="s">
        <v>716</v>
      </c>
      <c r="H166">
        <v>4.5014409999999998</v>
      </c>
      <c r="I166">
        <v>51.221983999999999</v>
      </c>
      <c r="J166">
        <v>100</v>
      </c>
      <c r="K166" t="s">
        <v>45</v>
      </c>
      <c r="L166" t="s">
        <v>45</v>
      </c>
      <c r="M166" t="s">
        <v>45</v>
      </c>
      <c r="N166" t="s">
        <v>45</v>
      </c>
      <c r="O166" t="s">
        <v>536</v>
      </c>
      <c r="P166" t="s">
        <v>45</v>
      </c>
      <c r="R166" t="s">
        <v>798</v>
      </c>
      <c r="T166" t="s">
        <v>723</v>
      </c>
      <c r="U166" t="s">
        <v>799</v>
      </c>
    </row>
    <row r="167" spans="1:21" x14ac:dyDescent="0.25">
      <c r="A167" t="s">
        <v>800</v>
      </c>
      <c r="B167" t="s">
        <v>22</v>
      </c>
      <c r="C167" t="s">
        <v>801</v>
      </c>
      <c r="D167">
        <f>32-80026880</f>
        <v>-80026848</v>
      </c>
      <c r="E167" t="s">
        <v>802</v>
      </c>
      <c r="F167" t="s">
        <v>715</v>
      </c>
      <c r="G167" t="s">
        <v>716</v>
      </c>
      <c r="H167">
        <v>4.8660730000000001</v>
      </c>
      <c r="I167">
        <v>50.463382000000003</v>
      </c>
      <c r="J167">
        <v>100</v>
      </c>
      <c r="K167" t="s">
        <v>728</v>
      </c>
      <c r="L167" t="s">
        <v>728</v>
      </c>
      <c r="M167" t="s">
        <v>728</v>
      </c>
      <c r="N167" t="s">
        <v>728</v>
      </c>
      <c r="O167" t="s">
        <v>728</v>
      </c>
      <c r="P167" t="s">
        <v>198</v>
      </c>
      <c r="R167" t="s">
        <v>803</v>
      </c>
      <c r="T167" t="s">
        <v>751</v>
      </c>
      <c r="U167" t="s">
        <v>804</v>
      </c>
    </row>
    <row r="168" spans="1:21" x14ac:dyDescent="0.25">
      <c r="A168" t="s">
        <v>805</v>
      </c>
      <c r="B168" t="s">
        <v>38</v>
      </c>
      <c r="C168" t="s">
        <v>806</v>
      </c>
      <c r="E168" t="s">
        <v>793</v>
      </c>
      <c r="F168" t="s">
        <v>715</v>
      </c>
      <c r="G168" t="s">
        <v>716</v>
      </c>
      <c r="H168">
        <v>4.3780929999999998</v>
      </c>
      <c r="I168">
        <v>51.190251000000004</v>
      </c>
      <c r="J168">
        <v>100</v>
      </c>
      <c r="K168" t="s">
        <v>428</v>
      </c>
      <c r="L168" t="s">
        <v>428</v>
      </c>
      <c r="M168" t="s">
        <v>428</v>
      </c>
      <c r="N168" t="s">
        <v>428</v>
      </c>
      <c r="O168" t="s">
        <v>428</v>
      </c>
      <c r="P168" t="s">
        <v>428</v>
      </c>
      <c r="R168" t="s">
        <v>807</v>
      </c>
      <c r="T168" t="s">
        <v>766</v>
      </c>
      <c r="U168" t="s">
        <v>808</v>
      </c>
    </row>
    <row r="169" spans="1:21" x14ac:dyDescent="0.25">
      <c r="A169" t="s">
        <v>809</v>
      </c>
      <c r="B169" t="s">
        <v>22</v>
      </c>
      <c r="C169" t="s">
        <v>810</v>
      </c>
      <c r="D169">
        <f t="shared" ref="D169:D176" si="5">32-80026880</f>
        <v>-80026848</v>
      </c>
      <c r="E169" t="s">
        <v>714</v>
      </c>
      <c r="F169" t="s">
        <v>715</v>
      </c>
      <c r="G169" t="s">
        <v>716</v>
      </c>
      <c r="H169">
        <v>4.4371119999999999</v>
      </c>
      <c r="I169">
        <v>50.845458999999998</v>
      </c>
      <c r="J169">
        <v>100</v>
      </c>
      <c r="K169" t="s">
        <v>535</v>
      </c>
      <c r="L169" t="s">
        <v>535</v>
      </c>
      <c r="M169" t="s">
        <v>535</v>
      </c>
      <c r="N169" t="s">
        <v>535</v>
      </c>
      <c r="O169" t="s">
        <v>45</v>
      </c>
      <c r="P169" t="s">
        <v>535</v>
      </c>
      <c r="R169" t="s">
        <v>811</v>
      </c>
      <c r="T169" t="s">
        <v>740</v>
      </c>
      <c r="U169" t="s">
        <v>812</v>
      </c>
    </row>
    <row r="170" spans="1:21" x14ac:dyDescent="0.25">
      <c r="A170" t="s">
        <v>813</v>
      </c>
      <c r="B170" t="s">
        <v>22</v>
      </c>
      <c r="C170" t="s">
        <v>814</v>
      </c>
      <c r="D170">
        <f t="shared" si="5"/>
        <v>-80026848</v>
      </c>
      <c r="E170" t="s">
        <v>815</v>
      </c>
      <c r="F170" t="s">
        <v>715</v>
      </c>
      <c r="G170" t="s">
        <v>716</v>
      </c>
      <c r="H170">
        <v>4.6168459999999998</v>
      </c>
      <c r="I170">
        <v>50.671101999999998</v>
      </c>
      <c r="J170">
        <v>100</v>
      </c>
      <c r="K170" t="s">
        <v>45</v>
      </c>
      <c r="L170" t="s">
        <v>45</v>
      </c>
      <c r="M170" t="s">
        <v>45</v>
      </c>
      <c r="N170" t="s">
        <v>45</v>
      </c>
      <c r="O170" t="s">
        <v>536</v>
      </c>
      <c r="P170" t="s">
        <v>45</v>
      </c>
      <c r="R170" t="s">
        <v>814</v>
      </c>
      <c r="S170" t="s">
        <v>816</v>
      </c>
      <c r="T170" t="s">
        <v>723</v>
      </c>
      <c r="U170" t="s">
        <v>817</v>
      </c>
    </row>
    <row r="171" spans="1:21" x14ac:dyDescent="0.25">
      <c r="A171" t="s">
        <v>818</v>
      </c>
      <c r="B171" t="s">
        <v>32</v>
      </c>
      <c r="C171" t="s">
        <v>819</v>
      </c>
      <c r="D171">
        <f t="shared" si="5"/>
        <v>-80026848</v>
      </c>
      <c r="E171" t="s">
        <v>714</v>
      </c>
      <c r="F171" t="s">
        <v>715</v>
      </c>
      <c r="G171" t="s">
        <v>716</v>
      </c>
      <c r="H171">
        <v>4.361917</v>
      </c>
      <c r="I171">
        <v>50.837496000000002</v>
      </c>
      <c r="J171">
        <v>100</v>
      </c>
      <c r="K171" t="s">
        <v>535</v>
      </c>
      <c r="L171" t="s">
        <v>535</v>
      </c>
      <c r="M171" t="s">
        <v>535</v>
      </c>
      <c r="N171" t="s">
        <v>535</v>
      </c>
      <c r="O171" t="s">
        <v>535</v>
      </c>
      <c r="P171" t="s">
        <v>535</v>
      </c>
      <c r="R171" t="s">
        <v>819</v>
      </c>
      <c r="T171" t="s">
        <v>723</v>
      </c>
      <c r="U171" t="s">
        <v>820</v>
      </c>
    </row>
    <row r="172" spans="1:21" x14ac:dyDescent="0.25">
      <c r="A172" t="s">
        <v>821</v>
      </c>
      <c r="B172" t="s">
        <v>22</v>
      </c>
      <c r="C172" t="s">
        <v>822</v>
      </c>
      <c r="D172">
        <f t="shared" si="5"/>
        <v>-80026848</v>
      </c>
      <c r="E172" t="s">
        <v>823</v>
      </c>
      <c r="F172" t="s">
        <v>715</v>
      </c>
      <c r="G172" t="s">
        <v>716</v>
      </c>
      <c r="H172">
        <v>5.4984729999999997</v>
      </c>
      <c r="I172">
        <v>50.965248000000003</v>
      </c>
      <c r="J172">
        <v>100</v>
      </c>
      <c r="K172" t="s">
        <v>428</v>
      </c>
      <c r="L172" t="s">
        <v>428</v>
      </c>
      <c r="M172" t="s">
        <v>428</v>
      </c>
      <c r="N172" t="s">
        <v>428</v>
      </c>
      <c r="O172" t="s">
        <v>745</v>
      </c>
      <c r="P172" t="s">
        <v>745</v>
      </c>
      <c r="R172" t="s">
        <v>824</v>
      </c>
      <c r="T172" t="s">
        <v>723</v>
      </c>
      <c r="U172" t="s">
        <v>825</v>
      </c>
    </row>
    <row r="173" spans="1:21" x14ac:dyDescent="0.25">
      <c r="A173" t="s">
        <v>826</v>
      </c>
      <c r="B173" t="s">
        <v>22</v>
      </c>
      <c r="C173" t="s">
        <v>827</v>
      </c>
      <c r="D173">
        <f t="shared" si="5"/>
        <v>-80026848</v>
      </c>
      <c r="E173" t="s">
        <v>827</v>
      </c>
      <c r="F173" t="s">
        <v>715</v>
      </c>
      <c r="G173" t="s">
        <v>716</v>
      </c>
      <c r="H173">
        <v>4.3981810000000001</v>
      </c>
      <c r="I173">
        <v>50.720230000000001</v>
      </c>
      <c r="J173">
        <v>100</v>
      </c>
      <c r="K173" t="s">
        <v>745</v>
      </c>
      <c r="L173" t="s">
        <v>745</v>
      </c>
      <c r="M173" t="s">
        <v>745</v>
      </c>
      <c r="N173" t="s">
        <v>745</v>
      </c>
      <c r="O173" t="s">
        <v>745</v>
      </c>
      <c r="P173" t="s">
        <v>535</v>
      </c>
      <c r="R173" t="s">
        <v>828</v>
      </c>
      <c r="T173" t="s">
        <v>740</v>
      </c>
      <c r="U173" t="s">
        <v>829</v>
      </c>
    </row>
    <row r="174" spans="1:21" x14ac:dyDescent="0.25">
      <c r="A174" t="s">
        <v>830</v>
      </c>
      <c r="B174" t="s">
        <v>38</v>
      </c>
      <c r="C174" t="s">
        <v>831</v>
      </c>
      <c r="D174">
        <f t="shared" si="5"/>
        <v>-80026848</v>
      </c>
      <c r="E174" t="s">
        <v>832</v>
      </c>
      <c r="F174" t="s">
        <v>715</v>
      </c>
      <c r="G174" t="s">
        <v>716</v>
      </c>
      <c r="H174">
        <v>4.2805590000000002</v>
      </c>
      <c r="I174">
        <v>50.820337000000002</v>
      </c>
      <c r="J174">
        <v>100</v>
      </c>
      <c r="K174" t="s">
        <v>45</v>
      </c>
      <c r="L174" t="s">
        <v>45</v>
      </c>
      <c r="M174" t="s">
        <v>45</v>
      </c>
      <c r="N174" t="s">
        <v>45</v>
      </c>
      <c r="O174" t="s">
        <v>45</v>
      </c>
      <c r="P174" t="s">
        <v>45</v>
      </c>
      <c r="R174" t="s">
        <v>833</v>
      </c>
      <c r="T174" t="s">
        <v>723</v>
      </c>
      <c r="U174" t="s">
        <v>834</v>
      </c>
    </row>
    <row r="175" spans="1:21" x14ac:dyDescent="0.25">
      <c r="A175" t="s">
        <v>835</v>
      </c>
      <c r="B175" t="s">
        <v>22</v>
      </c>
      <c r="C175" t="s">
        <v>836</v>
      </c>
      <c r="D175">
        <f t="shared" si="5"/>
        <v>-80026848</v>
      </c>
      <c r="E175" t="s">
        <v>837</v>
      </c>
      <c r="F175" t="s">
        <v>715</v>
      </c>
      <c r="G175" t="s">
        <v>716</v>
      </c>
      <c r="H175">
        <v>5.1886520000000003</v>
      </c>
      <c r="I175">
        <v>50.813952</v>
      </c>
      <c r="J175">
        <v>100</v>
      </c>
      <c r="K175" t="s">
        <v>428</v>
      </c>
      <c r="L175" t="s">
        <v>428</v>
      </c>
      <c r="M175" t="s">
        <v>428</v>
      </c>
      <c r="N175" t="s">
        <v>428</v>
      </c>
      <c r="O175" t="s">
        <v>428</v>
      </c>
      <c r="P175" t="s">
        <v>428</v>
      </c>
      <c r="R175" t="s">
        <v>836</v>
      </c>
      <c r="T175" t="s">
        <v>766</v>
      </c>
      <c r="U175" t="s">
        <v>838</v>
      </c>
    </row>
    <row r="176" spans="1:21" x14ac:dyDescent="0.25">
      <c r="A176" t="s">
        <v>839</v>
      </c>
      <c r="B176" t="s">
        <v>22</v>
      </c>
      <c r="C176" t="s">
        <v>840</v>
      </c>
      <c r="D176">
        <f t="shared" si="5"/>
        <v>-80026848</v>
      </c>
      <c r="E176" t="s">
        <v>841</v>
      </c>
      <c r="F176" t="s">
        <v>715</v>
      </c>
      <c r="G176" t="s">
        <v>716</v>
      </c>
      <c r="H176">
        <v>3.2696839999999998</v>
      </c>
      <c r="I176">
        <v>50.826225999999998</v>
      </c>
      <c r="J176">
        <v>100</v>
      </c>
      <c r="K176" t="s">
        <v>535</v>
      </c>
      <c r="L176" t="s">
        <v>535</v>
      </c>
      <c r="M176" t="s">
        <v>535</v>
      </c>
      <c r="N176" t="s">
        <v>535</v>
      </c>
      <c r="O176" t="s">
        <v>535</v>
      </c>
      <c r="P176" t="s">
        <v>535</v>
      </c>
      <c r="R176" t="s">
        <v>840</v>
      </c>
      <c r="T176" t="s">
        <v>723</v>
      </c>
      <c r="U176" t="s">
        <v>842</v>
      </c>
    </row>
    <row r="177" spans="1:21" x14ac:dyDescent="0.25">
      <c r="A177" t="s">
        <v>843</v>
      </c>
      <c r="B177" t="s">
        <v>22</v>
      </c>
      <c r="C177" t="s">
        <v>844</v>
      </c>
      <c r="E177" t="s">
        <v>845</v>
      </c>
      <c r="F177" t="s">
        <v>715</v>
      </c>
      <c r="G177" t="s">
        <v>716</v>
      </c>
      <c r="H177">
        <v>4.4810449999999999</v>
      </c>
      <c r="I177">
        <v>51.026484000000004</v>
      </c>
      <c r="J177">
        <v>100</v>
      </c>
      <c r="K177" t="s">
        <v>262</v>
      </c>
      <c r="L177" t="s">
        <v>262</v>
      </c>
      <c r="M177" t="s">
        <v>262</v>
      </c>
      <c r="N177" t="s">
        <v>262</v>
      </c>
      <c r="O177" t="s">
        <v>728</v>
      </c>
      <c r="P177" t="s">
        <v>728</v>
      </c>
      <c r="R177" t="s">
        <v>844</v>
      </c>
      <c r="T177" t="s">
        <v>729</v>
      </c>
      <c r="U177" t="s">
        <v>846</v>
      </c>
    </row>
    <row r="178" spans="1:21" x14ac:dyDescent="0.25">
      <c r="A178" t="s">
        <v>847</v>
      </c>
      <c r="B178" t="s">
        <v>38</v>
      </c>
      <c r="C178" t="s">
        <v>848</v>
      </c>
      <c r="D178">
        <f t="shared" ref="D178:D214" si="6">32-80026880</f>
        <v>-80026848</v>
      </c>
      <c r="E178" t="s">
        <v>849</v>
      </c>
      <c r="F178" t="s">
        <v>715</v>
      </c>
      <c r="G178" t="s">
        <v>716</v>
      </c>
      <c r="H178">
        <v>4.4583060000000003</v>
      </c>
      <c r="I178">
        <v>50.418695999999997</v>
      </c>
      <c r="J178">
        <v>100</v>
      </c>
      <c r="K178" t="s">
        <v>535</v>
      </c>
      <c r="L178" t="s">
        <v>535</v>
      </c>
      <c r="M178" t="s">
        <v>535</v>
      </c>
      <c r="N178" t="s">
        <v>535</v>
      </c>
      <c r="O178" t="s">
        <v>45</v>
      </c>
      <c r="P178" t="s">
        <v>535</v>
      </c>
      <c r="R178" t="s">
        <v>848</v>
      </c>
      <c r="T178" t="s">
        <v>740</v>
      </c>
      <c r="U178" t="s">
        <v>850</v>
      </c>
    </row>
    <row r="179" spans="1:21" x14ac:dyDescent="0.25">
      <c r="A179" t="s">
        <v>851</v>
      </c>
      <c r="B179" t="s">
        <v>22</v>
      </c>
      <c r="C179" t="s">
        <v>852</v>
      </c>
      <c r="D179">
        <f t="shared" si="6"/>
        <v>-80026848</v>
      </c>
      <c r="E179" t="s">
        <v>853</v>
      </c>
      <c r="F179" t="s">
        <v>715</v>
      </c>
      <c r="G179" t="s">
        <v>716</v>
      </c>
      <c r="H179">
        <v>4.5668509999999998</v>
      </c>
      <c r="I179">
        <v>51.134059000000001</v>
      </c>
      <c r="J179">
        <v>100</v>
      </c>
      <c r="K179" t="s">
        <v>428</v>
      </c>
      <c r="L179" t="s">
        <v>428</v>
      </c>
      <c r="M179" t="s">
        <v>428</v>
      </c>
      <c r="N179" t="s">
        <v>428</v>
      </c>
      <c r="O179" t="s">
        <v>428</v>
      </c>
      <c r="P179" t="s">
        <v>428</v>
      </c>
      <c r="R179" t="s">
        <v>852</v>
      </c>
      <c r="T179" t="s">
        <v>766</v>
      </c>
      <c r="U179" t="s">
        <v>854</v>
      </c>
    </row>
    <row r="180" spans="1:21" x14ac:dyDescent="0.25">
      <c r="A180" t="s">
        <v>855</v>
      </c>
      <c r="B180" t="s">
        <v>38</v>
      </c>
      <c r="C180" t="s">
        <v>856</v>
      </c>
      <c r="D180">
        <f t="shared" si="6"/>
        <v>-80026848</v>
      </c>
      <c r="E180" t="s">
        <v>857</v>
      </c>
      <c r="F180" t="s">
        <v>715</v>
      </c>
      <c r="G180" t="s">
        <v>716</v>
      </c>
      <c r="H180">
        <v>4.2552190000000003</v>
      </c>
      <c r="I180">
        <v>51.214061000000001</v>
      </c>
      <c r="J180">
        <v>100</v>
      </c>
      <c r="K180" t="s">
        <v>428</v>
      </c>
      <c r="L180" t="s">
        <v>428</v>
      </c>
      <c r="M180" t="s">
        <v>428</v>
      </c>
      <c r="N180" t="s">
        <v>428</v>
      </c>
      <c r="O180" t="s">
        <v>428</v>
      </c>
      <c r="P180" t="s">
        <v>428</v>
      </c>
      <c r="R180" t="s">
        <v>858</v>
      </c>
      <c r="T180" t="s">
        <v>729</v>
      </c>
      <c r="U180" t="s">
        <v>859</v>
      </c>
    </row>
    <row r="181" spans="1:21" x14ac:dyDescent="0.25">
      <c r="A181" t="s">
        <v>860</v>
      </c>
      <c r="B181" t="s">
        <v>22</v>
      </c>
      <c r="C181" t="s">
        <v>861</v>
      </c>
      <c r="D181">
        <f t="shared" si="6"/>
        <v>-80026848</v>
      </c>
      <c r="E181" t="s">
        <v>748</v>
      </c>
      <c r="F181" t="s">
        <v>715</v>
      </c>
      <c r="G181" t="s">
        <v>716</v>
      </c>
      <c r="H181">
        <v>5.581207</v>
      </c>
      <c r="I181">
        <v>50.632055999999999</v>
      </c>
      <c r="J181">
        <v>100</v>
      </c>
      <c r="K181" t="s">
        <v>45</v>
      </c>
      <c r="L181" t="s">
        <v>45</v>
      </c>
      <c r="M181" t="s">
        <v>45</v>
      </c>
      <c r="N181" t="s">
        <v>45</v>
      </c>
      <c r="O181" t="s">
        <v>536</v>
      </c>
      <c r="P181" t="s">
        <v>45</v>
      </c>
      <c r="R181" t="s">
        <v>862</v>
      </c>
      <c r="S181" t="s">
        <v>863</v>
      </c>
      <c r="T181" t="s">
        <v>751</v>
      </c>
      <c r="U181" t="s">
        <v>864</v>
      </c>
    </row>
    <row r="182" spans="1:21" x14ac:dyDescent="0.25">
      <c r="A182" t="s">
        <v>865</v>
      </c>
      <c r="B182" t="s">
        <v>22</v>
      </c>
      <c r="C182" t="s">
        <v>866</v>
      </c>
      <c r="D182">
        <f t="shared" si="6"/>
        <v>-80026848</v>
      </c>
      <c r="E182" t="s">
        <v>714</v>
      </c>
      <c r="F182" t="s">
        <v>715</v>
      </c>
      <c r="G182" t="s">
        <v>716</v>
      </c>
      <c r="H182">
        <v>4.3364289999999999</v>
      </c>
      <c r="I182">
        <v>50.803240000000002</v>
      </c>
      <c r="J182">
        <v>100</v>
      </c>
      <c r="K182" t="s">
        <v>745</v>
      </c>
      <c r="L182" t="s">
        <v>745</v>
      </c>
      <c r="M182" t="s">
        <v>745</v>
      </c>
      <c r="N182" t="s">
        <v>745</v>
      </c>
      <c r="O182" t="s">
        <v>745</v>
      </c>
      <c r="P182" t="s">
        <v>745</v>
      </c>
      <c r="R182" t="s">
        <v>866</v>
      </c>
      <c r="T182" t="s">
        <v>740</v>
      </c>
      <c r="U182" t="s">
        <v>867</v>
      </c>
    </row>
    <row r="183" spans="1:21" x14ac:dyDescent="0.25">
      <c r="A183" t="s">
        <v>868</v>
      </c>
      <c r="B183" t="s">
        <v>22</v>
      </c>
      <c r="C183" t="s">
        <v>869</v>
      </c>
      <c r="D183">
        <f t="shared" si="6"/>
        <v>-80026848</v>
      </c>
      <c r="E183" t="s">
        <v>727</v>
      </c>
      <c r="F183" t="s">
        <v>715</v>
      </c>
      <c r="G183" t="s">
        <v>716</v>
      </c>
      <c r="H183">
        <v>3.7234449999999999</v>
      </c>
      <c r="I183">
        <v>51.056643999999999</v>
      </c>
      <c r="J183">
        <v>100</v>
      </c>
      <c r="K183" t="s">
        <v>728</v>
      </c>
      <c r="L183" t="s">
        <v>728</v>
      </c>
      <c r="M183" t="s">
        <v>728</v>
      </c>
      <c r="N183" t="s">
        <v>728</v>
      </c>
      <c r="O183" t="s">
        <v>728</v>
      </c>
      <c r="P183" t="s">
        <v>184</v>
      </c>
      <c r="R183" t="s">
        <v>869</v>
      </c>
      <c r="T183" t="s">
        <v>729</v>
      </c>
      <c r="U183" t="s">
        <v>870</v>
      </c>
    </row>
    <row r="184" spans="1:21" x14ac:dyDescent="0.25">
      <c r="A184" t="s">
        <v>871</v>
      </c>
      <c r="B184" t="s">
        <v>38</v>
      </c>
      <c r="C184" t="s">
        <v>872</v>
      </c>
      <c r="D184">
        <f t="shared" si="6"/>
        <v>-80026848</v>
      </c>
      <c r="E184" t="s">
        <v>873</v>
      </c>
      <c r="F184" t="s">
        <v>715</v>
      </c>
      <c r="G184" t="s">
        <v>716</v>
      </c>
      <c r="H184">
        <v>5.3549959999999999</v>
      </c>
      <c r="I184">
        <v>49.910421999999997</v>
      </c>
      <c r="J184">
        <v>100</v>
      </c>
      <c r="K184" t="s">
        <v>745</v>
      </c>
      <c r="L184" t="s">
        <v>745</v>
      </c>
      <c r="M184" t="s">
        <v>745</v>
      </c>
      <c r="N184" t="s">
        <v>745</v>
      </c>
      <c r="O184" t="s">
        <v>745</v>
      </c>
      <c r="P184" t="s">
        <v>745</v>
      </c>
      <c r="R184" t="s">
        <v>872</v>
      </c>
      <c r="U184" t="s">
        <v>874</v>
      </c>
    </row>
    <row r="185" spans="1:21" x14ac:dyDescent="0.25">
      <c r="A185" t="s">
        <v>875</v>
      </c>
      <c r="B185" t="s">
        <v>38</v>
      </c>
      <c r="C185" t="s">
        <v>876</v>
      </c>
      <c r="D185">
        <f t="shared" si="6"/>
        <v>-80026848</v>
      </c>
      <c r="E185" t="s">
        <v>877</v>
      </c>
      <c r="F185" t="s">
        <v>715</v>
      </c>
      <c r="G185" t="s">
        <v>716</v>
      </c>
      <c r="H185">
        <v>5.5448839999999997</v>
      </c>
      <c r="I185">
        <v>50.669732000000003</v>
      </c>
      <c r="J185">
        <v>100</v>
      </c>
      <c r="K185" t="s">
        <v>185</v>
      </c>
      <c r="L185" t="s">
        <v>185</v>
      </c>
      <c r="M185" t="s">
        <v>185</v>
      </c>
      <c r="N185" t="s">
        <v>185</v>
      </c>
      <c r="O185" t="s">
        <v>185</v>
      </c>
      <c r="P185" t="s">
        <v>185</v>
      </c>
      <c r="R185" t="s">
        <v>876</v>
      </c>
      <c r="T185" t="s">
        <v>740</v>
      </c>
      <c r="U185" t="s">
        <v>878</v>
      </c>
    </row>
    <row r="186" spans="1:21" x14ac:dyDescent="0.25">
      <c r="A186" t="s">
        <v>879</v>
      </c>
      <c r="B186" t="s">
        <v>38</v>
      </c>
      <c r="C186" t="s">
        <v>880</v>
      </c>
      <c r="D186">
        <f t="shared" si="6"/>
        <v>-80026848</v>
      </c>
      <c r="E186" t="s">
        <v>881</v>
      </c>
      <c r="F186" t="s">
        <v>715</v>
      </c>
      <c r="G186" t="s">
        <v>716</v>
      </c>
      <c r="H186">
        <v>5.1195000000000004</v>
      </c>
      <c r="I186">
        <v>51.188018999999997</v>
      </c>
      <c r="J186">
        <v>100</v>
      </c>
      <c r="K186" t="s">
        <v>428</v>
      </c>
      <c r="L186" t="s">
        <v>428</v>
      </c>
      <c r="M186" t="s">
        <v>428</v>
      </c>
      <c r="N186" t="s">
        <v>428</v>
      </c>
      <c r="O186" t="s">
        <v>428</v>
      </c>
      <c r="P186" t="s">
        <v>428</v>
      </c>
      <c r="R186" t="s">
        <v>880</v>
      </c>
      <c r="T186" t="s">
        <v>766</v>
      </c>
      <c r="U186" t="s">
        <v>882</v>
      </c>
    </row>
    <row r="187" spans="1:21" x14ac:dyDescent="0.25">
      <c r="A187" t="s">
        <v>883</v>
      </c>
      <c r="B187" t="s">
        <v>38</v>
      </c>
      <c r="C187" t="s">
        <v>884</v>
      </c>
      <c r="D187">
        <f t="shared" si="6"/>
        <v>-80026848</v>
      </c>
      <c r="E187" t="s">
        <v>885</v>
      </c>
      <c r="F187" t="s">
        <v>715</v>
      </c>
      <c r="G187" t="s">
        <v>716</v>
      </c>
      <c r="H187">
        <v>5.0526160000000004</v>
      </c>
      <c r="I187">
        <v>50.982923</v>
      </c>
      <c r="J187">
        <v>100</v>
      </c>
      <c r="K187" t="s">
        <v>428</v>
      </c>
      <c r="L187" t="s">
        <v>428</v>
      </c>
      <c r="M187" t="s">
        <v>428</v>
      </c>
      <c r="N187" t="s">
        <v>428</v>
      </c>
      <c r="O187" t="s">
        <v>428</v>
      </c>
      <c r="P187" t="s">
        <v>428</v>
      </c>
      <c r="R187" t="s">
        <v>884</v>
      </c>
      <c r="T187" t="s">
        <v>766</v>
      </c>
      <c r="U187" t="s">
        <v>886</v>
      </c>
    </row>
    <row r="188" spans="1:21" x14ac:dyDescent="0.25">
      <c r="A188" t="s">
        <v>887</v>
      </c>
      <c r="B188" t="s">
        <v>38</v>
      </c>
      <c r="C188" t="s">
        <v>888</v>
      </c>
      <c r="D188">
        <f t="shared" si="6"/>
        <v>-80026848</v>
      </c>
      <c r="E188" t="s">
        <v>889</v>
      </c>
      <c r="F188" t="s">
        <v>715</v>
      </c>
      <c r="G188" t="s">
        <v>716</v>
      </c>
      <c r="H188">
        <v>3.2604799999999998</v>
      </c>
      <c r="I188">
        <v>50.846252999999997</v>
      </c>
      <c r="J188">
        <v>100</v>
      </c>
      <c r="K188" t="s">
        <v>535</v>
      </c>
      <c r="L188" t="s">
        <v>535</v>
      </c>
      <c r="M188" t="s">
        <v>535</v>
      </c>
      <c r="N188" t="s">
        <v>535</v>
      </c>
      <c r="O188" t="s">
        <v>774</v>
      </c>
      <c r="P188" t="s">
        <v>535</v>
      </c>
      <c r="R188" t="s">
        <v>890</v>
      </c>
      <c r="T188" t="s">
        <v>729</v>
      </c>
      <c r="U188" t="s">
        <v>891</v>
      </c>
    </row>
    <row r="189" spans="1:21" x14ac:dyDescent="0.25">
      <c r="A189" t="s">
        <v>892</v>
      </c>
      <c r="B189" t="s">
        <v>38</v>
      </c>
      <c r="C189" t="s">
        <v>893</v>
      </c>
      <c r="D189">
        <f t="shared" si="6"/>
        <v>-80026848</v>
      </c>
      <c r="E189" t="s">
        <v>894</v>
      </c>
      <c r="F189" t="s">
        <v>715</v>
      </c>
      <c r="G189" t="s">
        <v>716</v>
      </c>
      <c r="H189">
        <v>4.3099090000000002</v>
      </c>
      <c r="I189">
        <v>50.589201000000003</v>
      </c>
      <c r="J189">
        <v>100</v>
      </c>
      <c r="K189" t="s">
        <v>184</v>
      </c>
      <c r="L189" t="s">
        <v>184</v>
      </c>
      <c r="M189" t="s">
        <v>184</v>
      </c>
      <c r="N189" t="s">
        <v>184</v>
      </c>
      <c r="O189" t="s">
        <v>185</v>
      </c>
      <c r="P189" t="s">
        <v>184</v>
      </c>
      <c r="R189" t="s">
        <v>893</v>
      </c>
      <c r="T189" t="s">
        <v>740</v>
      </c>
      <c r="U189" t="s">
        <v>895</v>
      </c>
    </row>
    <row r="190" spans="1:21" x14ac:dyDescent="0.25">
      <c r="A190" t="s">
        <v>896</v>
      </c>
      <c r="B190" t="s">
        <v>38</v>
      </c>
      <c r="C190" t="s">
        <v>897</v>
      </c>
      <c r="D190">
        <f t="shared" si="6"/>
        <v>-80026848</v>
      </c>
      <c r="E190" t="s">
        <v>898</v>
      </c>
      <c r="F190" t="s">
        <v>715</v>
      </c>
      <c r="G190" t="s">
        <v>716</v>
      </c>
      <c r="H190">
        <v>4.3757989999999998</v>
      </c>
      <c r="I190">
        <v>51.117513000000002</v>
      </c>
      <c r="J190">
        <v>100</v>
      </c>
      <c r="K190" t="s">
        <v>728</v>
      </c>
      <c r="L190" t="s">
        <v>728</v>
      </c>
      <c r="M190" t="s">
        <v>728</v>
      </c>
      <c r="N190" t="s">
        <v>728</v>
      </c>
      <c r="O190" t="s">
        <v>728</v>
      </c>
      <c r="P190" t="s">
        <v>184</v>
      </c>
      <c r="R190" t="s">
        <v>897</v>
      </c>
      <c r="T190" t="s">
        <v>766</v>
      </c>
      <c r="U190" t="s">
        <v>899</v>
      </c>
    </row>
    <row r="191" spans="1:21" x14ac:dyDescent="0.25">
      <c r="A191" t="s">
        <v>900</v>
      </c>
      <c r="B191" t="s">
        <v>38</v>
      </c>
      <c r="C191" t="s">
        <v>901</v>
      </c>
      <c r="D191">
        <f t="shared" si="6"/>
        <v>-80026848</v>
      </c>
      <c r="E191" t="s">
        <v>902</v>
      </c>
      <c r="F191" t="s">
        <v>715</v>
      </c>
      <c r="G191" t="s">
        <v>716</v>
      </c>
      <c r="H191">
        <v>4.947438</v>
      </c>
      <c r="I191">
        <v>51.322392999999998</v>
      </c>
      <c r="J191">
        <v>100</v>
      </c>
      <c r="K191" t="s">
        <v>428</v>
      </c>
      <c r="L191" t="s">
        <v>428</v>
      </c>
      <c r="M191" t="s">
        <v>428</v>
      </c>
      <c r="N191" t="s">
        <v>428</v>
      </c>
      <c r="O191" t="s">
        <v>428</v>
      </c>
      <c r="P191" t="s">
        <v>428</v>
      </c>
      <c r="R191" t="s">
        <v>901</v>
      </c>
      <c r="T191" t="s">
        <v>766</v>
      </c>
      <c r="U191" t="s">
        <v>903</v>
      </c>
    </row>
    <row r="192" spans="1:21" x14ac:dyDescent="0.25">
      <c r="A192" t="s">
        <v>904</v>
      </c>
      <c r="B192" t="s">
        <v>38</v>
      </c>
      <c r="C192" t="s">
        <v>905</v>
      </c>
      <c r="D192">
        <f t="shared" si="6"/>
        <v>-80026848</v>
      </c>
      <c r="E192" t="s">
        <v>906</v>
      </c>
      <c r="F192" t="s">
        <v>715</v>
      </c>
      <c r="G192" t="s">
        <v>716</v>
      </c>
      <c r="H192">
        <v>3.5840239999999999</v>
      </c>
      <c r="I192">
        <v>50.745704000000003</v>
      </c>
      <c r="J192">
        <v>100</v>
      </c>
      <c r="K192" t="s">
        <v>428</v>
      </c>
      <c r="L192" t="s">
        <v>428</v>
      </c>
      <c r="M192" t="s">
        <v>428</v>
      </c>
      <c r="N192" t="s">
        <v>428</v>
      </c>
      <c r="O192" t="s">
        <v>428</v>
      </c>
      <c r="P192" t="s">
        <v>428</v>
      </c>
      <c r="R192" t="s">
        <v>905</v>
      </c>
      <c r="T192" t="s">
        <v>729</v>
      </c>
      <c r="U192" t="s">
        <v>907</v>
      </c>
    </row>
    <row r="193" spans="1:21" x14ac:dyDescent="0.25">
      <c r="A193" t="s">
        <v>908</v>
      </c>
      <c r="B193" t="s">
        <v>22</v>
      </c>
      <c r="C193" t="s">
        <v>909</v>
      </c>
      <c r="D193">
        <f t="shared" si="6"/>
        <v>-80026848</v>
      </c>
      <c r="E193" t="s">
        <v>910</v>
      </c>
      <c r="F193" t="s">
        <v>715</v>
      </c>
      <c r="G193" t="s">
        <v>716</v>
      </c>
      <c r="H193">
        <v>3.2889189999999999</v>
      </c>
      <c r="I193">
        <v>51.349505999999998</v>
      </c>
      <c r="J193">
        <v>100</v>
      </c>
      <c r="K193" t="s">
        <v>428</v>
      </c>
      <c r="L193" t="s">
        <v>428</v>
      </c>
      <c r="M193" t="s">
        <v>428</v>
      </c>
      <c r="N193" t="s">
        <v>428</v>
      </c>
      <c r="O193" t="s">
        <v>428</v>
      </c>
      <c r="P193" t="s">
        <v>428</v>
      </c>
      <c r="Q193" t="s">
        <v>428</v>
      </c>
      <c r="R193" t="s">
        <v>909</v>
      </c>
      <c r="T193" t="s">
        <v>729</v>
      </c>
      <c r="U193" t="s">
        <v>911</v>
      </c>
    </row>
    <row r="194" spans="1:21" x14ac:dyDescent="0.25">
      <c r="A194" t="s">
        <v>912</v>
      </c>
      <c r="B194" t="s">
        <v>38</v>
      </c>
      <c r="C194" t="s">
        <v>913</v>
      </c>
      <c r="D194">
        <f t="shared" si="6"/>
        <v>-80026848</v>
      </c>
      <c r="E194" t="s">
        <v>914</v>
      </c>
      <c r="F194" t="s">
        <v>715</v>
      </c>
      <c r="G194" t="s">
        <v>716</v>
      </c>
      <c r="H194">
        <v>3.2372510000000001</v>
      </c>
      <c r="I194">
        <v>50.747500000000002</v>
      </c>
      <c r="J194">
        <v>100</v>
      </c>
      <c r="K194" t="s">
        <v>745</v>
      </c>
      <c r="L194" t="s">
        <v>745</v>
      </c>
      <c r="M194" t="s">
        <v>745</v>
      </c>
      <c r="N194" t="s">
        <v>745</v>
      </c>
      <c r="O194" t="s">
        <v>535</v>
      </c>
      <c r="P194" t="s">
        <v>745</v>
      </c>
      <c r="R194" t="s">
        <v>913</v>
      </c>
      <c r="T194" t="s">
        <v>740</v>
      </c>
      <c r="U194" t="s">
        <v>915</v>
      </c>
    </row>
    <row r="195" spans="1:21" x14ac:dyDescent="0.25">
      <c r="A195" t="s">
        <v>916</v>
      </c>
      <c r="B195" t="s">
        <v>38</v>
      </c>
      <c r="C195" t="s">
        <v>917</v>
      </c>
      <c r="D195">
        <f t="shared" si="6"/>
        <v>-80026848</v>
      </c>
      <c r="E195" t="s">
        <v>918</v>
      </c>
      <c r="F195" t="s">
        <v>715</v>
      </c>
      <c r="G195" t="s">
        <v>716</v>
      </c>
      <c r="H195">
        <v>5.3294069999999998</v>
      </c>
      <c r="I195">
        <v>50.221829</v>
      </c>
      <c r="J195">
        <v>100</v>
      </c>
      <c r="K195" t="s">
        <v>535</v>
      </c>
      <c r="L195" t="s">
        <v>535</v>
      </c>
      <c r="M195" t="s">
        <v>535</v>
      </c>
      <c r="N195" t="s">
        <v>535</v>
      </c>
      <c r="O195" t="s">
        <v>535</v>
      </c>
      <c r="P195" t="s">
        <v>535</v>
      </c>
      <c r="R195" t="s">
        <v>917</v>
      </c>
      <c r="T195" t="s">
        <v>751</v>
      </c>
      <c r="U195" t="s">
        <v>919</v>
      </c>
    </row>
    <row r="196" spans="1:21" x14ac:dyDescent="0.25">
      <c r="A196" t="s">
        <v>920</v>
      </c>
      <c r="B196" t="s">
        <v>38</v>
      </c>
      <c r="C196" t="s">
        <v>921</v>
      </c>
      <c r="D196">
        <f t="shared" si="6"/>
        <v>-80026848</v>
      </c>
      <c r="E196" t="s">
        <v>922</v>
      </c>
      <c r="F196" t="s">
        <v>715</v>
      </c>
      <c r="G196" t="s">
        <v>716</v>
      </c>
      <c r="H196">
        <v>3.8081299999999998</v>
      </c>
      <c r="I196">
        <v>51.089362000000001</v>
      </c>
      <c r="J196">
        <v>100</v>
      </c>
      <c r="K196" t="s">
        <v>745</v>
      </c>
      <c r="L196" t="s">
        <v>745</v>
      </c>
      <c r="M196" t="s">
        <v>745</v>
      </c>
      <c r="N196" t="s">
        <v>745</v>
      </c>
      <c r="O196" t="s">
        <v>745</v>
      </c>
      <c r="P196" t="s">
        <v>745</v>
      </c>
      <c r="R196" t="s">
        <v>921</v>
      </c>
      <c r="T196" t="s">
        <v>729</v>
      </c>
      <c r="U196" t="s">
        <v>923</v>
      </c>
    </row>
    <row r="197" spans="1:21" x14ac:dyDescent="0.25">
      <c r="A197" t="s">
        <v>924</v>
      </c>
      <c r="B197" t="s">
        <v>22</v>
      </c>
      <c r="C197" t="s">
        <v>925</v>
      </c>
      <c r="D197">
        <f t="shared" si="6"/>
        <v>-80026848</v>
      </c>
      <c r="E197" t="s">
        <v>764</v>
      </c>
      <c r="F197" t="s">
        <v>715</v>
      </c>
      <c r="G197" t="s">
        <v>716</v>
      </c>
      <c r="H197">
        <v>4.7066309999999998</v>
      </c>
      <c r="I197">
        <v>50.880147999999998</v>
      </c>
      <c r="J197">
        <v>100</v>
      </c>
      <c r="K197" t="s">
        <v>428</v>
      </c>
      <c r="L197" t="s">
        <v>428</v>
      </c>
      <c r="M197" t="s">
        <v>428</v>
      </c>
      <c r="N197" t="s">
        <v>428</v>
      </c>
      <c r="O197" t="s">
        <v>428</v>
      </c>
      <c r="P197" t="s">
        <v>428</v>
      </c>
      <c r="R197" t="s">
        <v>925</v>
      </c>
      <c r="T197" t="s">
        <v>766</v>
      </c>
      <c r="U197" t="s">
        <v>926</v>
      </c>
    </row>
    <row r="198" spans="1:21" x14ac:dyDescent="0.25">
      <c r="A198" t="s">
        <v>927</v>
      </c>
      <c r="B198" t="s">
        <v>22</v>
      </c>
      <c r="C198" t="s">
        <v>928</v>
      </c>
      <c r="D198">
        <f t="shared" si="6"/>
        <v>-80026848</v>
      </c>
      <c r="E198" t="s">
        <v>929</v>
      </c>
      <c r="F198" t="s">
        <v>715</v>
      </c>
      <c r="G198" t="s">
        <v>716</v>
      </c>
      <c r="H198">
        <v>3.9326180000000002</v>
      </c>
      <c r="I198">
        <v>50.456032999999998</v>
      </c>
      <c r="J198">
        <v>100</v>
      </c>
      <c r="K198" t="s">
        <v>535</v>
      </c>
      <c r="L198" t="s">
        <v>535</v>
      </c>
      <c r="M198" t="s">
        <v>535</v>
      </c>
      <c r="N198" t="s">
        <v>535</v>
      </c>
      <c r="O198" t="s">
        <v>535</v>
      </c>
      <c r="P198" t="s">
        <v>535</v>
      </c>
      <c r="R198" t="s">
        <v>930</v>
      </c>
      <c r="T198" t="s">
        <v>740</v>
      </c>
      <c r="U198" t="s">
        <v>931</v>
      </c>
    </row>
    <row r="199" spans="1:21" x14ac:dyDescent="0.25">
      <c r="A199" t="s">
        <v>932</v>
      </c>
      <c r="B199" t="s">
        <v>38</v>
      </c>
      <c r="C199" t="s">
        <v>933</v>
      </c>
      <c r="D199">
        <f t="shared" si="6"/>
        <v>-80026848</v>
      </c>
      <c r="E199" t="s">
        <v>934</v>
      </c>
      <c r="F199" t="s">
        <v>715</v>
      </c>
      <c r="G199" t="s">
        <v>716</v>
      </c>
      <c r="H199">
        <v>3.874342</v>
      </c>
      <c r="I199">
        <v>50.772103999999999</v>
      </c>
      <c r="J199">
        <v>100</v>
      </c>
      <c r="K199" t="s">
        <v>428</v>
      </c>
      <c r="L199" t="s">
        <v>428</v>
      </c>
      <c r="M199" t="s">
        <v>428</v>
      </c>
      <c r="N199" t="s">
        <v>428</v>
      </c>
      <c r="O199" t="s">
        <v>428</v>
      </c>
      <c r="P199" t="s">
        <v>428</v>
      </c>
      <c r="R199" t="s">
        <v>933</v>
      </c>
      <c r="T199" t="s">
        <v>729</v>
      </c>
      <c r="U199" t="s">
        <v>935</v>
      </c>
    </row>
    <row r="200" spans="1:21" x14ac:dyDescent="0.25">
      <c r="A200" t="s">
        <v>936</v>
      </c>
      <c r="B200" t="s">
        <v>38</v>
      </c>
      <c r="C200" t="s">
        <v>937</v>
      </c>
      <c r="D200">
        <f t="shared" si="6"/>
        <v>-80026848</v>
      </c>
      <c r="E200" t="s">
        <v>938</v>
      </c>
      <c r="F200" t="s">
        <v>715</v>
      </c>
      <c r="G200" t="s">
        <v>716</v>
      </c>
      <c r="H200">
        <v>3.1975220000000002</v>
      </c>
      <c r="I200">
        <v>50.918317000000002</v>
      </c>
      <c r="J200">
        <v>100</v>
      </c>
      <c r="K200" t="s">
        <v>745</v>
      </c>
      <c r="L200" t="s">
        <v>745</v>
      </c>
      <c r="M200" t="s">
        <v>745</v>
      </c>
      <c r="N200" t="s">
        <v>745</v>
      </c>
      <c r="O200" t="s">
        <v>745</v>
      </c>
      <c r="P200" t="s">
        <v>745</v>
      </c>
      <c r="R200" t="s">
        <v>937</v>
      </c>
      <c r="T200" t="s">
        <v>729</v>
      </c>
      <c r="U200" t="s">
        <v>939</v>
      </c>
    </row>
    <row r="201" spans="1:21" x14ac:dyDescent="0.25">
      <c r="A201" t="s">
        <v>940</v>
      </c>
      <c r="B201" t="s">
        <v>38</v>
      </c>
      <c r="C201" t="s">
        <v>941</v>
      </c>
      <c r="D201">
        <f t="shared" si="6"/>
        <v>-80026848</v>
      </c>
      <c r="E201" t="s">
        <v>942</v>
      </c>
      <c r="F201" t="s">
        <v>715</v>
      </c>
      <c r="G201" t="s">
        <v>716</v>
      </c>
      <c r="H201">
        <v>5.3097149999999997</v>
      </c>
      <c r="I201">
        <v>51.230981</v>
      </c>
      <c r="J201">
        <v>100</v>
      </c>
      <c r="K201" t="s">
        <v>428</v>
      </c>
      <c r="L201" t="s">
        <v>428</v>
      </c>
      <c r="M201" t="s">
        <v>428</v>
      </c>
      <c r="N201" t="s">
        <v>428</v>
      </c>
      <c r="O201" t="s">
        <v>428</v>
      </c>
      <c r="P201" t="s">
        <v>428</v>
      </c>
      <c r="R201" t="s">
        <v>941</v>
      </c>
      <c r="T201" t="s">
        <v>766</v>
      </c>
      <c r="U201" t="s">
        <v>943</v>
      </c>
    </row>
    <row r="202" spans="1:21" x14ac:dyDescent="0.25">
      <c r="A202" t="s">
        <v>944</v>
      </c>
      <c r="B202" t="s">
        <v>38</v>
      </c>
      <c r="C202" t="s">
        <v>945</v>
      </c>
      <c r="D202">
        <f t="shared" si="6"/>
        <v>-80026848</v>
      </c>
      <c r="E202" t="s">
        <v>946</v>
      </c>
      <c r="F202" t="s">
        <v>715</v>
      </c>
      <c r="G202" t="s">
        <v>716</v>
      </c>
      <c r="H202">
        <v>5.6420630000000003</v>
      </c>
      <c r="I202">
        <v>50.681961000000001</v>
      </c>
      <c r="J202">
        <v>100</v>
      </c>
      <c r="K202" t="s">
        <v>745</v>
      </c>
      <c r="L202" t="s">
        <v>745</v>
      </c>
      <c r="M202" t="s">
        <v>745</v>
      </c>
      <c r="N202" t="s">
        <v>745</v>
      </c>
      <c r="O202" t="s">
        <v>535</v>
      </c>
      <c r="P202" t="s">
        <v>745</v>
      </c>
      <c r="R202" t="s">
        <v>945</v>
      </c>
      <c r="T202" t="s">
        <v>723</v>
      </c>
      <c r="U202" t="s">
        <v>947</v>
      </c>
    </row>
    <row r="203" spans="1:21" x14ac:dyDescent="0.25">
      <c r="A203" t="s">
        <v>948</v>
      </c>
      <c r="B203" t="s">
        <v>38</v>
      </c>
      <c r="C203" t="s">
        <v>949</v>
      </c>
      <c r="D203">
        <f t="shared" si="6"/>
        <v>-80026848</v>
      </c>
      <c r="E203" t="s">
        <v>950</v>
      </c>
      <c r="F203" t="s">
        <v>715</v>
      </c>
      <c r="G203" t="s">
        <v>716</v>
      </c>
      <c r="H203">
        <v>5.2239420000000001</v>
      </c>
      <c r="I203">
        <v>51.066631000000001</v>
      </c>
      <c r="J203">
        <v>100</v>
      </c>
      <c r="K203" t="s">
        <v>428</v>
      </c>
      <c r="L203" t="s">
        <v>428</v>
      </c>
      <c r="M203" t="s">
        <v>428</v>
      </c>
      <c r="N203" t="s">
        <v>428</v>
      </c>
      <c r="O203" t="s">
        <v>428</v>
      </c>
      <c r="P203" t="s">
        <v>428</v>
      </c>
      <c r="R203" t="s">
        <v>949</v>
      </c>
      <c r="T203" t="s">
        <v>766</v>
      </c>
      <c r="U203" t="s">
        <v>951</v>
      </c>
    </row>
    <row r="204" spans="1:21" x14ac:dyDescent="0.25">
      <c r="A204" t="s">
        <v>952</v>
      </c>
      <c r="B204" t="s">
        <v>38</v>
      </c>
      <c r="C204" t="s">
        <v>953</v>
      </c>
      <c r="D204">
        <f t="shared" si="6"/>
        <v>-80026848</v>
      </c>
      <c r="E204" t="s">
        <v>954</v>
      </c>
      <c r="F204" t="s">
        <v>715</v>
      </c>
      <c r="G204" t="s">
        <v>716</v>
      </c>
      <c r="H204">
        <v>4.4305370000000002</v>
      </c>
      <c r="I204">
        <v>51.313054999999999</v>
      </c>
      <c r="J204">
        <v>100</v>
      </c>
      <c r="K204" t="s">
        <v>428</v>
      </c>
      <c r="L204" t="s">
        <v>428</v>
      </c>
      <c r="M204" t="s">
        <v>428</v>
      </c>
      <c r="N204" t="s">
        <v>428</v>
      </c>
      <c r="O204" t="s">
        <v>428</v>
      </c>
      <c r="P204" t="s">
        <v>428</v>
      </c>
      <c r="R204" t="s">
        <v>955</v>
      </c>
      <c r="T204" t="s">
        <v>766</v>
      </c>
      <c r="U204" t="s">
        <v>956</v>
      </c>
    </row>
    <row r="205" spans="1:21" x14ac:dyDescent="0.25">
      <c r="A205" t="s">
        <v>957</v>
      </c>
      <c r="B205" t="s">
        <v>22</v>
      </c>
      <c r="C205" t="s">
        <v>958</v>
      </c>
      <c r="D205">
        <f t="shared" si="6"/>
        <v>-80026848</v>
      </c>
      <c r="E205" t="s">
        <v>793</v>
      </c>
      <c r="F205" t="s">
        <v>715</v>
      </c>
      <c r="G205" t="s">
        <v>716</v>
      </c>
      <c r="H205">
        <v>4.413252</v>
      </c>
      <c r="I205">
        <v>51.218524000000002</v>
      </c>
      <c r="J205">
        <v>100</v>
      </c>
      <c r="K205" t="s">
        <v>535</v>
      </c>
      <c r="L205" t="s">
        <v>535</v>
      </c>
      <c r="M205" t="s">
        <v>535</v>
      </c>
      <c r="N205" t="s">
        <v>535</v>
      </c>
      <c r="O205" t="s">
        <v>535</v>
      </c>
      <c r="P205" t="s">
        <v>535</v>
      </c>
      <c r="R205" t="s">
        <v>958</v>
      </c>
      <c r="T205" t="s">
        <v>766</v>
      </c>
      <c r="U205" t="s">
        <v>959</v>
      </c>
    </row>
    <row r="206" spans="1:21" x14ac:dyDescent="0.25">
      <c r="A206" t="s">
        <v>960</v>
      </c>
      <c r="B206" t="s">
        <v>38</v>
      </c>
      <c r="C206" t="s">
        <v>961</v>
      </c>
      <c r="D206">
        <f t="shared" si="6"/>
        <v>-80026848</v>
      </c>
      <c r="E206" t="s">
        <v>714</v>
      </c>
      <c r="F206" t="s">
        <v>715</v>
      </c>
      <c r="G206" t="s">
        <v>716</v>
      </c>
      <c r="H206">
        <v>4.2957660000000004</v>
      </c>
      <c r="I206">
        <v>50.872166999999997</v>
      </c>
      <c r="J206">
        <v>100</v>
      </c>
      <c r="K206" t="s">
        <v>774</v>
      </c>
      <c r="L206" t="s">
        <v>774</v>
      </c>
      <c r="M206" t="s">
        <v>774</v>
      </c>
      <c r="N206" t="s">
        <v>774</v>
      </c>
      <c r="O206" t="s">
        <v>45</v>
      </c>
      <c r="P206" t="s">
        <v>774</v>
      </c>
      <c r="R206" t="s">
        <v>962</v>
      </c>
      <c r="T206" t="s">
        <v>740</v>
      </c>
      <c r="U206" t="s">
        <v>963</v>
      </c>
    </row>
    <row r="207" spans="1:21" x14ac:dyDescent="0.25">
      <c r="A207" t="s">
        <v>964</v>
      </c>
      <c r="B207" t="s">
        <v>38</v>
      </c>
      <c r="C207" t="s">
        <v>965</v>
      </c>
      <c r="D207">
        <f t="shared" si="6"/>
        <v>-80026848</v>
      </c>
      <c r="E207" t="s">
        <v>966</v>
      </c>
      <c r="F207" t="s">
        <v>715</v>
      </c>
      <c r="G207" t="s">
        <v>716</v>
      </c>
      <c r="H207">
        <v>3.368709</v>
      </c>
      <c r="I207">
        <v>50.627854999999997</v>
      </c>
      <c r="J207">
        <v>155</v>
      </c>
      <c r="K207" t="s">
        <v>745</v>
      </c>
      <c r="L207" t="s">
        <v>745</v>
      </c>
      <c r="M207" t="s">
        <v>745</v>
      </c>
      <c r="N207" t="s">
        <v>745</v>
      </c>
      <c r="O207" t="s">
        <v>745</v>
      </c>
      <c r="P207" t="s">
        <v>745</v>
      </c>
      <c r="R207" t="s">
        <v>965</v>
      </c>
      <c r="T207" t="s">
        <v>740</v>
      </c>
      <c r="U207" t="s">
        <v>967</v>
      </c>
    </row>
    <row r="208" spans="1:21" x14ac:dyDescent="0.25">
      <c r="A208" t="s">
        <v>968</v>
      </c>
      <c r="B208" t="s">
        <v>38</v>
      </c>
      <c r="C208" t="s">
        <v>969</v>
      </c>
      <c r="D208">
        <f t="shared" si="6"/>
        <v>-80026848</v>
      </c>
      <c r="E208" t="s">
        <v>970</v>
      </c>
      <c r="F208" t="s">
        <v>715</v>
      </c>
      <c r="G208" t="s">
        <v>716</v>
      </c>
      <c r="H208">
        <v>6.01797</v>
      </c>
      <c r="I208">
        <v>50.638793</v>
      </c>
      <c r="J208">
        <v>155</v>
      </c>
      <c r="K208" t="s">
        <v>728</v>
      </c>
      <c r="L208" t="s">
        <v>728</v>
      </c>
      <c r="M208" t="s">
        <v>728</v>
      </c>
      <c r="N208" t="s">
        <v>728</v>
      </c>
      <c r="O208" t="s">
        <v>184</v>
      </c>
      <c r="P208" t="s">
        <v>728</v>
      </c>
      <c r="R208" t="s">
        <v>969</v>
      </c>
      <c r="U208" t="s">
        <v>971</v>
      </c>
    </row>
    <row r="209" spans="1:21" x14ac:dyDescent="0.25">
      <c r="A209" t="s">
        <v>972</v>
      </c>
      <c r="B209" t="s">
        <v>22</v>
      </c>
      <c r="C209" t="s">
        <v>973</v>
      </c>
      <c r="D209">
        <f t="shared" si="6"/>
        <v>-80026848</v>
      </c>
      <c r="E209" t="s">
        <v>714</v>
      </c>
      <c r="F209" t="s">
        <v>715</v>
      </c>
      <c r="G209" t="s">
        <v>716</v>
      </c>
      <c r="H209">
        <v>4.3729870000000002</v>
      </c>
      <c r="I209">
        <v>50.879461999999997</v>
      </c>
      <c r="J209">
        <v>100</v>
      </c>
      <c r="K209" t="s">
        <v>535</v>
      </c>
      <c r="L209" t="s">
        <v>535</v>
      </c>
      <c r="M209" t="s">
        <v>535</v>
      </c>
      <c r="N209" t="s">
        <v>535</v>
      </c>
      <c r="O209" t="s">
        <v>535</v>
      </c>
      <c r="P209" t="s">
        <v>535</v>
      </c>
      <c r="R209" t="s">
        <v>974</v>
      </c>
      <c r="T209" t="s">
        <v>740</v>
      </c>
      <c r="U209" t="s">
        <v>975</v>
      </c>
    </row>
    <row r="210" spans="1:21" x14ac:dyDescent="0.25">
      <c r="A210" t="s">
        <v>976</v>
      </c>
      <c r="B210" t="s">
        <v>38</v>
      </c>
      <c r="C210" t="s">
        <v>977</v>
      </c>
      <c r="D210">
        <f t="shared" si="6"/>
        <v>-80026848</v>
      </c>
      <c r="E210" t="s">
        <v>978</v>
      </c>
      <c r="F210" t="s">
        <v>715</v>
      </c>
      <c r="G210" t="s">
        <v>716</v>
      </c>
      <c r="H210">
        <v>4.0654940000000002</v>
      </c>
      <c r="I210">
        <v>50.570298000000001</v>
      </c>
      <c r="J210">
        <v>100</v>
      </c>
      <c r="K210" t="s">
        <v>745</v>
      </c>
      <c r="L210" t="s">
        <v>745</v>
      </c>
      <c r="M210" t="s">
        <v>745</v>
      </c>
      <c r="N210" t="s">
        <v>745</v>
      </c>
      <c r="O210" t="s">
        <v>745</v>
      </c>
      <c r="P210" t="s">
        <v>745</v>
      </c>
      <c r="R210" t="s">
        <v>977</v>
      </c>
      <c r="T210" t="s">
        <v>740</v>
      </c>
      <c r="U210" t="s">
        <v>979</v>
      </c>
    </row>
    <row r="211" spans="1:21" x14ac:dyDescent="0.25">
      <c r="A211" t="s">
        <v>980</v>
      </c>
      <c r="B211" t="s">
        <v>22</v>
      </c>
      <c r="C211" t="s">
        <v>981</v>
      </c>
      <c r="D211">
        <f t="shared" si="6"/>
        <v>-80026848</v>
      </c>
      <c r="E211" t="s">
        <v>982</v>
      </c>
      <c r="F211" t="s">
        <v>715</v>
      </c>
      <c r="G211" t="s">
        <v>716</v>
      </c>
      <c r="H211">
        <v>5.336741</v>
      </c>
      <c r="I211">
        <v>50.934857999999998</v>
      </c>
      <c r="J211">
        <v>100</v>
      </c>
      <c r="K211" t="s">
        <v>428</v>
      </c>
      <c r="L211" t="s">
        <v>428</v>
      </c>
      <c r="M211" t="s">
        <v>428</v>
      </c>
      <c r="N211" t="s">
        <v>428</v>
      </c>
      <c r="O211" t="s">
        <v>428</v>
      </c>
      <c r="P211" t="s">
        <v>428</v>
      </c>
      <c r="R211" t="s">
        <v>981</v>
      </c>
      <c r="T211" t="s">
        <v>766</v>
      </c>
      <c r="U211" t="s">
        <v>983</v>
      </c>
    </row>
    <row r="212" spans="1:21" x14ac:dyDescent="0.25">
      <c r="A212" t="s">
        <v>984</v>
      </c>
      <c r="B212" t="s">
        <v>22</v>
      </c>
      <c r="C212" t="s">
        <v>985</v>
      </c>
      <c r="D212">
        <f t="shared" si="6"/>
        <v>-80026848</v>
      </c>
      <c r="E212" t="s">
        <v>849</v>
      </c>
      <c r="F212" t="s">
        <v>715</v>
      </c>
      <c r="G212" t="s">
        <v>716</v>
      </c>
      <c r="H212">
        <v>4.4418100000000003</v>
      </c>
      <c r="I212">
        <v>50.407947999999998</v>
      </c>
      <c r="J212">
        <v>100</v>
      </c>
      <c r="K212" t="s">
        <v>535</v>
      </c>
      <c r="L212" t="s">
        <v>535</v>
      </c>
      <c r="M212" t="s">
        <v>535</v>
      </c>
      <c r="N212" t="s">
        <v>535</v>
      </c>
      <c r="O212" t="s">
        <v>45</v>
      </c>
      <c r="P212" t="s">
        <v>535</v>
      </c>
      <c r="R212" t="s">
        <v>985</v>
      </c>
      <c r="U212" t="s">
        <v>986</v>
      </c>
    </row>
    <row r="213" spans="1:21" x14ac:dyDescent="0.25">
      <c r="A213" t="s">
        <v>987</v>
      </c>
      <c r="B213" t="s">
        <v>38</v>
      </c>
      <c r="C213" t="s">
        <v>988</v>
      </c>
      <c r="D213">
        <f t="shared" si="6"/>
        <v>-80026848</v>
      </c>
      <c r="E213" t="s">
        <v>989</v>
      </c>
      <c r="F213" t="s">
        <v>715</v>
      </c>
      <c r="G213" t="s">
        <v>716</v>
      </c>
      <c r="H213">
        <v>4.902304</v>
      </c>
      <c r="I213">
        <v>51.150973</v>
      </c>
      <c r="J213">
        <v>100</v>
      </c>
      <c r="K213" t="s">
        <v>745</v>
      </c>
      <c r="L213" t="s">
        <v>745</v>
      </c>
      <c r="M213" t="s">
        <v>745</v>
      </c>
      <c r="N213" t="s">
        <v>745</v>
      </c>
      <c r="O213" t="s">
        <v>745</v>
      </c>
      <c r="P213" t="s">
        <v>745</v>
      </c>
      <c r="R213" t="s">
        <v>988</v>
      </c>
      <c r="S213" t="s">
        <v>990</v>
      </c>
      <c r="T213" t="s">
        <v>723</v>
      </c>
      <c r="U213" t="s">
        <v>991</v>
      </c>
    </row>
    <row r="214" spans="1:21" x14ac:dyDescent="0.25">
      <c r="A214" t="s">
        <v>992</v>
      </c>
      <c r="B214" t="s">
        <v>22</v>
      </c>
      <c r="C214" t="s">
        <v>993</v>
      </c>
      <c r="D214">
        <f t="shared" si="6"/>
        <v>-80026848</v>
      </c>
      <c r="E214" t="s">
        <v>994</v>
      </c>
      <c r="F214" t="s">
        <v>715</v>
      </c>
      <c r="G214" t="s">
        <v>716</v>
      </c>
      <c r="H214">
        <v>3.4036381000000002</v>
      </c>
      <c r="I214">
        <v>50.603506600000003</v>
      </c>
      <c r="J214">
        <v>100</v>
      </c>
      <c r="K214" t="s">
        <v>535</v>
      </c>
      <c r="L214" t="s">
        <v>535</v>
      </c>
      <c r="M214" t="s">
        <v>535</v>
      </c>
      <c r="N214" t="s">
        <v>535</v>
      </c>
      <c r="O214" t="s">
        <v>535</v>
      </c>
      <c r="P214" t="s">
        <v>774</v>
      </c>
      <c r="R214" t="s">
        <v>993</v>
      </c>
      <c r="T214" t="s">
        <v>723</v>
      </c>
      <c r="U214" t="s">
        <v>995</v>
      </c>
    </row>
    <row r="215" spans="1:21" x14ac:dyDescent="0.25">
      <c r="A215" t="s">
        <v>996</v>
      </c>
      <c r="B215" t="s">
        <v>22</v>
      </c>
      <c r="C215" t="s">
        <v>997</v>
      </c>
      <c r="D215">
        <f>35-924192280</f>
        <v>-924192245</v>
      </c>
      <c r="E215" t="s">
        <v>998</v>
      </c>
      <c r="F215" t="s">
        <v>999</v>
      </c>
      <c r="G215" t="s">
        <v>1000</v>
      </c>
      <c r="H215">
        <v>23.3811807632446</v>
      </c>
      <c r="I215">
        <v>42.660063816494201</v>
      </c>
      <c r="J215">
        <v>115</v>
      </c>
      <c r="K215" t="s">
        <v>27</v>
      </c>
      <c r="L215" t="s">
        <v>27</v>
      </c>
      <c r="M215" t="s">
        <v>27</v>
      </c>
      <c r="N215" t="s">
        <v>27</v>
      </c>
      <c r="O215" t="s">
        <v>428</v>
      </c>
      <c r="P215" t="s">
        <v>1001</v>
      </c>
      <c r="Q215" t="s">
        <v>27</v>
      </c>
      <c r="R215" t="s">
        <v>997</v>
      </c>
      <c r="S215" t="s">
        <v>1002</v>
      </c>
      <c r="U215" t="s">
        <v>1003</v>
      </c>
    </row>
    <row r="216" spans="1:21" x14ac:dyDescent="0.25">
      <c r="A216" t="s">
        <v>1004</v>
      </c>
      <c r="B216" t="s">
        <v>22</v>
      </c>
      <c r="C216" t="s">
        <v>1005</v>
      </c>
      <c r="D216">
        <f>35-952915970</f>
        <v>-952915935</v>
      </c>
      <c r="E216" t="s">
        <v>1006</v>
      </c>
      <c r="F216" t="s">
        <v>999</v>
      </c>
      <c r="G216" t="s">
        <v>1000</v>
      </c>
      <c r="H216">
        <v>27.897591590881301</v>
      </c>
      <c r="I216">
        <v>43.216631512257898</v>
      </c>
      <c r="J216">
        <v>115</v>
      </c>
      <c r="K216" t="s">
        <v>536</v>
      </c>
      <c r="L216" t="s">
        <v>536</v>
      </c>
      <c r="M216" t="s">
        <v>536</v>
      </c>
      <c r="N216" t="s">
        <v>536</v>
      </c>
      <c r="O216" t="s">
        <v>428</v>
      </c>
      <c r="P216" t="s">
        <v>535</v>
      </c>
      <c r="Q216" t="s">
        <v>536</v>
      </c>
      <c r="R216" t="s">
        <v>1005</v>
      </c>
      <c r="S216" t="s">
        <v>1007</v>
      </c>
      <c r="U216" t="s">
        <v>1008</v>
      </c>
    </row>
    <row r="217" spans="1:21" x14ac:dyDescent="0.25">
      <c r="A217" t="s">
        <v>1009</v>
      </c>
      <c r="B217" t="s">
        <v>22</v>
      </c>
      <c r="C217" t="s">
        <v>1010</v>
      </c>
      <c r="D217">
        <f>35-924192282</f>
        <v>-924192247</v>
      </c>
      <c r="E217" t="s">
        <v>998</v>
      </c>
      <c r="F217" t="s">
        <v>999</v>
      </c>
      <c r="G217" t="s">
        <v>1000</v>
      </c>
      <c r="H217">
        <v>23.3535861968994</v>
      </c>
      <c r="I217">
        <v>42.691583654419901</v>
      </c>
      <c r="J217">
        <v>115</v>
      </c>
      <c r="K217" t="s">
        <v>536</v>
      </c>
      <c r="L217" t="s">
        <v>536</v>
      </c>
      <c r="M217" t="s">
        <v>536</v>
      </c>
      <c r="N217" t="s">
        <v>536</v>
      </c>
      <c r="O217" t="s">
        <v>428</v>
      </c>
      <c r="P217" t="s">
        <v>1011</v>
      </c>
      <c r="Q217" t="s">
        <v>536</v>
      </c>
      <c r="R217" t="s">
        <v>1010</v>
      </c>
      <c r="S217" t="s">
        <v>1012</v>
      </c>
      <c r="U217" t="s">
        <v>1013</v>
      </c>
    </row>
    <row r="218" spans="1:21" x14ac:dyDescent="0.25">
      <c r="A218" t="s">
        <v>1014</v>
      </c>
      <c r="B218" t="s">
        <v>22</v>
      </c>
      <c r="C218" t="s">
        <v>1015</v>
      </c>
      <c r="D218">
        <f>35-956999450</f>
        <v>-956999415</v>
      </c>
      <c r="E218" t="s">
        <v>1016</v>
      </c>
      <c r="F218" t="s">
        <v>999</v>
      </c>
      <c r="G218" t="s">
        <v>1000</v>
      </c>
      <c r="H218">
        <v>27.454147338867099</v>
      </c>
      <c r="I218">
        <v>42.513297662790897</v>
      </c>
      <c r="J218">
        <v>115</v>
      </c>
      <c r="K218" t="s">
        <v>536</v>
      </c>
      <c r="L218" t="s">
        <v>536</v>
      </c>
      <c r="M218" t="s">
        <v>536</v>
      </c>
      <c r="N218" t="s">
        <v>536</v>
      </c>
      <c r="O218" t="s">
        <v>428</v>
      </c>
      <c r="P218" t="s">
        <v>535</v>
      </c>
      <c r="Q218" t="s">
        <v>536</v>
      </c>
      <c r="R218" t="s">
        <v>1015</v>
      </c>
      <c r="S218" t="s">
        <v>1017</v>
      </c>
      <c r="U218" t="s">
        <v>1018</v>
      </c>
    </row>
    <row r="219" spans="1:21" x14ac:dyDescent="0.25">
      <c r="A219" t="s">
        <v>1019</v>
      </c>
      <c r="B219" t="s">
        <v>22</v>
      </c>
      <c r="C219" t="s">
        <v>1020</v>
      </c>
      <c r="D219">
        <f>35-924192290</f>
        <v>-924192255</v>
      </c>
      <c r="E219" t="s">
        <v>998</v>
      </c>
      <c r="F219" t="s">
        <v>999</v>
      </c>
      <c r="G219" t="s">
        <v>1000</v>
      </c>
      <c r="H219">
        <v>23.2884407043457</v>
      </c>
      <c r="I219">
        <v>42.664355745503499</v>
      </c>
      <c r="J219">
        <v>115</v>
      </c>
      <c r="K219" t="s">
        <v>536</v>
      </c>
      <c r="L219" t="s">
        <v>536</v>
      </c>
      <c r="M219" t="s">
        <v>536</v>
      </c>
      <c r="N219" t="s">
        <v>536</v>
      </c>
      <c r="O219" t="s">
        <v>428</v>
      </c>
      <c r="P219" t="s">
        <v>535</v>
      </c>
      <c r="Q219" t="s">
        <v>536</v>
      </c>
      <c r="R219" t="s">
        <v>1020</v>
      </c>
      <c r="S219" t="s">
        <v>1021</v>
      </c>
      <c r="U219" t="s">
        <v>1022</v>
      </c>
    </row>
    <row r="220" spans="1:21" x14ac:dyDescent="0.25">
      <c r="A220" t="s">
        <v>1023</v>
      </c>
      <c r="B220" t="s">
        <v>22</v>
      </c>
      <c r="C220" t="s">
        <v>1024</v>
      </c>
      <c r="D220">
        <f>35-932599540</f>
        <v>-932599505</v>
      </c>
      <c r="E220" t="s">
        <v>1025</v>
      </c>
      <c r="F220" t="s">
        <v>999</v>
      </c>
      <c r="G220" t="s">
        <v>1000</v>
      </c>
      <c r="H220">
        <v>24.719173453967102</v>
      </c>
      <c r="I220">
        <v>42.141588626940802</v>
      </c>
      <c r="J220">
        <v>115</v>
      </c>
      <c r="K220" t="s">
        <v>536</v>
      </c>
      <c r="L220" t="s">
        <v>536</v>
      </c>
      <c r="M220" t="s">
        <v>536</v>
      </c>
      <c r="N220" t="s">
        <v>536</v>
      </c>
      <c r="O220" t="s">
        <v>428</v>
      </c>
      <c r="P220" t="s">
        <v>535</v>
      </c>
      <c r="Q220" t="s">
        <v>536</v>
      </c>
      <c r="R220" t="s">
        <v>1024</v>
      </c>
      <c r="S220" t="s">
        <v>1026</v>
      </c>
      <c r="U220" t="s">
        <v>1027</v>
      </c>
    </row>
    <row r="221" spans="1:21" x14ac:dyDescent="0.25">
      <c r="A221" t="s">
        <v>1028</v>
      </c>
      <c r="B221" t="s">
        <v>22</v>
      </c>
      <c r="C221" t="s">
        <v>1029</v>
      </c>
      <c r="D221">
        <f>35-924192020</f>
        <v>-924191985</v>
      </c>
      <c r="E221" t="s">
        <v>998</v>
      </c>
      <c r="F221" t="s">
        <v>999</v>
      </c>
      <c r="G221" t="s">
        <v>1000</v>
      </c>
      <c r="H221">
        <v>23.315782166131601</v>
      </c>
      <c r="I221">
        <v>42.658006743274299</v>
      </c>
      <c r="J221">
        <v>115</v>
      </c>
      <c r="K221" t="s">
        <v>27</v>
      </c>
      <c r="L221" t="s">
        <v>27</v>
      </c>
      <c r="M221" t="s">
        <v>27</v>
      </c>
      <c r="N221" t="s">
        <v>27</v>
      </c>
      <c r="O221" t="s">
        <v>428</v>
      </c>
      <c r="P221" t="s">
        <v>45</v>
      </c>
      <c r="Q221" t="s">
        <v>27</v>
      </c>
      <c r="R221" t="s">
        <v>1029</v>
      </c>
      <c r="S221" t="s">
        <v>1030</v>
      </c>
      <c r="U221" t="s">
        <v>1031</v>
      </c>
    </row>
    <row r="222" spans="1:21" x14ac:dyDescent="0.25">
      <c r="A222" t="s">
        <v>1032</v>
      </c>
      <c r="B222" t="s">
        <v>22</v>
      </c>
      <c r="C222" t="s">
        <v>1033</v>
      </c>
      <c r="D222">
        <f>35-924192000</f>
        <v>-924191965</v>
      </c>
      <c r="E222" t="s">
        <v>998</v>
      </c>
      <c r="F222" t="s">
        <v>999</v>
      </c>
      <c r="G222" t="s">
        <v>1000</v>
      </c>
      <c r="H222">
        <v>23.309297561645501</v>
      </c>
      <c r="I222">
        <v>42.698365112487998</v>
      </c>
      <c r="J222">
        <v>115</v>
      </c>
      <c r="K222" t="s">
        <v>45</v>
      </c>
      <c r="L222" t="s">
        <v>45</v>
      </c>
      <c r="M222" t="s">
        <v>45</v>
      </c>
      <c r="N222" t="s">
        <v>45</v>
      </c>
      <c r="O222" t="s">
        <v>1034</v>
      </c>
      <c r="P222" t="s">
        <v>1035</v>
      </c>
      <c r="Q222" t="s">
        <v>45</v>
      </c>
      <c r="R222" t="s">
        <v>1033</v>
      </c>
      <c r="S222" t="s">
        <v>1036</v>
      </c>
      <c r="U222" t="s">
        <v>1037</v>
      </c>
    </row>
    <row r="223" spans="1:21" x14ac:dyDescent="0.25">
      <c r="A223" t="s">
        <v>1038</v>
      </c>
      <c r="B223" t="s">
        <v>38</v>
      </c>
      <c r="C223" t="s">
        <v>1039</v>
      </c>
      <c r="D223">
        <f>35-942990220</f>
        <v>-942990185</v>
      </c>
      <c r="E223" t="s">
        <v>1040</v>
      </c>
      <c r="F223" t="s">
        <v>999</v>
      </c>
      <c r="G223" t="s">
        <v>1000</v>
      </c>
      <c r="H223">
        <v>25.631489753723098</v>
      </c>
      <c r="I223">
        <v>42.438217294309901</v>
      </c>
      <c r="J223">
        <v>115</v>
      </c>
      <c r="K223" t="s">
        <v>45</v>
      </c>
      <c r="L223" t="s">
        <v>45</v>
      </c>
      <c r="M223" t="s">
        <v>45</v>
      </c>
      <c r="N223" t="s">
        <v>45</v>
      </c>
      <c r="O223" t="s">
        <v>428</v>
      </c>
      <c r="P223" t="s">
        <v>45</v>
      </c>
      <c r="Q223" t="s">
        <v>45</v>
      </c>
      <c r="R223" t="s">
        <v>1039</v>
      </c>
      <c r="S223" t="s">
        <v>1041</v>
      </c>
      <c r="U223" t="s">
        <v>1042</v>
      </c>
    </row>
    <row r="224" spans="1:21" x14ac:dyDescent="0.25">
      <c r="A224" t="s">
        <v>1043</v>
      </c>
      <c r="B224" t="s">
        <v>22</v>
      </c>
      <c r="C224" t="s">
        <v>1044</v>
      </c>
      <c r="D224">
        <f>359-24192030</f>
        <v>-24191671</v>
      </c>
      <c r="E224" t="s">
        <v>998</v>
      </c>
      <c r="F224" t="s">
        <v>999</v>
      </c>
      <c r="G224" t="s">
        <v>1000</v>
      </c>
      <c r="H224">
        <v>23.352364293420301</v>
      </c>
      <c r="I224">
        <v>42.624630871056901</v>
      </c>
      <c r="J224">
        <v>115</v>
      </c>
      <c r="K224" t="s">
        <v>536</v>
      </c>
      <c r="L224" t="s">
        <v>536</v>
      </c>
      <c r="M224" t="s">
        <v>536</v>
      </c>
      <c r="N224" t="s">
        <v>536</v>
      </c>
      <c r="O224" t="s">
        <v>428</v>
      </c>
      <c r="P224" t="s">
        <v>428</v>
      </c>
      <c r="Q224" t="s">
        <v>536</v>
      </c>
      <c r="R224" t="s">
        <v>1044</v>
      </c>
      <c r="S224" t="s">
        <v>1045</v>
      </c>
      <c r="U224" t="s">
        <v>1046</v>
      </c>
    </row>
    <row r="225" spans="1:21" x14ac:dyDescent="0.25">
      <c r="A225" t="s">
        <v>1047</v>
      </c>
      <c r="B225" t="s">
        <v>32</v>
      </c>
      <c r="C225" t="s">
        <v>1048</v>
      </c>
      <c r="D225">
        <f>35-924192022</f>
        <v>-924191987</v>
      </c>
      <c r="E225" t="s">
        <v>998</v>
      </c>
      <c r="F225" t="s">
        <v>999</v>
      </c>
      <c r="G225" t="s">
        <v>1000</v>
      </c>
      <c r="H225">
        <v>23.3206606767212</v>
      </c>
      <c r="I225">
        <v>42.694589841868797</v>
      </c>
      <c r="J225">
        <v>115</v>
      </c>
      <c r="K225" t="s">
        <v>536</v>
      </c>
      <c r="L225" t="s">
        <v>536</v>
      </c>
      <c r="M225" t="s">
        <v>536</v>
      </c>
      <c r="N225" t="s">
        <v>536</v>
      </c>
      <c r="O225" t="s">
        <v>428</v>
      </c>
      <c r="P225" t="s">
        <v>428</v>
      </c>
      <c r="Q225" t="s">
        <v>536</v>
      </c>
      <c r="R225" t="s">
        <v>1048</v>
      </c>
      <c r="U225" t="s">
        <v>1049</v>
      </c>
    </row>
    <row r="226" spans="1:21" x14ac:dyDescent="0.25">
      <c r="A226" t="s">
        <v>1050</v>
      </c>
      <c r="B226" t="s">
        <v>22</v>
      </c>
      <c r="C226" t="s">
        <v>1051</v>
      </c>
      <c r="D226">
        <f>359-24192050</f>
        <v>-24191691</v>
      </c>
      <c r="E226" t="s">
        <v>998</v>
      </c>
      <c r="F226" t="s">
        <v>999</v>
      </c>
      <c r="G226" t="s">
        <v>1000</v>
      </c>
      <c r="H226">
        <v>23.270947039471299</v>
      </c>
      <c r="I226">
        <v>42.710329352564401</v>
      </c>
      <c r="J226">
        <v>115</v>
      </c>
      <c r="K226" t="s">
        <v>45</v>
      </c>
      <c r="L226" t="s">
        <v>45</v>
      </c>
      <c r="M226" t="s">
        <v>45</v>
      </c>
      <c r="N226" t="s">
        <v>45</v>
      </c>
      <c r="O226" t="s">
        <v>553</v>
      </c>
      <c r="P226" t="s">
        <v>553</v>
      </c>
      <c r="Q226" t="s">
        <v>45</v>
      </c>
      <c r="R226" t="s">
        <v>1051</v>
      </c>
      <c r="S226" t="s">
        <v>1052</v>
      </c>
      <c r="U226" t="s">
        <v>1053</v>
      </c>
    </row>
    <row r="227" spans="1:21" x14ac:dyDescent="0.25">
      <c r="A227" t="s">
        <v>1054</v>
      </c>
      <c r="B227" t="s">
        <v>38</v>
      </c>
      <c r="C227" t="s">
        <v>1055</v>
      </c>
      <c r="D227">
        <f>35-982599100</f>
        <v>-982599065</v>
      </c>
      <c r="E227" t="s">
        <v>1056</v>
      </c>
      <c r="F227" t="s">
        <v>999</v>
      </c>
      <c r="G227" t="s">
        <v>1000</v>
      </c>
      <c r="H227">
        <v>25.990556999999999</v>
      </c>
      <c r="I227">
        <v>43.852919999999997</v>
      </c>
      <c r="J227">
        <v>115</v>
      </c>
      <c r="K227" t="s">
        <v>774</v>
      </c>
      <c r="L227" t="s">
        <v>774</v>
      </c>
      <c r="M227" t="s">
        <v>774</v>
      </c>
      <c r="N227" t="s">
        <v>774</v>
      </c>
      <c r="O227" t="s">
        <v>428</v>
      </c>
      <c r="P227" t="s">
        <v>745</v>
      </c>
      <c r="Q227" t="s">
        <v>774</v>
      </c>
      <c r="R227" t="s">
        <v>1055</v>
      </c>
      <c r="S227" t="s">
        <v>1057</v>
      </c>
      <c r="U227" t="s">
        <v>1058</v>
      </c>
    </row>
    <row r="228" spans="1:21" x14ac:dyDescent="0.25">
      <c r="A228" t="s">
        <v>1059</v>
      </c>
      <c r="B228" t="s">
        <v>38</v>
      </c>
      <c r="C228" t="s">
        <v>1060</v>
      </c>
      <c r="D228">
        <f>35-964994150</f>
        <v>-964994115</v>
      </c>
      <c r="E228" t="s">
        <v>1061</v>
      </c>
      <c r="F228" t="s">
        <v>999</v>
      </c>
      <c r="G228" t="s">
        <v>1000</v>
      </c>
      <c r="H228">
        <v>24.616846981384199</v>
      </c>
      <c r="I228">
        <v>43.411880556724199</v>
      </c>
      <c r="J228">
        <v>115</v>
      </c>
      <c r="K228" t="s">
        <v>45</v>
      </c>
      <c r="L228" t="s">
        <v>45</v>
      </c>
      <c r="M228" t="s">
        <v>45</v>
      </c>
      <c r="N228" t="s">
        <v>45</v>
      </c>
      <c r="O228" t="s">
        <v>428</v>
      </c>
      <c r="P228" t="s">
        <v>428</v>
      </c>
      <c r="Q228" t="s">
        <v>45</v>
      </c>
      <c r="R228" t="s">
        <v>1060</v>
      </c>
      <c r="S228" t="s">
        <v>1062</v>
      </c>
      <c r="U228" t="s">
        <v>1063</v>
      </c>
    </row>
    <row r="229" spans="1:21" x14ac:dyDescent="0.25">
      <c r="A229" t="s">
        <v>1064</v>
      </c>
      <c r="B229" t="s">
        <v>38</v>
      </c>
      <c r="C229" t="s">
        <v>1065</v>
      </c>
      <c r="D229">
        <f>359-62593660</f>
        <v>-62593301</v>
      </c>
      <c r="E229" t="s">
        <v>1066</v>
      </c>
      <c r="F229" t="s">
        <v>999</v>
      </c>
      <c r="G229" t="s">
        <v>1000</v>
      </c>
      <c r="H229">
        <v>25.600455929778999</v>
      </c>
      <c r="I229">
        <v>43.0791926702937</v>
      </c>
      <c r="J229">
        <v>115</v>
      </c>
      <c r="K229" t="s">
        <v>45</v>
      </c>
      <c r="L229" t="s">
        <v>45</v>
      </c>
      <c r="M229" t="s">
        <v>45</v>
      </c>
      <c r="N229" t="s">
        <v>45</v>
      </c>
      <c r="O229" t="s">
        <v>428</v>
      </c>
      <c r="P229" t="s">
        <v>1034</v>
      </c>
      <c r="Q229" t="s">
        <v>45</v>
      </c>
      <c r="R229" t="s">
        <v>1065</v>
      </c>
      <c r="S229" t="s">
        <v>1067</v>
      </c>
      <c r="U229" t="s">
        <v>1068</v>
      </c>
    </row>
    <row r="230" spans="1:21" x14ac:dyDescent="0.25">
      <c r="A230" t="s">
        <v>1069</v>
      </c>
      <c r="B230" t="s">
        <v>38</v>
      </c>
      <c r="C230" t="s">
        <v>1070</v>
      </c>
      <c r="D230">
        <f>359-73590950</f>
        <v>-73590591</v>
      </c>
      <c r="E230" t="s">
        <v>1071</v>
      </c>
      <c r="F230" t="s">
        <v>999</v>
      </c>
      <c r="G230" t="s">
        <v>1000</v>
      </c>
      <c r="H230">
        <v>23.1000940600495</v>
      </c>
      <c r="I230">
        <v>42.020456290247203</v>
      </c>
      <c r="J230">
        <v>115</v>
      </c>
      <c r="K230" t="s">
        <v>536</v>
      </c>
      <c r="L230" t="s">
        <v>536</v>
      </c>
      <c r="M230" t="s">
        <v>536</v>
      </c>
      <c r="N230" t="s">
        <v>536</v>
      </c>
      <c r="O230" t="s">
        <v>428</v>
      </c>
      <c r="P230" t="s">
        <v>428</v>
      </c>
      <c r="Q230" t="s">
        <v>536</v>
      </c>
      <c r="R230" t="s">
        <v>1070</v>
      </c>
      <c r="S230" t="s">
        <v>1072</v>
      </c>
      <c r="U230" t="s">
        <v>1073</v>
      </c>
    </row>
    <row r="231" spans="1:21" x14ac:dyDescent="0.25">
      <c r="A231" t="s">
        <v>1074</v>
      </c>
      <c r="B231" t="s">
        <v>38</v>
      </c>
      <c r="C231" t="s">
        <v>1075</v>
      </c>
      <c r="D231">
        <f>35-944590080</f>
        <v>-944590045</v>
      </c>
      <c r="E231" t="s">
        <v>1076</v>
      </c>
      <c r="F231" t="s">
        <v>999</v>
      </c>
      <c r="G231" t="s">
        <v>1000</v>
      </c>
      <c r="H231">
        <v>26.3149548993377</v>
      </c>
      <c r="I231">
        <v>42.680387105044801</v>
      </c>
      <c r="J231">
        <v>115</v>
      </c>
      <c r="K231" t="s">
        <v>535</v>
      </c>
      <c r="L231" t="s">
        <v>535</v>
      </c>
      <c r="M231" t="s">
        <v>535</v>
      </c>
      <c r="N231" t="s">
        <v>535</v>
      </c>
      <c r="O231" t="s">
        <v>428</v>
      </c>
      <c r="P231" t="s">
        <v>428</v>
      </c>
      <c r="Q231" t="s">
        <v>535</v>
      </c>
      <c r="R231" t="s">
        <v>1075</v>
      </c>
      <c r="U231" t="s">
        <v>1077</v>
      </c>
    </row>
    <row r="232" spans="1:21" x14ac:dyDescent="0.25">
      <c r="A232" t="s">
        <v>1078</v>
      </c>
      <c r="B232" t="s">
        <v>38</v>
      </c>
      <c r="C232" t="s">
        <v>1079</v>
      </c>
      <c r="D232">
        <f>35-932599530</f>
        <v>-932599495</v>
      </c>
      <c r="E232" t="s">
        <v>1025</v>
      </c>
      <c r="F232" t="s">
        <v>999</v>
      </c>
      <c r="G232" t="s">
        <v>1000</v>
      </c>
      <c r="H232">
        <v>24.748597</v>
      </c>
      <c r="I232">
        <v>42.146697000000003</v>
      </c>
      <c r="J232">
        <v>115</v>
      </c>
      <c r="K232" t="s">
        <v>774</v>
      </c>
      <c r="L232" t="s">
        <v>774</v>
      </c>
      <c r="M232" t="s">
        <v>774</v>
      </c>
      <c r="N232" t="s">
        <v>774</v>
      </c>
      <c r="O232" t="s">
        <v>428</v>
      </c>
      <c r="P232" t="s">
        <v>428</v>
      </c>
      <c r="Q232" t="s">
        <v>774</v>
      </c>
      <c r="R232" t="s">
        <v>1079</v>
      </c>
      <c r="U232" t="s">
        <v>1080</v>
      </c>
    </row>
    <row r="233" spans="1:21" x14ac:dyDescent="0.25">
      <c r="A233" t="s">
        <v>1081</v>
      </c>
      <c r="B233" t="s">
        <v>22</v>
      </c>
      <c r="C233" t="s">
        <v>1082</v>
      </c>
      <c r="D233">
        <f>35-932599647</f>
        <v>-932599612</v>
      </c>
      <c r="E233" t="s">
        <v>1025</v>
      </c>
      <c r="F233" t="s">
        <v>999</v>
      </c>
      <c r="G233" t="s">
        <v>1000</v>
      </c>
      <c r="H233">
        <v>24.781752999999998</v>
      </c>
      <c r="I233">
        <v>42.145004</v>
      </c>
      <c r="J233">
        <v>115</v>
      </c>
      <c r="K233" t="s">
        <v>536</v>
      </c>
      <c r="L233" t="s">
        <v>536</v>
      </c>
      <c r="M233" t="s">
        <v>536</v>
      </c>
      <c r="N233" t="s">
        <v>536</v>
      </c>
      <c r="O233" t="s">
        <v>428</v>
      </c>
      <c r="P233" t="s">
        <v>45</v>
      </c>
      <c r="Q233" t="s">
        <v>536</v>
      </c>
      <c r="R233" t="s">
        <v>1082</v>
      </c>
      <c r="S233" t="s">
        <v>1083</v>
      </c>
      <c r="U233" t="s">
        <v>1084</v>
      </c>
    </row>
    <row r="234" spans="1:21" x14ac:dyDescent="0.25">
      <c r="A234" t="s">
        <v>1085</v>
      </c>
      <c r="B234" t="s">
        <v>22</v>
      </c>
      <c r="C234" t="s">
        <v>1086</v>
      </c>
      <c r="D234">
        <f>973-17564606</f>
        <v>-17563633</v>
      </c>
      <c r="E234" t="s">
        <v>1087</v>
      </c>
      <c r="F234" t="s">
        <v>1088</v>
      </c>
      <c r="G234" t="s">
        <v>1089</v>
      </c>
      <c r="H234">
        <v>50.537677000000002</v>
      </c>
      <c r="I234">
        <v>26.231936999999999</v>
      </c>
      <c r="J234">
        <v>158</v>
      </c>
      <c r="K234" t="s">
        <v>27</v>
      </c>
      <c r="L234" t="s">
        <v>27</v>
      </c>
      <c r="M234" t="s">
        <v>27</v>
      </c>
      <c r="N234" t="s">
        <v>34</v>
      </c>
      <c r="O234" t="s">
        <v>34</v>
      </c>
      <c r="P234" t="s">
        <v>27</v>
      </c>
      <c r="Q234" t="s">
        <v>27</v>
      </c>
      <c r="R234" t="s">
        <v>1086</v>
      </c>
      <c r="U234" t="s">
        <v>1090</v>
      </c>
    </row>
    <row r="235" spans="1:21" x14ac:dyDescent="0.25">
      <c r="A235" t="s">
        <v>1091</v>
      </c>
      <c r="B235" t="s">
        <v>38</v>
      </c>
      <c r="C235" t="s">
        <v>1092</v>
      </c>
      <c r="D235">
        <f>973-17465840</f>
        <v>-17464867</v>
      </c>
      <c r="E235" t="s">
        <v>1093</v>
      </c>
      <c r="F235" t="s">
        <v>1088</v>
      </c>
      <c r="G235" t="s">
        <v>1089</v>
      </c>
      <c r="H235">
        <v>50.626863</v>
      </c>
      <c r="I235">
        <v>26.254619000000002</v>
      </c>
      <c r="J235">
        <v>158</v>
      </c>
      <c r="K235" t="s">
        <v>27</v>
      </c>
      <c r="L235" t="s">
        <v>27</v>
      </c>
      <c r="M235" t="s">
        <v>27</v>
      </c>
      <c r="N235" t="s">
        <v>34</v>
      </c>
      <c r="O235" t="s">
        <v>34</v>
      </c>
      <c r="P235" t="s">
        <v>27</v>
      </c>
      <c r="Q235" t="s">
        <v>27</v>
      </c>
      <c r="R235" t="s">
        <v>1092</v>
      </c>
      <c r="U235" t="s">
        <v>1094</v>
      </c>
    </row>
    <row r="236" spans="1:21" x14ac:dyDescent="0.25">
      <c r="A236" t="s">
        <v>1095</v>
      </c>
      <c r="B236" t="s">
        <v>32</v>
      </c>
      <c r="C236" t="s">
        <v>1096</v>
      </c>
      <c r="D236">
        <f>973-17179885</f>
        <v>-17178912</v>
      </c>
      <c r="E236" t="s">
        <v>1087</v>
      </c>
      <c r="F236" t="s">
        <v>1088</v>
      </c>
      <c r="G236" t="s">
        <v>1089</v>
      </c>
      <c r="H236">
        <v>50.553609999999999</v>
      </c>
      <c r="I236">
        <v>26.233177999999999</v>
      </c>
      <c r="J236">
        <v>158</v>
      </c>
      <c r="K236" t="s">
        <v>27</v>
      </c>
      <c r="L236" t="s">
        <v>27</v>
      </c>
      <c r="M236" t="s">
        <v>27</v>
      </c>
      <c r="N236" t="s">
        <v>28</v>
      </c>
      <c r="O236" t="s">
        <v>28</v>
      </c>
      <c r="P236" t="s">
        <v>27</v>
      </c>
      <c r="Q236" t="s">
        <v>27</v>
      </c>
      <c r="R236" t="s">
        <v>1096</v>
      </c>
      <c r="U236" t="s">
        <v>1097</v>
      </c>
    </row>
    <row r="237" spans="1:21" x14ac:dyDescent="0.25">
      <c r="A237" t="s">
        <v>1098</v>
      </c>
      <c r="B237" t="s">
        <v>22</v>
      </c>
      <c r="C237" t="s">
        <v>1099</v>
      </c>
      <c r="E237" t="s">
        <v>1087</v>
      </c>
      <c r="F237" t="s">
        <v>1088</v>
      </c>
      <c r="G237" t="s">
        <v>1089</v>
      </c>
      <c r="H237">
        <v>50.585588000000001</v>
      </c>
      <c r="I237">
        <v>26.245961999999999</v>
      </c>
      <c r="J237">
        <v>158</v>
      </c>
      <c r="K237" t="s">
        <v>27</v>
      </c>
      <c r="L237" t="s">
        <v>27</v>
      </c>
      <c r="M237" t="s">
        <v>27</v>
      </c>
      <c r="N237" t="s">
        <v>34</v>
      </c>
      <c r="O237" t="s">
        <v>34</v>
      </c>
      <c r="P237" t="s">
        <v>27</v>
      </c>
      <c r="Q237" t="s">
        <v>27</v>
      </c>
      <c r="R237" t="s">
        <v>1099</v>
      </c>
      <c r="U237" t="s">
        <v>1100</v>
      </c>
    </row>
    <row r="238" spans="1:21" x14ac:dyDescent="0.25">
      <c r="A238" t="s">
        <v>1101</v>
      </c>
      <c r="B238" t="s">
        <v>22</v>
      </c>
      <c r="C238" t="s">
        <v>1102</v>
      </c>
      <c r="D238">
        <f>375-172501534</f>
        <v>-172501159</v>
      </c>
      <c r="E238" t="s">
        <v>1103</v>
      </c>
      <c r="F238" t="s">
        <v>1104</v>
      </c>
      <c r="G238" t="s">
        <v>1105</v>
      </c>
      <c r="H238">
        <v>27.548888000000002</v>
      </c>
      <c r="I238">
        <v>53.908560000000001</v>
      </c>
      <c r="J238">
        <v>145</v>
      </c>
      <c r="K238" t="s">
        <v>27</v>
      </c>
      <c r="L238" t="s">
        <v>27</v>
      </c>
      <c r="M238" t="s">
        <v>27</v>
      </c>
      <c r="N238" t="s">
        <v>27</v>
      </c>
      <c r="O238" t="s">
        <v>27</v>
      </c>
      <c r="P238" t="s">
        <v>27</v>
      </c>
      <c r="Q238" t="s">
        <v>27</v>
      </c>
      <c r="R238" t="s">
        <v>1102</v>
      </c>
      <c r="S238" t="s">
        <v>1106</v>
      </c>
      <c r="U238" t="s">
        <v>1107</v>
      </c>
    </row>
    <row r="239" spans="1:21" x14ac:dyDescent="0.25">
      <c r="A239" t="s">
        <v>1108</v>
      </c>
      <c r="B239" t="s">
        <v>22</v>
      </c>
      <c r="C239" t="s">
        <v>1109</v>
      </c>
      <c r="D239">
        <f>375-172500375</f>
        <v>-172500000</v>
      </c>
      <c r="E239" t="s">
        <v>1103</v>
      </c>
      <c r="F239" t="s">
        <v>1104</v>
      </c>
      <c r="G239" t="s">
        <v>1105</v>
      </c>
      <c r="H239">
        <v>27.510048000000001</v>
      </c>
      <c r="I239">
        <v>53.927014</v>
      </c>
      <c r="J239">
        <v>145</v>
      </c>
      <c r="K239" t="s">
        <v>27</v>
      </c>
      <c r="L239" t="s">
        <v>27</v>
      </c>
      <c r="M239" t="s">
        <v>27</v>
      </c>
      <c r="N239" t="s">
        <v>27</v>
      </c>
      <c r="O239" t="s">
        <v>27</v>
      </c>
      <c r="P239" t="s">
        <v>27</v>
      </c>
      <c r="Q239" t="s">
        <v>27</v>
      </c>
      <c r="R239" t="s">
        <v>1109</v>
      </c>
      <c r="S239" t="s">
        <v>1110</v>
      </c>
      <c r="U239" t="s">
        <v>1111</v>
      </c>
    </row>
    <row r="240" spans="1:21" x14ac:dyDescent="0.25">
      <c r="A240" t="s">
        <v>1112</v>
      </c>
      <c r="B240" t="s">
        <v>38</v>
      </c>
      <c r="C240" t="s">
        <v>1113</v>
      </c>
      <c r="D240">
        <f>375-172501534</f>
        <v>-172501159</v>
      </c>
      <c r="E240" t="s">
        <v>1114</v>
      </c>
      <c r="F240" t="s">
        <v>1104</v>
      </c>
      <c r="G240" t="s">
        <v>1105</v>
      </c>
      <c r="H240">
        <v>23.853988999999999</v>
      </c>
      <c r="I240">
        <v>53.649904999999997</v>
      </c>
      <c r="J240">
        <v>145</v>
      </c>
      <c r="K240" t="s">
        <v>27</v>
      </c>
      <c r="L240" t="s">
        <v>27</v>
      </c>
      <c r="M240" t="s">
        <v>27</v>
      </c>
      <c r="N240" t="s">
        <v>27</v>
      </c>
      <c r="O240" t="s">
        <v>27</v>
      </c>
      <c r="P240" t="s">
        <v>27</v>
      </c>
      <c r="Q240" t="s">
        <v>27</v>
      </c>
      <c r="R240" t="s">
        <v>1113</v>
      </c>
      <c r="S240" t="s">
        <v>1115</v>
      </c>
      <c r="U240" t="s">
        <v>1116</v>
      </c>
    </row>
    <row r="241" spans="1:21" x14ac:dyDescent="0.25">
      <c r="A241" t="s">
        <v>1117</v>
      </c>
      <c r="B241" t="s">
        <v>32</v>
      </c>
      <c r="C241" t="s">
        <v>1118</v>
      </c>
      <c r="D241">
        <f t="shared" ref="D241:D272" si="7">1-855-272-7007</f>
        <v>-8133</v>
      </c>
      <c r="E241" t="s">
        <v>1119</v>
      </c>
      <c r="F241" t="s">
        <v>1120</v>
      </c>
      <c r="G241" t="s">
        <v>1121</v>
      </c>
      <c r="H241">
        <v>-79.381044924193702</v>
      </c>
      <c r="I241">
        <v>43.656105158216697</v>
      </c>
      <c r="J241">
        <v>35</v>
      </c>
      <c r="K241" t="s">
        <v>717</v>
      </c>
      <c r="L241" t="s">
        <v>717</v>
      </c>
      <c r="M241" t="s">
        <v>717</v>
      </c>
      <c r="N241" t="s">
        <v>717</v>
      </c>
      <c r="O241" t="s">
        <v>717</v>
      </c>
      <c r="P241" t="s">
        <v>717</v>
      </c>
      <c r="Q241" t="s">
        <v>717</v>
      </c>
      <c r="R241" t="s">
        <v>1122</v>
      </c>
      <c r="T241" t="s">
        <v>1123</v>
      </c>
      <c r="U241" t="s">
        <v>1124</v>
      </c>
    </row>
    <row r="242" spans="1:21" x14ac:dyDescent="0.25">
      <c r="A242" t="s">
        <v>1125</v>
      </c>
      <c r="B242" t="s">
        <v>22</v>
      </c>
      <c r="C242" t="s">
        <v>1126</v>
      </c>
      <c r="D242">
        <f t="shared" si="7"/>
        <v>-8133</v>
      </c>
      <c r="E242" t="s">
        <v>1119</v>
      </c>
      <c r="F242" t="s">
        <v>1120</v>
      </c>
      <c r="G242" t="s">
        <v>1121</v>
      </c>
      <c r="H242">
        <v>-79.288155415379094</v>
      </c>
      <c r="I242">
        <v>43.868485759305898</v>
      </c>
      <c r="J242">
        <v>35</v>
      </c>
      <c r="K242" t="s">
        <v>45</v>
      </c>
      <c r="L242" t="s">
        <v>45</v>
      </c>
      <c r="M242" t="s">
        <v>45</v>
      </c>
      <c r="N242" t="s">
        <v>45</v>
      </c>
      <c r="O242" t="s">
        <v>45</v>
      </c>
      <c r="P242" t="s">
        <v>535</v>
      </c>
      <c r="Q242" t="s">
        <v>1034</v>
      </c>
      <c r="R242" t="s">
        <v>1127</v>
      </c>
      <c r="T242" t="s">
        <v>1123</v>
      </c>
      <c r="U242" t="s">
        <v>1128</v>
      </c>
    </row>
    <row r="243" spans="1:21" x14ac:dyDescent="0.25">
      <c r="A243" t="s">
        <v>1129</v>
      </c>
      <c r="B243" t="s">
        <v>22</v>
      </c>
      <c r="C243" t="s">
        <v>1130</v>
      </c>
      <c r="D243">
        <f t="shared" si="7"/>
        <v>-8133</v>
      </c>
      <c r="E243" t="s">
        <v>1119</v>
      </c>
      <c r="F243" t="s">
        <v>1120</v>
      </c>
      <c r="G243" t="s">
        <v>1121</v>
      </c>
      <c r="H243">
        <v>-79.345982867199993</v>
      </c>
      <c r="I243">
        <v>43.7776907541529</v>
      </c>
      <c r="J243">
        <v>35</v>
      </c>
      <c r="K243" t="s">
        <v>717</v>
      </c>
      <c r="L243" t="s">
        <v>717</v>
      </c>
      <c r="M243" t="s">
        <v>717</v>
      </c>
      <c r="N243" t="s">
        <v>717</v>
      </c>
      <c r="O243" t="s">
        <v>717</v>
      </c>
      <c r="P243" t="s">
        <v>717</v>
      </c>
      <c r="Q243" t="s">
        <v>717</v>
      </c>
      <c r="R243" t="s">
        <v>1131</v>
      </c>
      <c r="T243" t="s">
        <v>1123</v>
      </c>
      <c r="U243" t="s">
        <v>1132</v>
      </c>
    </row>
    <row r="244" spans="1:21" x14ac:dyDescent="0.25">
      <c r="A244" t="s">
        <v>1133</v>
      </c>
      <c r="B244" t="s">
        <v>38</v>
      </c>
      <c r="C244" t="s">
        <v>1134</v>
      </c>
      <c r="D244">
        <f t="shared" si="7"/>
        <v>-8133</v>
      </c>
      <c r="E244" t="s">
        <v>1119</v>
      </c>
      <c r="F244" t="s">
        <v>1120</v>
      </c>
      <c r="G244" t="s">
        <v>1121</v>
      </c>
      <c r="H244">
        <v>-79.452851655496403</v>
      </c>
      <c r="I244">
        <v>43.806471370357698</v>
      </c>
      <c r="J244">
        <v>35</v>
      </c>
      <c r="K244" t="s">
        <v>45</v>
      </c>
      <c r="L244" t="s">
        <v>45</v>
      </c>
      <c r="M244" t="s">
        <v>45</v>
      </c>
      <c r="N244" t="s">
        <v>45</v>
      </c>
      <c r="O244" t="s">
        <v>45</v>
      </c>
      <c r="P244" t="s">
        <v>45</v>
      </c>
      <c r="Q244" t="s">
        <v>717</v>
      </c>
      <c r="R244" t="s">
        <v>1135</v>
      </c>
      <c r="T244" t="s">
        <v>1123</v>
      </c>
      <c r="U244" t="s">
        <v>1136</v>
      </c>
    </row>
    <row r="245" spans="1:21" x14ac:dyDescent="0.25">
      <c r="A245" t="s">
        <v>1137</v>
      </c>
      <c r="B245" t="s">
        <v>22</v>
      </c>
      <c r="C245" t="s">
        <v>1138</v>
      </c>
      <c r="D245">
        <f t="shared" si="7"/>
        <v>-8133</v>
      </c>
      <c r="E245" t="s">
        <v>1119</v>
      </c>
      <c r="F245" t="s">
        <v>1120</v>
      </c>
      <c r="G245" t="s">
        <v>1121</v>
      </c>
      <c r="H245">
        <v>-79.537828221778</v>
      </c>
      <c r="I245">
        <v>43.8247416170151</v>
      </c>
      <c r="J245">
        <v>35</v>
      </c>
      <c r="K245" t="s">
        <v>45</v>
      </c>
      <c r="L245" t="s">
        <v>45</v>
      </c>
      <c r="M245" t="s">
        <v>45</v>
      </c>
      <c r="N245" t="s">
        <v>45</v>
      </c>
      <c r="O245" t="s">
        <v>45</v>
      </c>
      <c r="P245" t="s">
        <v>45</v>
      </c>
      <c r="Q245" t="s">
        <v>717</v>
      </c>
      <c r="R245" t="s">
        <v>1139</v>
      </c>
      <c r="T245" t="s">
        <v>1123</v>
      </c>
      <c r="U245" t="s">
        <v>1140</v>
      </c>
    </row>
    <row r="246" spans="1:21" x14ac:dyDescent="0.25">
      <c r="A246" t="s">
        <v>1141</v>
      </c>
      <c r="B246" t="s">
        <v>22</v>
      </c>
      <c r="C246" t="s">
        <v>1142</v>
      </c>
      <c r="D246">
        <f t="shared" si="7"/>
        <v>-8133</v>
      </c>
      <c r="E246" t="s">
        <v>1119</v>
      </c>
      <c r="F246" t="s">
        <v>1120</v>
      </c>
      <c r="G246" t="s">
        <v>1121</v>
      </c>
      <c r="H246">
        <v>-79.387499099999999</v>
      </c>
      <c r="I246">
        <v>43.6699636351794</v>
      </c>
      <c r="J246">
        <v>35</v>
      </c>
      <c r="K246" t="s">
        <v>45</v>
      </c>
      <c r="L246" t="s">
        <v>45</v>
      </c>
      <c r="M246" t="s">
        <v>45</v>
      </c>
      <c r="N246" t="s">
        <v>45</v>
      </c>
      <c r="O246" t="s">
        <v>45</v>
      </c>
      <c r="P246" t="s">
        <v>45</v>
      </c>
      <c r="Q246" t="s">
        <v>535</v>
      </c>
      <c r="R246" t="s">
        <v>1143</v>
      </c>
      <c r="T246" t="s">
        <v>1123</v>
      </c>
      <c r="U246" t="s">
        <v>1144</v>
      </c>
    </row>
    <row r="247" spans="1:21" x14ac:dyDescent="0.25">
      <c r="A247" t="s">
        <v>1145</v>
      </c>
      <c r="B247" t="s">
        <v>32</v>
      </c>
      <c r="C247" t="s">
        <v>1146</v>
      </c>
      <c r="D247">
        <f t="shared" si="7"/>
        <v>-8133</v>
      </c>
      <c r="E247" t="s">
        <v>1119</v>
      </c>
      <c r="F247" t="s">
        <v>1120</v>
      </c>
      <c r="G247" t="s">
        <v>1121</v>
      </c>
      <c r="H247">
        <v>-79.451196331283398</v>
      </c>
      <c r="I247">
        <v>43.726444202669398</v>
      </c>
      <c r="J247">
        <v>35</v>
      </c>
      <c r="K247" t="s">
        <v>717</v>
      </c>
      <c r="L247" t="s">
        <v>717</v>
      </c>
      <c r="M247" t="s">
        <v>717</v>
      </c>
      <c r="N247" t="s">
        <v>717</v>
      </c>
      <c r="O247" t="s">
        <v>717</v>
      </c>
      <c r="P247" t="s">
        <v>717</v>
      </c>
      <c r="Q247" t="s">
        <v>717</v>
      </c>
      <c r="R247" t="s">
        <v>1147</v>
      </c>
      <c r="T247" t="s">
        <v>1123</v>
      </c>
      <c r="U247" t="s">
        <v>1148</v>
      </c>
    </row>
    <row r="248" spans="1:21" x14ac:dyDescent="0.25">
      <c r="A248" t="s">
        <v>1149</v>
      </c>
      <c r="B248" t="s">
        <v>22</v>
      </c>
      <c r="C248" t="s">
        <v>1150</v>
      </c>
      <c r="D248">
        <f t="shared" si="7"/>
        <v>-8133</v>
      </c>
      <c r="E248" t="s">
        <v>1151</v>
      </c>
      <c r="F248" t="s">
        <v>1120</v>
      </c>
      <c r="G248" t="s">
        <v>1121</v>
      </c>
      <c r="H248">
        <v>-79.687361222093301</v>
      </c>
      <c r="I248">
        <v>43.461791706702201</v>
      </c>
      <c r="J248">
        <v>35</v>
      </c>
      <c r="K248" t="s">
        <v>536</v>
      </c>
      <c r="L248" t="s">
        <v>536</v>
      </c>
      <c r="M248" t="s">
        <v>536</v>
      </c>
      <c r="N248" t="s">
        <v>536</v>
      </c>
      <c r="O248" t="s">
        <v>536</v>
      </c>
      <c r="P248" t="s">
        <v>262</v>
      </c>
      <c r="Q248" t="s">
        <v>564</v>
      </c>
      <c r="R248" t="s">
        <v>1152</v>
      </c>
      <c r="T248" t="s">
        <v>1123</v>
      </c>
      <c r="U248" t="s">
        <v>1153</v>
      </c>
    </row>
    <row r="249" spans="1:21" x14ac:dyDescent="0.25">
      <c r="A249" t="s">
        <v>1154</v>
      </c>
      <c r="B249" t="s">
        <v>22</v>
      </c>
      <c r="C249" t="s">
        <v>1155</v>
      </c>
      <c r="D249">
        <f t="shared" si="7"/>
        <v>-8133</v>
      </c>
      <c r="E249" t="s">
        <v>1156</v>
      </c>
      <c r="F249" t="s">
        <v>1120</v>
      </c>
      <c r="G249" t="s">
        <v>1121</v>
      </c>
      <c r="H249">
        <v>-79.644217693694301</v>
      </c>
      <c r="I249">
        <v>43.592031255000002</v>
      </c>
      <c r="J249">
        <v>35</v>
      </c>
      <c r="K249" t="s">
        <v>536</v>
      </c>
      <c r="L249" t="s">
        <v>536</v>
      </c>
      <c r="M249" t="s">
        <v>536</v>
      </c>
      <c r="N249" t="s">
        <v>536</v>
      </c>
      <c r="O249" t="s">
        <v>536</v>
      </c>
      <c r="P249" t="s">
        <v>536</v>
      </c>
      <c r="Q249" t="s">
        <v>45</v>
      </c>
      <c r="R249" t="s">
        <v>1157</v>
      </c>
      <c r="T249" t="s">
        <v>1123</v>
      </c>
      <c r="U249" t="s">
        <v>1158</v>
      </c>
    </row>
    <row r="250" spans="1:21" x14ac:dyDescent="0.25">
      <c r="A250" t="s">
        <v>1159</v>
      </c>
      <c r="B250" t="s">
        <v>38</v>
      </c>
      <c r="C250" t="s">
        <v>1160</v>
      </c>
      <c r="D250">
        <f t="shared" si="7"/>
        <v>-8133</v>
      </c>
      <c r="E250" t="s">
        <v>1156</v>
      </c>
      <c r="F250" t="s">
        <v>1120</v>
      </c>
      <c r="G250" t="s">
        <v>1121</v>
      </c>
      <c r="H250">
        <v>-79.7120043844279</v>
      </c>
      <c r="I250">
        <v>43.557923119948697</v>
      </c>
      <c r="J250">
        <v>35</v>
      </c>
      <c r="K250" t="s">
        <v>717</v>
      </c>
      <c r="L250" t="s">
        <v>717</v>
      </c>
      <c r="M250" t="s">
        <v>717</v>
      </c>
      <c r="N250" t="s">
        <v>717</v>
      </c>
      <c r="O250" t="s">
        <v>717</v>
      </c>
      <c r="P250" t="s">
        <v>1034</v>
      </c>
      <c r="Q250" t="s">
        <v>1034</v>
      </c>
      <c r="R250" t="s">
        <v>1161</v>
      </c>
      <c r="T250" t="s">
        <v>1123</v>
      </c>
      <c r="U250" t="s">
        <v>1162</v>
      </c>
    </row>
    <row r="251" spans="1:21" x14ac:dyDescent="0.25">
      <c r="A251" t="s">
        <v>1163</v>
      </c>
      <c r="B251" t="s">
        <v>22</v>
      </c>
      <c r="C251" t="s">
        <v>1164</v>
      </c>
      <c r="D251">
        <f t="shared" si="7"/>
        <v>-8133</v>
      </c>
      <c r="E251" t="s">
        <v>1165</v>
      </c>
      <c r="F251" t="s">
        <v>1120</v>
      </c>
      <c r="G251" t="s">
        <v>1121</v>
      </c>
      <c r="H251">
        <v>-79.257775291796307</v>
      </c>
      <c r="I251">
        <v>43.775326475203599</v>
      </c>
      <c r="J251">
        <v>35</v>
      </c>
      <c r="K251" t="s">
        <v>717</v>
      </c>
      <c r="L251" t="s">
        <v>717</v>
      </c>
      <c r="M251" t="s">
        <v>717</v>
      </c>
      <c r="N251" t="s">
        <v>717</v>
      </c>
      <c r="O251" t="s">
        <v>717</v>
      </c>
      <c r="P251" t="s">
        <v>717</v>
      </c>
      <c r="Q251" t="s">
        <v>717</v>
      </c>
      <c r="R251" t="s">
        <v>1166</v>
      </c>
      <c r="T251" t="s">
        <v>1123</v>
      </c>
      <c r="U251" t="s">
        <v>1167</v>
      </c>
    </row>
    <row r="252" spans="1:21" x14ac:dyDescent="0.25">
      <c r="A252" t="s">
        <v>1168</v>
      </c>
      <c r="B252" t="s">
        <v>32</v>
      </c>
      <c r="C252" t="s">
        <v>1169</v>
      </c>
      <c r="D252">
        <f t="shared" si="7"/>
        <v>-8133</v>
      </c>
      <c r="E252" t="s">
        <v>1170</v>
      </c>
      <c r="F252" t="s">
        <v>1120</v>
      </c>
      <c r="G252" t="s">
        <v>1121</v>
      </c>
      <c r="H252">
        <v>-73.572966857257995</v>
      </c>
      <c r="I252">
        <v>45.4998040753471</v>
      </c>
      <c r="J252">
        <v>35</v>
      </c>
      <c r="K252" t="s">
        <v>536</v>
      </c>
      <c r="L252" t="s">
        <v>536</v>
      </c>
      <c r="M252" t="s">
        <v>536</v>
      </c>
      <c r="N252" t="s">
        <v>536</v>
      </c>
      <c r="O252" t="s">
        <v>536</v>
      </c>
      <c r="P252" t="s">
        <v>45</v>
      </c>
      <c r="Q252" t="s">
        <v>428</v>
      </c>
      <c r="R252" t="s">
        <v>1171</v>
      </c>
      <c r="T252" t="s">
        <v>1172</v>
      </c>
      <c r="U252" t="s">
        <v>1173</v>
      </c>
    </row>
    <row r="253" spans="1:21" x14ac:dyDescent="0.25">
      <c r="A253" t="s">
        <v>1174</v>
      </c>
      <c r="B253" t="s">
        <v>22</v>
      </c>
      <c r="C253" t="s">
        <v>1175</v>
      </c>
      <c r="D253">
        <f t="shared" si="7"/>
        <v>-8133</v>
      </c>
      <c r="E253" t="s">
        <v>1170</v>
      </c>
      <c r="F253" t="s">
        <v>1120</v>
      </c>
      <c r="G253" t="s">
        <v>1121</v>
      </c>
      <c r="H253">
        <v>-73.830374675717394</v>
      </c>
      <c r="I253">
        <v>45.464346528208303</v>
      </c>
      <c r="J253">
        <v>35</v>
      </c>
      <c r="K253" t="s">
        <v>428</v>
      </c>
      <c r="L253" t="s">
        <v>428</v>
      </c>
      <c r="M253" t="s">
        <v>536</v>
      </c>
      <c r="N253" t="s">
        <v>536</v>
      </c>
      <c r="O253" t="s">
        <v>536</v>
      </c>
      <c r="P253" t="s">
        <v>326</v>
      </c>
      <c r="Q253" t="s">
        <v>553</v>
      </c>
      <c r="R253" t="s">
        <v>1176</v>
      </c>
      <c r="T253" t="s">
        <v>1172</v>
      </c>
      <c r="U253" t="s">
        <v>1177</v>
      </c>
    </row>
    <row r="254" spans="1:21" x14ac:dyDescent="0.25">
      <c r="A254" t="s">
        <v>1178</v>
      </c>
      <c r="B254" t="s">
        <v>22</v>
      </c>
      <c r="C254" t="s">
        <v>1179</v>
      </c>
      <c r="D254">
        <f t="shared" si="7"/>
        <v>-8133</v>
      </c>
      <c r="E254" t="s">
        <v>1170</v>
      </c>
      <c r="F254" t="s">
        <v>1120</v>
      </c>
      <c r="G254" t="s">
        <v>1121</v>
      </c>
      <c r="H254">
        <v>-73.566063469497706</v>
      </c>
      <c r="I254">
        <v>45.6005344646493</v>
      </c>
      <c r="J254">
        <v>35</v>
      </c>
      <c r="K254" t="s">
        <v>535</v>
      </c>
      <c r="L254" t="s">
        <v>535</v>
      </c>
      <c r="M254" t="s">
        <v>535</v>
      </c>
      <c r="N254" t="s">
        <v>536</v>
      </c>
      <c r="O254" t="s">
        <v>536</v>
      </c>
      <c r="P254" t="s">
        <v>326</v>
      </c>
      <c r="Q254" t="s">
        <v>553</v>
      </c>
      <c r="R254" t="s">
        <v>1180</v>
      </c>
      <c r="T254" t="s">
        <v>1172</v>
      </c>
      <c r="U254" t="s">
        <v>1181</v>
      </c>
    </row>
    <row r="255" spans="1:21" x14ac:dyDescent="0.25">
      <c r="A255" t="s">
        <v>1182</v>
      </c>
      <c r="B255" t="s">
        <v>38</v>
      </c>
      <c r="C255" t="s">
        <v>1183</v>
      </c>
      <c r="D255">
        <f t="shared" si="7"/>
        <v>-8133</v>
      </c>
      <c r="E255" t="s">
        <v>1184</v>
      </c>
      <c r="F255" t="s">
        <v>1120</v>
      </c>
      <c r="G255" t="s">
        <v>1121</v>
      </c>
      <c r="H255">
        <v>-79.707600602965996</v>
      </c>
      <c r="I255">
        <v>44.412657281597802</v>
      </c>
      <c r="J255">
        <v>35</v>
      </c>
      <c r="K255" t="s">
        <v>45</v>
      </c>
      <c r="L255" t="s">
        <v>45</v>
      </c>
      <c r="M255" t="s">
        <v>45</v>
      </c>
      <c r="N255" t="s">
        <v>45</v>
      </c>
      <c r="O255" t="s">
        <v>45</v>
      </c>
      <c r="P255" t="s">
        <v>717</v>
      </c>
      <c r="Q255" t="s">
        <v>564</v>
      </c>
      <c r="R255" t="s">
        <v>1185</v>
      </c>
      <c r="T255" t="s">
        <v>1123</v>
      </c>
      <c r="U255" t="s">
        <v>1186</v>
      </c>
    </row>
    <row r="256" spans="1:21" x14ac:dyDescent="0.25">
      <c r="A256" t="s">
        <v>1187</v>
      </c>
      <c r="B256" t="s">
        <v>38</v>
      </c>
      <c r="C256" t="s">
        <v>1188</v>
      </c>
      <c r="D256">
        <f t="shared" si="7"/>
        <v>-8133</v>
      </c>
      <c r="E256" t="s">
        <v>1170</v>
      </c>
      <c r="F256" t="s">
        <v>1120</v>
      </c>
      <c r="G256" t="s">
        <v>1121</v>
      </c>
      <c r="H256">
        <v>-73.4708164034964</v>
      </c>
      <c r="I256">
        <v>45.471569195289902</v>
      </c>
      <c r="J256">
        <v>35</v>
      </c>
      <c r="K256" t="s">
        <v>428</v>
      </c>
      <c r="L256" t="s">
        <v>428</v>
      </c>
      <c r="M256" t="s">
        <v>1189</v>
      </c>
      <c r="N256" t="s">
        <v>1189</v>
      </c>
      <c r="O256" t="s">
        <v>1189</v>
      </c>
      <c r="P256" t="s">
        <v>553</v>
      </c>
      <c r="Q256" t="s">
        <v>553</v>
      </c>
      <c r="R256" t="s">
        <v>1190</v>
      </c>
      <c r="T256" t="s">
        <v>1172</v>
      </c>
      <c r="U256" t="s">
        <v>1191</v>
      </c>
    </row>
    <row r="257" spans="1:21" x14ac:dyDescent="0.25">
      <c r="A257" t="s">
        <v>1192</v>
      </c>
      <c r="B257" t="s">
        <v>38</v>
      </c>
      <c r="C257" t="s">
        <v>1193</v>
      </c>
      <c r="D257">
        <f t="shared" si="7"/>
        <v>-8133</v>
      </c>
      <c r="E257" t="s">
        <v>1194</v>
      </c>
      <c r="F257" t="s">
        <v>1120</v>
      </c>
      <c r="G257" t="s">
        <v>1121</v>
      </c>
      <c r="H257">
        <v>-79.486285445013806</v>
      </c>
      <c r="I257">
        <v>44.0563788248446</v>
      </c>
      <c r="J257">
        <v>35</v>
      </c>
      <c r="K257" t="s">
        <v>717</v>
      </c>
      <c r="L257" t="s">
        <v>717</v>
      </c>
      <c r="M257" t="s">
        <v>717</v>
      </c>
      <c r="N257" t="s">
        <v>717</v>
      </c>
      <c r="O257" t="s">
        <v>717</v>
      </c>
      <c r="P257" t="s">
        <v>717</v>
      </c>
      <c r="Q257" t="s">
        <v>1034</v>
      </c>
      <c r="R257" t="s">
        <v>1195</v>
      </c>
      <c r="T257" t="s">
        <v>1123</v>
      </c>
      <c r="U257" t="s">
        <v>1196</v>
      </c>
    </row>
    <row r="258" spans="1:21" x14ac:dyDescent="0.25">
      <c r="A258" t="s">
        <v>1197</v>
      </c>
      <c r="B258" t="s">
        <v>22</v>
      </c>
      <c r="C258" t="s">
        <v>1198</v>
      </c>
      <c r="D258">
        <f t="shared" si="7"/>
        <v>-8133</v>
      </c>
      <c r="E258" t="s">
        <v>1170</v>
      </c>
      <c r="F258" t="s">
        <v>1120</v>
      </c>
      <c r="G258" t="s">
        <v>1121</v>
      </c>
      <c r="H258">
        <v>-73.647859404914001</v>
      </c>
      <c r="I258">
        <v>45.527944649601103</v>
      </c>
      <c r="J258">
        <v>35</v>
      </c>
      <c r="K258" t="s">
        <v>428</v>
      </c>
      <c r="L258" t="s">
        <v>428</v>
      </c>
      <c r="M258" t="s">
        <v>536</v>
      </c>
      <c r="N258" t="s">
        <v>536</v>
      </c>
      <c r="O258" t="s">
        <v>536</v>
      </c>
      <c r="P258" t="s">
        <v>326</v>
      </c>
      <c r="Q258" t="s">
        <v>553</v>
      </c>
      <c r="R258" t="s">
        <v>1199</v>
      </c>
      <c r="T258" t="s">
        <v>1172</v>
      </c>
      <c r="U258" t="s">
        <v>1200</v>
      </c>
    </row>
    <row r="259" spans="1:21" x14ac:dyDescent="0.25">
      <c r="A259" t="s">
        <v>1201</v>
      </c>
      <c r="B259" t="s">
        <v>22</v>
      </c>
      <c r="C259" t="s">
        <v>1202</v>
      </c>
      <c r="D259">
        <f t="shared" si="7"/>
        <v>-8133</v>
      </c>
      <c r="E259" t="s">
        <v>1170</v>
      </c>
      <c r="F259" t="s">
        <v>1120</v>
      </c>
      <c r="G259" t="s">
        <v>1121</v>
      </c>
      <c r="H259">
        <v>-73.819110270521307</v>
      </c>
      <c r="I259">
        <v>45.630584783943299</v>
      </c>
      <c r="J259">
        <v>35</v>
      </c>
      <c r="K259" t="s">
        <v>428</v>
      </c>
      <c r="L259" t="s">
        <v>428</v>
      </c>
      <c r="M259" t="s">
        <v>428</v>
      </c>
      <c r="N259" t="s">
        <v>535</v>
      </c>
      <c r="O259" t="s">
        <v>535</v>
      </c>
      <c r="P259" t="s">
        <v>553</v>
      </c>
      <c r="Q259" t="s">
        <v>553</v>
      </c>
      <c r="R259" t="s">
        <v>1203</v>
      </c>
      <c r="T259" t="s">
        <v>1172</v>
      </c>
      <c r="U259" t="s">
        <v>1204</v>
      </c>
    </row>
    <row r="260" spans="1:21" x14ac:dyDescent="0.25">
      <c r="A260" t="s">
        <v>1205</v>
      </c>
      <c r="B260" t="s">
        <v>38</v>
      </c>
      <c r="C260" t="s">
        <v>1206</v>
      </c>
      <c r="D260">
        <f t="shared" si="7"/>
        <v>-8133</v>
      </c>
      <c r="E260" t="s">
        <v>1207</v>
      </c>
      <c r="F260" t="s">
        <v>1120</v>
      </c>
      <c r="G260" t="s">
        <v>1121</v>
      </c>
      <c r="H260">
        <v>-79.0861202459852</v>
      </c>
      <c r="I260">
        <v>43.836039492217999</v>
      </c>
      <c r="J260">
        <v>35</v>
      </c>
      <c r="K260" t="s">
        <v>717</v>
      </c>
      <c r="L260" t="s">
        <v>717</v>
      </c>
      <c r="M260" t="s">
        <v>717</v>
      </c>
      <c r="N260" t="s">
        <v>717</v>
      </c>
      <c r="O260" t="s">
        <v>717</v>
      </c>
      <c r="P260" t="s">
        <v>717</v>
      </c>
      <c r="Q260" t="s">
        <v>717</v>
      </c>
      <c r="R260" t="s">
        <v>1208</v>
      </c>
      <c r="T260" t="s">
        <v>1123</v>
      </c>
      <c r="U260" t="s">
        <v>1209</v>
      </c>
    </row>
    <row r="261" spans="1:21" x14ac:dyDescent="0.25">
      <c r="A261" t="s">
        <v>1210</v>
      </c>
      <c r="B261" t="s">
        <v>38</v>
      </c>
      <c r="C261" t="s">
        <v>1211</v>
      </c>
      <c r="D261">
        <f t="shared" si="7"/>
        <v>-8133</v>
      </c>
      <c r="E261" t="s">
        <v>1212</v>
      </c>
      <c r="F261" t="s">
        <v>1120</v>
      </c>
      <c r="G261" t="s">
        <v>1121</v>
      </c>
      <c r="H261">
        <v>-79.223906591037107</v>
      </c>
      <c r="I261">
        <v>43.1372049356006</v>
      </c>
      <c r="J261">
        <v>35</v>
      </c>
      <c r="K261" t="s">
        <v>45</v>
      </c>
      <c r="L261" t="s">
        <v>45</v>
      </c>
      <c r="M261" t="s">
        <v>45</v>
      </c>
      <c r="N261" t="s">
        <v>45</v>
      </c>
      <c r="O261" t="s">
        <v>45</v>
      </c>
      <c r="P261" t="s">
        <v>45</v>
      </c>
      <c r="Q261" t="s">
        <v>564</v>
      </c>
      <c r="R261" t="s">
        <v>1213</v>
      </c>
      <c r="T261" t="s">
        <v>1123</v>
      </c>
      <c r="U261" t="s">
        <v>1214</v>
      </c>
    </row>
    <row r="262" spans="1:21" x14ac:dyDescent="0.25">
      <c r="A262" t="s">
        <v>1215</v>
      </c>
      <c r="B262" t="s">
        <v>22</v>
      </c>
      <c r="C262" t="s">
        <v>1216</v>
      </c>
      <c r="D262">
        <f t="shared" si="7"/>
        <v>-8133</v>
      </c>
      <c r="E262" t="s">
        <v>1119</v>
      </c>
      <c r="F262" t="s">
        <v>1120</v>
      </c>
      <c r="G262" t="s">
        <v>1121</v>
      </c>
      <c r="H262">
        <v>-79.436151249221197</v>
      </c>
      <c r="I262">
        <v>43.6563438459266</v>
      </c>
      <c r="J262">
        <v>35</v>
      </c>
      <c r="K262" t="s">
        <v>45</v>
      </c>
      <c r="L262" t="s">
        <v>45</v>
      </c>
      <c r="M262" t="s">
        <v>45</v>
      </c>
      <c r="N262" t="s">
        <v>45</v>
      </c>
      <c r="O262" t="s">
        <v>45</v>
      </c>
      <c r="P262" t="s">
        <v>45</v>
      </c>
      <c r="Q262" t="s">
        <v>1034</v>
      </c>
      <c r="R262" t="s">
        <v>1217</v>
      </c>
      <c r="T262" t="s">
        <v>1123</v>
      </c>
      <c r="U262" t="s">
        <v>1218</v>
      </c>
    </row>
    <row r="263" spans="1:21" x14ac:dyDescent="0.25">
      <c r="A263" t="s">
        <v>1219</v>
      </c>
      <c r="B263" t="s">
        <v>38</v>
      </c>
      <c r="C263" t="s">
        <v>1220</v>
      </c>
      <c r="D263">
        <f t="shared" si="7"/>
        <v>-8133</v>
      </c>
      <c r="E263" t="s">
        <v>1221</v>
      </c>
      <c r="F263" t="s">
        <v>1120</v>
      </c>
      <c r="G263" t="s">
        <v>1121</v>
      </c>
      <c r="H263">
        <v>-83.002440396039603</v>
      </c>
      <c r="I263">
        <v>42.275422044665099</v>
      </c>
      <c r="J263">
        <v>35</v>
      </c>
      <c r="K263" t="s">
        <v>45</v>
      </c>
      <c r="L263" t="s">
        <v>45</v>
      </c>
      <c r="M263" t="s">
        <v>45</v>
      </c>
      <c r="N263" t="s">
        <v>45</v>
      </c>
      <c r="O263" t="s">
        <v>45</v>
      </c>
      <c r="P263" t="s">
        <v>428</v>
      </c>
      <c r="Q263" t="s">
        <v>564</v>
      </c>
      <c r="R263" t="s">
        <v>1222</v>
      </c>
      <c r="T263" t="s">
        <v>1123</v>
      </c>
      <c r="U263" t="s">
        <v>1223</v>
      </c>
    </row>
    <row r="264" spans="1:21" x14ac:dyDescent="0.25">
      <c r="A264" t="s">
        <v>1224</v>
      </c>
      <c r="B264" t="s">
        <v>38</v>
      </c>
      <c r="C264" t="s">
        <v>1225</v>
      </c>
      <c r="D264">
        <f t="shared" si="7"/>
        <v>-8133</v>
      </c>
      <c r="E264" t="s">
        <v>1226</v>
      </c>
      <c r="F264" t="s">
        <v>1120</v>
      </c>
      <c r="G264" t="s">
        <v>1121</v>
      </c>
      <c r="H264">
        <v>-81.2243959604059</v>
      </c>
      <c r="I264">
        <v>42.930283305041499</v>
      </c>
      <c r="J264">
        <v>35</v>
      </c>
      <c r="K264" t="s">
        <v>717</v>
      </c>
      <c r="L264" t="s">
        <v>717</v>
      </c>
      <c r="M264" t="s">
        <v>717</v>
      </c>
      <c r="N264" t="s">
        <v>717</v>
      </c>
      <c r="O264" t="s">
        <v>717</v>
      </c>
      <c r="P264" t="s">
        <v>717</v>
      </c>
      <c r="Q264" t="s">
        <v>564</v>
      </c>
      <c r="R264" t="s">
        <v>1227</v>
      </c>
      <c r="T264" t="s">
        <v>1123</v>
      </c>
      <c r="U264" t="s">
        <v>1228</v>
      </c>
    </row>
    <row r="265" spans="1:21" x14ac:dyDescent="0.25">
      <c r="A265" t="s">
        <v>1229</v>
      </c>
      <c r="B265" t="s">
        <v>22</v>
      </c>
      <c r="C265" t="s">
        <v>1230</v>
      </c>
      <c r="D265">
        <f t="shared" si="7"/>
        <v>-8133</v>
      </c>
      <c r="E265" t="s">
        <v>1231</v>
      </c>
      <c r="F265" t="s">
        <v>1120</v>
      </c>
      <c r="G265" t="s">
        <v>1121</v>
      </c>
      <c r="H265">
        <v>-122.79840781684899</v>
      </c>
      <c r="I265">
        <v>49.280570900408698</v>
      </c>
      <c r="J265">
        <v>4</v>
      </c>
      <c r="K265" t="s">
        <v>428</v>
      </c>
      <c r="L265" t="s">
        <v>428</v>
      </c>
      <c r="M265" t="s">
        <v>428</v>
      </c>
      <c r="N265" t="s">
        <v>428</v>
      </c>
      <c r="O265" t="s">
        <v>535</v>
      </c>
      <c r="P265" t="s">
        <v>428</v>
      </c>
      <c r="Q265" t="s">
        <v>1034</v>
      </c>
      <c r="R265" t="s">
        <v>1232</v>
      </c>
      <c r="T265" t="s">
        <v>1233</v>
      </c>
      <c r="U265" t="s">
        <v>1234</v>
      </c>
    </row>
    <row r="266" spans="1:21" x14ac:dyDescent="0.25">
      <c r="A266" t="s">
        <v>1235</v>
      </c>
      <c r="B266" t="s">
        <v>22</v>
      </c>
      <c r="C266" t="s">
        <v>1236</v>
      </c>
      <c r="D266">
        <f t="shared" si="7"/>
        <v>-8133</v>
      </c>
      <c r="E266" t="s">
        <v>1119</v>
      </c>
      <c r="F266" t="s">
        <v>1120</v>
      </c>
      <c r="G266" t="s">
        <v>1121</v>
      </c>
      <c r="H266">
        <v>-79.395505611551002</v>
      </c>
      <c r="I266">
        <v>43.648814088612603</v>
      </c>
      <c r="J266">
        <v>35</v>
      </c>
      <c r="K266" t="s">
        <v>45</v>
      </c>
      <c r="L266" t="s">
        <v>45</v>
      </c>
      <c r="M266" t="s">
        <v>45</v>
      </c>
      <c r="N266" t="s">
        <v>45</v>
      </c>
      <c r="O266" t="s">
        <v>45</v>
      </c>
      <c r="P266" t="s">
        <v>45</v>
      </c>
      <c r="Q266" t="s">
        <v>717</v>
      </c>
      <c r="R266" t="s">
        <v>1237</v>
      </c>
      <c r="T266" t="s">
        <v>1123</v>
      </c>
      <c r="U266" t="s">
        <v>1238</v>
      </c>
    </row>
    <row r="267" spans="1:21" x14ac:dyDescent="0.25">
      <c r="A267" t="s">
        <v>1239</v>
      </c>
      <c r="B267" t="s">
        <v>22</v>
      </c>
      <c r="C267" t="s">
        <v>1240</v>
      </c>
      <c r="D267">
        <f t="shared" si="7"/>
        <v>-8133</v>
      </c>
      <c r="E267" t="s">
        <v>1241</v>
      </c>
      <c r="F267" t="s">
        <v>1120</v>
      </c>
      <c r="G267" t="s">
        <v>1121</v>
      </c>
      <c r="H267">
        <v>-79.860872858389399</v>
      </c>
      <c r="I267">
        <v>43.218555817367303</v>
      </c>
      <c r="J267">
        <v>35</v>
      </c>
      <c r="K267" t="s">
        <v>717</v>
      </c>
      <c r="L267" t="s">
        <v>717</v>
      </c>
      <c r="M267" t="s">
        <v>717</v>
      </c>
      <c r="N267" t="s">
        <v>717</v>
      </c>
      <c r="O267" t="s">
        <v>717</v>
      </c>
      <c r="P267" t="s">
        <v>428</v>
      </c>
      <c r="Q267" t="s">
        <v>1034</v>
      </c>
      <c r="R267" t="s">
        <v>1242</v>
      </c>
      <c r="T267" t="s">
        <v>1123</v>
      </c>
      <c r="U267" t="s">
        <v>1243</v>
      </c>
    </row>
    <row r="268" spans="1:21" x14ac:dyDescent="0.25">
      <c r="A268" t="s">
        <v>1244</v>
      </c>
      <c r="B268" t="s">
        <v>22</v>
      </c>
      <c r="C268" t="s">
        <v>1245</v>
      </c>
      <c r="D268">
        <f t="shared" si="7"/>
        <v>-8133</v>
      </c>
      <c r="E268" t="s">
        <v>1246</v>
      </c>
      <c r="F268" t="s">
        <v>1120</v>
      </c>
      <c r="G268" t="s">
        <v>1121</v>
      </c>
      <c r="H268">
        <v>-113.62544660519799</v>
      </c>
      <c r="I268">
        <v>53.523107000956003</v>
      </c>
      <c r="J268">
        <v>10</v>
      </c>
      <c r="K268" t="s">
        <v>536</v>
      </c>
      <c r="L268" t="s">
        <v>536</v>
      </c>
      <c r="M268" t="s">
        <v>536</v>
      </c>
      <c r="N268" t="s">
        <v>536</v>
      </c>
      <c r="O268" t="s">
        <v>536</v>
      </c>
      <c r="P268" t="s">
        <v>536</v>
      </c>
      <c r="Q268" t="s">
        <v>1034</v>
      </c>
      <c r="R268" t="s">
        <v>1247</v>
      </c>
      <c r="T268" t="s">
        <v>1248</v>
      </c>
      <c r="U268" t="s">
        <v>1249</v>
      </c>
    </row>
    <row r="269" spans="1:21" x14ac:dyDescent="0.25">
      <c r="A269" t="s">
        <v>1250</v>
      </c>
      <c r="B269" t="s">
        <v>32</v>
      </c>
      <c r="C269" t="s">
        <v>1251</v>
      </c>
      <c r="D269">
        <f t="shared" si="7"/>
        <v>-8133</v>
      </c>
      <c r="E269" t="s">
        <v>1252</v>
      </c>
      <c r="F269" t="s">
        <v>1120</v>
      </c>
      <c r="G269" t="s">
        <v>1121</v>
      </c>
      <c r="H269">
        <v>-123.117332667181</v>
      </c>
      <c r="I269">
        <v>49.283241409089896</v>
      </c>
      <c r="J269">
        <v>4</v>
      </c>
      <c r="K269" t="s">
        <v>535</v>
      </c>
      <c r="L269" t="s">
        <v>535</v>
      </c>
      <c r="M269" t="s">
        <v>535</v>
      </c>
      <c r="N269" t="s">
        <v>45</v>
      </c>
      <c r="O269" t="s">
        <v>45</v>
      </c>
      <c r="P269" t="s">
        <v>45</v>
      </c>
      <c r="Q269" t="s">
        <v>535</v>
      </c>
      <c r="R269" t="s">
        <v>1253</v>
      </c>
      <c r="T269" t="s">
        <v>1233</v>
      </c>
      <c r="U269" t="s">
        <v>1254</v>
      </c>
    </row>
    <row r="270" spans="1:21" x14ac:dyDescent="0.25">
      <c r="A270" t="s">
        <v>1255</v>
      </c>
      <c r="B270" t="s">
        <v>22</v>
      </c>
      <c r="C270" t="s">
        <v>1256</v>
      </c>
      <c r="D270">
        <f t="shared" si="7"/>
        <v>-8133</v>
      </c>
      <c r="E270" t="s">
        <v>1257</v>
      </c>
      <c r="F270" t="s">
        <v>1120</v>
      </c>
      <c r="G270" t="s">
        <v>1121</v>
      </c>
      <c r="H270">
        <v>-71.300632229867006</v>
      </c>
      <c r="I270">
        <v>46.830838731879403</v>
      </c>
      <c r="J270">
        <v>35</v>
      </c>
      <c r="K270" t="s">
        <v>428</v>
      </c>
      <c r="L270" t="s">
        <v>428</v>
      </c>
      <c r="M270" t="s">
        <v>428</v>
      </c>
      <c r="N270" t="s">
        <v>45</v>
      </c>
      <c r="O270" t="s">
        <v>45</v>
      </c>
      <c r="P270" t="s">
        <v>326</v>
      </c>
      <c r="Q270" t="s">
        <v>553</v>
      </c>
      <c r="R270" t="s">
        <v>1258</v>
      </c>
      <c r="T270" t="s">
        <v>1172</v>
      </c>
      <c r="U270" t="s">
        <v>1259</v>
      </c>
    </row>
    <row r="271" spans="1:21" x14ac:dyDescent="0.25">
      <c r="A271" t="s">
        <v>1260</v>
      </c>
      <c r="B271" t="s">
        <v>22</v>
      </c>
      <c r="D271">
        <f t="shared" si="7"/>
        <v>-8133</v>
      </c>
      <c r="E271" t="s">
        <v>1257</v>
      </c>
      <c r="F271" t="s">
        <v>1120</v>
      </c>
      <c r="G271" t="s">
        <v>1121</v>
      </c>
      <c r="H271">
        <v>-71.285079342414903</v>
      </c>
      <c r="I271">
        <v>46.770024061567398</v>
      </c>
      <c r="J271">
        <v>35</v>
      </c>
      <c r="K271" t="s">
        <v>428</v>
      </c>
      <c r="L271" t="s">
        <v>428</v>
      </c>
      <c r="M271" t="s">
        <v>428</v>
      </c>
      <c r="N271" t="s">
        <v>45</v>
      </c>
      <c r="O271" t="s">
        <v>45</v>
      </c>
      <c r="P271" t="s">
        <v>326</v>
      </c>
      <c r="Q271" t="s">
        <v>553</v>
      </c>
      <c r="R271" t="s">
        <v>1261</v>
      </c>
      <c r="T271" t="s">
        <v>1262</v>
      </c>
      <c r="U271" t="s">
        <v>1263</v>
      </c>
    </row>
    <row r="272" spans="1:21" x14ac:dyDescent="0.25">
      <c r="A272" t="s">
        <v>1264</v>
      </c>
      <c r="B272" t="s">
        <v>22</v>
      </c>
      <c r="C272" t="s">
        <v>1265</v>
      </c>
      <c r="D272">
        <f t="shared" si="7"/>
        <v>-8133</v>
      </c>
      <c r="E272" t="s">
        <v>1266</v>
      </c>
      <c r="F272" t="s">
        <v>1120</v>
      </c>
      <c r="G272" t="s">
        <v>1121</v>
      </c>
      <c r="H272">
        <v>-113.994396078642</v>
      </c>
      <c r="I272">
        <v>51.203270746542898</v>
      </c>
      <c r="J272">
        <v>10</v>
      </c>
      <c r="K272" t="s">
        <v>535</v>
      </c>
      <c r="L272" t="s">
        <v>535</v>
      </c>
      <c r="M272" t="s">
        <v>535</v>
      </c>
      <c r="N272" t="s">
        <v>535</v>
      </c>
      <c r="O272" t="s">
        <v>535</v>
      </c>
      <c r="P272" t="s">
        <v>535</v>
      </c>
      <c r="Q272" t="s">
        <v>1034</v>
      </c>
      <c r="R272" t="s">
        <v>1267</v>
      </c>
      <c r="T272" t="s">
        <v>1248</v>
      </c>
      <c r="U272" t="s">
        <v>1268</v>
      </c>
    </row>
    <row r="273" spans="1:21" x14ac:dyDescent="0.25">
      <c r="A273" t="s">
        <v>1269</v>
      </c>
      <c r="B273" t="s">
        <v>38</v>
      </c>
      <c r="C273" t="s">
        <v>1270</v>
      </c>
      <c r="D273">
        <f t="shared" ref="D273:D304" si="8">1-855-272-7007</f>
        <v>-8133</v>
      </c>
      <c r="E273" t="s">
        <v>1271</v>
      </c>
      <c r="F273" t="s">
        <v>1120</v>
      </c>
      <c r="G273" t="s">
        <v>1121</v>
      </c>
      <c r="H273">
        <v>-71.952561056741601</v>
      </c>
      <c r="I273">
        <v>45.401330408626798</v>
      </c>
      <c r="J273">
        <v>35</v>
      </c>
      <c r="K273" t="s">
        <v>1272</v>
      </c>
      <c r="L273" t="s">
        <v>1272</v>
      </c>
      <c r="M273" t="s">
        <v>1272</v>
      </c>
      <c r="N273" t="s">
        <v>185</v>
      </c>
      <c r="O273" t="s">
        <v>185</v>
      </c>
      <c r="P273" t="s">
        <v>326</v>
      </c>
      <c r="Q273" t="s">
        <v>553</v>
      </c>
      <c r="R273" t="s">
        <v>1273</v>
      </c>
      <c r="T273" t="s">
        <v>1172</v>
      </c>
      <c r="U273" t="s">
        <v>1274</v>
      </c>
    </row>
    <row r="274" spans="1:21" x14ac:dyDescent="0.25">
      <c r="A274" t="s">
        <v>1275</v>
      </c>
      <c r="B274" t="s">
        <v>38</v>
      </c>
      <c r="C274" t="s">
        <v>1276</v>
      </c>
      <c r="D274">
        <f t="shared" si="8"/>
        <v>-8133</v>
      </c>
      <c r="E274" t="s">
        <v>1277</v>
      </c>
      <c r="F274" t="s">
        <v>1120</v>
      </c>
      <c r="G274" t="s">
        <v>1121</v>
      </c>
      <c r="H274">
        <v>-113.808031696621</v>
      </c>
      <c r="I274">
        <v>52.242624605527197</v>
      </c>
      <c r="J274">
        <v>10</v>
      </c>
      <c r="K274" t="s">
        <v>428</v>
      </c>
      <c r="L274" t="s">
        <v>428</v>
      </c>
      <c r="M274" t="s">
        <v>428</v>
      </c>
      <c r="N274" t="s">
        <v>428</v>
      </c>
      <c r="O274" t="s">
        <v>428</v>
      </c>
      <c r="P274" t="s">
        <v>428</v>
      </c>
      <c r="Q274" t="s">
        <v>564</v>
      </c>
      <c r="R274" t="s">
        <v>1278</v>
      </c>
      <c r="T274" t="s">
        <v>1248</v>
      </c>
      <c r="U274" t="s">
        <v>1279</v>
      </c>
    </row>
    <row r="275" spans="1:21" x14ac:dyDescent="0.25">
      <c r="A275" t="s">
        <v>1280</v>
      </c>
      <c r="B275" t="s">
        <v>38</v>
      </c>
      <c r="C275" t="s">
        <v>1281</v>
      </c>
      <c r="D275">
        <f t="shared" si="8"/>
        <v>-8133</v>
      </c>
      <c r="E275" t="s">
        <v>1282</v>
      </c>
      <c r="F275" t="s">
        <v>1120</v>
      </c>
      <c r="G275" t="s">
        <v>1121</v>
      </c>
      <c r="H275">
        <v>-64.762251931042499</v>
      </c>
      <c r="I275">
        <v>46.095817198379201</v>
      </c>
      <c r="J275">
        <v>50</v>
      </c>
      <c r="K275" t="s">
        <v>535</v>
      </c>
      <c r="L275" t="s">
        <v>535</v>
      </c>
      <c r="M275" t="s">
        <v>535</v>
      </c>
      <c r="N275" t="s">
        <v>536</v>
      </c>
      <c r="O275" t="s">
        <v>536</v>
      </c>
      <c r="P275" t="s">
        <v>535</v>
      </c>
      <c r="Q275" t="s">
        <v>564</v>
      </c>
      <c r="R275" t="s">
        <v>1283</v>
      </c>
      <c r="T275" t="s">
        <v>1284</v>
      </c>
      <c r="U275" t="s">
        <v>1285</v>
      </c>
    </row>
    <row r="276" spans="1:21" x14ac:dyDescent="0.25">
      <c r="A276" t="s">
        <v>1286</v>
      </c>
      <c r="B276" t="s">
        <v>22</v>
      </c>
      <c r="C276" t="s">
        <v>1287</v>
      </c>
      <c r="D276">
        <f t="shared" si="8"/>
        <v>-8133</v>
      </c>
      <c r="E276" t="s">
        <v>1288</v>
      </c>
      <c r="F276" t="s">
        <v>1120</v>
      </c>
      <c r="G276" t="s">
        <v>1121</v>
      </c>
      <c r="H276">
        <v>-63.618127957144502</v>
      </c>
      <c r="I276">
        <v>44.649250222856203</v>
      </c>
      <c r="J276">
        <v>50</v>
      </c>
      <c r="K276" t="s">
        <v>290</v>
      </c>
      <c r="L276" t="s">
        <v>290</v>
      </c>
      <c r="M276" t="s">
        <v>290</v>
      </c>
      <c r="N276" t="s">
        <v>290</v>
      </c>
      <c r="O276" t="s">
        <v>290</v>
      </c>
      <c r="P276" t="s">
        <v>290</v>
      </c>
      <c r="Q276" t="s">
        <v>1289</v>
      </c>
      <c r="R276" t="s">
        <v>1290</v>
      </c>
      <c r="T276" t="s">
        <v>1291</v>
      </c>
      <c r="U276" t="s">
        <v>1292</v>
      </c>
    </row>
    <row r="277" spans="1:21" x14ac:dyDescent="0.25">
      <c r="A277" t="s">
        <v>1293</v>
      </c>
      <c r="B277" t="s">
        <v>22</v>
      </c>
      <c r="C277" t="s">
        <v>1294</v>
      </c>
      <c r="D277">
        <f t="shared" si="8"/>
        <v>-8133</v>
      </c>
      <c r="E277" t="s">
        <v>1295</v>
      </c>
      <c r="F277" t="s">
        <v>1120</v>
      </c>
      <c r="G277" t="s">
        <v>1121</v>
      </c>
      <c r="H277">
        <v>-79.819515858982598</v>
      </c>
      <c r="I277">
        <v>43.325085047880897</v>
      </c>
      <c r="J277">
        <v>35</v>
      </c>
      <c r="K277" t="s">
        <v>717</v>
      </c>
      <c r="L277" t="s">
        <v>717</v>
      </c>
      <c r="M277" t="s">
        <v>717</v>
      </c>
      <c r="N277" t="s">
        <v>717</v>
      </c>
      <c r="O277" t="s">
        <v>717</v>
      </c>
      <c r="P277" t="s">
        <v>717</v>
      </c>
      <c r="Q277" t="s">
        <v>564</v>
      </c>
      <c r="R277" t="s">
        <v>1296</v>
      </c>
      <c r="T277" t="s">
        <v>1123</v>
      </c>
      <c r="U277" t="s">
        <v>1297</v>
      </c>
    </row>
    <row r="278" spans="1:21" x14ac:dyDescent="0.25">
      <c r="A278" t="s">
        <v>1298</v>
      </c>
      <c r="B278" t="s">
        <v>38</v>
      </c>
      <c r="C278" t="s">
        <v>1299</v>
      </c>
      <c r="D278">
        <f t="shared" si="8"/>
        <v>-8133</v>
      </c>
      <c r="E278" t="s">
        <v>1156</v>
      </c>
      <c r="F278" t="s">
        <v>1120</v>
      </c>
      <c r="G278" t="s">
        <v>1121</v>
      </c>
      <c r="H278">
        <v>-79.692916226455495</v>
      </c>
      <c r="I278">
        <v>43.612969332547202</v>
      </c>
      <c r="J278">
        <v>35</v>
      </c>
      <c r="K278" t="s">
        <v>45</v>
      </c>
      <c r="L278" t="s">
        <v>45</v>
      </c>
      <c r="M278" t="s">
        <v>45</v>
      </c>
      <c r="N278" t="s">
        <v>45</v>
      </c>
      <c r="O278" t="s">
        <v>45</v>
      </c>
      <c r="P278" t="s">
        <v>45</v>
      </c>
      <c r="Q278" t="s">
        <v>717</v>
      </c>
      <c r="R278" t="s">
        <v>1300</v>
      </c>
      <c r="T278" t="s">
        <v>1123</v>
      </c>
      <c r="U278" t="s">
        <v>1301</v>
      </c>
    </row>
    <row r="279" spans="1:21" x14ac:dyDescent="0.25">
      <c r="A279" t="s">
        <v>1302</v>
      </c>
      <c r="B279" t="s">
        <v>22</v>
      </c>
      <c r="C279" t="s">
        <v>1303</v>
      </c>
      <c r="D279">
        <f t="shared" si="8"/>
        <v>-8133</v>
      </c>
      <c r="E279" t="s">
        <v>1304</v>
      </c>
      <c r="F279" t="s">
        <v>1120</v>
      </c>
      <c r="G279" t="s">
        <v>1121</v>
      </c>
      <c r="H279">
        <v>-73.423178300251294</v>
      </c>
      <c r="I279">
        <v>46.0328890019372</v>
      </c>
      <c r="J279">
        <v>35</v>
      </c>
      <c r="K279" t="s">
        <v>659</v>
      </c>
      <c r="L279" t="s">
        <v>659</v>
      </c>
      <c r="M279" t="s">
        <v>659</v>
      </c>
      <c r="N279" t="s">
        <v>535</v>
      </c>
      <c r="O279" t="s">
        <v>535</v>
      </c>
      <c r="P279" t="s">
        <v>553</v>
      </c>
      <c r="Q279" t="s">
        <v>553</v>
      </c>
      <c r="R279" t="s">
        <v>1305</v>
      </c>
      <c r="T279" t="s">
        <v>1172</v>
      </c>
      <c r="U279" t="s">
        <v>1306</v>
      </c>
    </row>
    <row r="280" spans="1:21" x14ac:dyDescent="0.25">
      <c r="A280" t="s">
        <v>1307</v>
      </c>
      <c r="B280" t="s">
        <v>22</v>
      </c>
      <c r="C280" t="s">
        <v>1308</v>
      </c>
      <c r="D280">
        <f t="shared" si="8"/>
        <v>-8133</v>
      </c>
      <c r="E280" t="s">
        <v>1246</v>
      </c>
      <c r="F280" t="s">
        <v>1120</v>
      </c>
      <c r="G280" t="s">
        <v>1121</v>
      </c>
      <c r="H280">
        <v>-113.48249874111301</v>
      </c>
      <c r="I280">
        <v>53.443206504319903</v>
      </c>
      <c r="J280">
        <v>10</v>
      </c>
      <c r="K280" t="s">
        <v>536</v>
      </c>
      <c r="L280" t="s">
        <v>536</v>
      </c>
      <c r="M280" t="s">
        <v>536</v>
      </c>
      <c r="N280" t="s">
        <v>536</v>
      </c>
      <c r="O280" t="s">
        <v>536</v>
      </c>
      <c r="P280" t="s">
        <v>535</v>
      </c>
      <c r="Q280" t="s">
        <v>564</v>
      </c>
      <c r="R280" t="s">
        <v>1309</v>
      </c>
      <c r="T280" t="s">
        <v>1248</v>
      </c>
      <c r="U280" t="s">
        <v>1310</v>
      </c>
    </row>
    <row r="281" spans="1:21" x14ac:dyDescent="0.25">
      <c r="A281" t="s">
        <v>1311</v>
      </c>
      <c r="B281" t="s">
        <v>22</v>
      </c>
      <c r="C281" t="s">
        <v>1312</v>
      </c>
      <c r="D281">
        <f t="shared" si="8"/>
        <v>-8133</v>
      </c>
      <c r="E281" t="s">
        <v>1313</v>
      </c>
      <c r="F281" t="s">
        <v>1120</v>
      </c>
      <c r="G281" t="s">
        <v>1121</v>
      </c>
      <c r="H281">
        <v>-114.07205061444</v>
      </c>
      <c r="I281">
        <v>51.046446614487998</v>
      </c>
      <c r="J281">
        <v>10</v>
      </c>
      <c r="K281" t="s">
        <v>564</v>
      </c>
      <c r="L281" t="s">
        <v>564</v>
      </c>
      <c r="M281" t="s">
        <v>564</v>
      </c>
      <c r="N281" t="s">
        <v>564</v>
      </c>
      <c r="O281" t="s">
        <v>564</v>
      </c>
      <c r="P281" t="s">
        <v>564</v>
      </c>
      <c r="Q281" t="s">
        <v>1289</v>
      </c>
      <c r="R281" t="s">
        <v>1314</v>
      </c>
      <c r="T281" t="s">
        <v>1248</v>
      </c>
      <c r="U281" t="s">
        <v>1315</v>
      </c>
    </row>
    <row r="282" spans="1:21" x14ac:dyDescent="0.25">
      <c r="A282" t="s">
        <v>1316</v>
      </c>
      <c r="B282" t="s">
        <v>22</v>
      </c>
      <c r="C282" t="s">
        <v>1317</v>
      </c>
      <c r="D282">
        <f t="shared" si="8"/>
        <v>-8133</v>
      </c>
      <c r="E282" t="s">
        <v>1318</v>
      </c>
      <c r="F282" t="s">
        <v>1120</v>
      </c>
      <c r="G282" t="s">
        <v>1121</v>
      </c>
      <c r="H282">
        <v>-122.99891099080899</v>
      </c>
      <c r="I282">
        <v>49.226034459317503</v>
      </c>
      <c r="J282">
        <v>4</v>
      </c>
      <c r="K282" t="s">
        <v>536</v>
      </c>
      <c r="L282" t="s">
        <v>536</v>
      </c>
      <c r="M282" t="s">
        <v>536</v>
      </c>
      <c r="N282" t="s">
        <v>536</v>
      </c>
      <c r="O282" t="s">
        <v>536</v>
      </c>
      <c r="P282" t="s">
        <v>536</v>
      </c>
      <c r="Q282" t="s">
        <v>717</v>
      </c>
      <c r="R282" t="s">
        <v>1319</v>
      </c>
      <c r="T282" t="s">
        <v>1233</v>
      </c>
      <c r="U282" t="s">
        <v>1320</v>
      </c>
    </row>
    <row r="283" spans="1:21" x14ac:dyDescent="0.25">
      <c r="A283" t="s">
        <v>1321</v>
      </c>
      <c r="B283" t="s">
        <v>22</v>
      </c>
      <c r="C283" t="s">
        <v>1322</v>
      </c>
      <c r="D283">
        <f t="shared" si="8"/>
        <v>-8133</v>
      </c>
      <c r="E283" t="s">
        <v>1323</v>
      </c>
      <c r="F283" t="s">
        <v>1120</v>
      </c>
      <c r="G283" t="s">
        <v>1121</v>
      </c>
      <c r="H283">
        <v>-79.722716188707295</v>
      </c>
      <c r="I283">
        <v>43.716181956647397</v>
      </c>
      <c r="J283">
        <v>35</v>
      </c>
      <c r="K283" t="s">
        <v>717</v>
      </c>
      <c r="L283" t="s">
        <v>717</v>
      </c>
      <c r="M283" t="s">
        <v>717</v>
      </c>
      <c r="N283" t="s">
        <v>717</v>
      </c>
      <c r="O283" t="s">
        <v>717</v>
      </c>
      <c r="P283" t="s">
        <v>717</v>
      </c>
      <c r="Q283" t="s">
        <v>717</v>
      </c>
      <c r="R283" t="s">
        <v>1324</v>
      </c>
      <c r="T283" t="s">
        <v>1123</v>
      </c>
      <c r="U283" t="s">
        <v>1325</v>
      </c>
    </row>
    <row r="284" spans="1:21" x14ac:dyDescent="0.25">
      <c r="A284" t="s">
        <v>1326</v>
      </c>
      <c r="B284" t="s">
        <v>22</v>
      </c>
      <c r="C284" t="s">
        <v>1327</v>
      </c>
      <c r="D284">
        <f t="shared" si="8"/>
        <v>-8133</v>
      </c>
      <c r="E284" t="s">
        <v>827</v>
      </c>
      <c r="F284" t="s">
        <v>1120</v>
      </c>
      <c r="G284" t="s">
        <v>1121</v>
      </c>
      <c r="H284">
        <v>-80.527451849029603</v>
      </c>
      <c r="I284">
        <v>43.497213708449898</v>
      </c>
      <c r="J284">
        <v>35</v>
      </c>
      <c r="K284" t="s">
        <v>717</v>
      </c>
      <c r="L284" t="s">
        <v>717</v>
      </c>
      <c r="M284" t="s">
        <v>717</v>
      </c>
      <c r="N284" t="s">
        <v>717</v>
      </c>
      <c r="O284" t="s">
        <v>717</v>
      </c>
      <c r="P284" t="s">
        <v>1034</v>
      </c>
      <c r="Q284" t="s">
        <v>564</v>
      </c>
      <c r="R284" t="s">
        <v>1328</v>
      </c>
      <c r="T284" t="s">
        <v>1123</v>
      </c>
      <c r="U284" t="s">
        <v>1329</v>
      </c>
    </row>
    <row r="285" spans="1:21" x14ac:dyDescent="0.25">
      <c r="A285" t="s">
        <v>1330</v>
      </c>
      <c r="B285" t="s">
        <v>22</v>
      </c>
      <c r="C285" t="s">
        <v>1331</v>
      </c>
      <c r="D285">
        <f t="shared" si="8"/>
        <v>-8133</v>
      </c>
      <c r="E285" t="s">
        <v>1332</v>
      </c>
      <c r="F285" t="s">
        <v>1120</v>
      </c>
      <c r="G285" t="s">
        <v>1121</v>
      </c>
      <c r="H285">
        <v>-78.331981941266207</v>
      </c>
      <c r="I285">
        <v>44.281747315856599</v>
      </c>
      <c r="J285">
        <v>35</v>
      </c>
      <c r="K285" t="s">
        <v>717</v>
      </c>
      <c r="L285" t="s">
        <v>717</v>
      </c>
      <c r="M285" t="s">
        <v>717</v>
      </c>
      <c r="N285" t="s">
        <v>717</v>
      </c>
      <c r="O285" t="s">
        <v>717</v>
      </c>
      <c r="P285" t="s">
        <v>717</v>
      </c>
      <c r="Q285" t="s">
        <v>1034</v>
      </c>
      <c r="R285" t="s">
        <v>1333</v>
      </c>
      <c r="T285" t="s">
        <v>1123</v>
      </c>
      <c r="U285" t="s">
        <v>1334</v>
      </c>
    </row>
    <row r="286" spans="1:21" x14ac:dyDescent="0.25">
      <c r="A286" t="s">
        <v>1335</v>
      </c>
      <c r="B286" t="s">
        <v>22</v>
      </c>
      <c r="C286" t="s">
        <v>1336</v>
      </c>
      <c r="D286">
        <f t="shared" si="8"/>
        <v>-8133</v>
      </c>
      <c r="E286" t="s">
        <v>1337</v>
      </c>
      <c r="F286" t="s">
        <v>1120</v>
      </c>
      <c r="G286" t="s">
        <v>1121</v>
      </c>
      <c r="H286">
        <v>-75.515909949824902</v>
      </c>
      <c r="I286">
        <v>45.477677282469301</v>
      </c>
      <c r="J286">
        <v>35</v>
      </c>
      <c r="K286" t="s">
        <v>184</v>
      </c>
      <c r="L286" t="s">
        <v>184</v>
      </c>
      <c r="M286" t="s">
        <v>184</v>
      </c>
      <c r="N286" t="s">
        <v>184</v>
      </c>
      <c r="O286" t="s">
        <v>184</v>
      </c>
      <c r="P286" t="s">
        <v>184</v>
      </c>
      <c r="Q286" t="s">
        <v>564</v>
      </c>
      <c r="R286" t="s">
        <v>1338</v>
      </c>
      <c r="T286" t="s">
        <v>1123</v>
      </c>
      <c r="U286" t="s">
        <v>1339</v>
      </c>
    </row>
    <row r="287" spans="1:21" x14ac:dyDescent="0.25">
      <c r="A287" t="s">
        <v>1340</v>
      </c>
      <c r="B287" t="s">
        <v>22</v>
      </c>
      <c r="C287" t="s">
        <v>1341</v>
      </c>
      <c r="D287">
        <f t="shared" si="8"/>
        <v>-8133</v>
      </c>
      <c r="E287" t="s">
        <v>1342</v>
      </c>
      <c r="F287" t="s">
        <v>1120</v>
      </c>
      <c r="G287" t="s">
        <v>1121</v>
      </c>
      <c r="H287">
        <v>-97.198821486376801</v>
      </c>
      <c r="I287">
        <v>49.8843912249623</v>
      </c>
      <c r="J287">
        <v>20</v>
      </c>
      <c r="K287" t="s">
        <v>717</v>
      </c>
      <c r="L287" t="s">
        <v>717</v>
      </c>
      <c r="M287" t="s">
        <v>717</v>
      </c>
      <c r="N287" t="s">
        <v>717</v>
      </c>
      <c r="O287" t="s">
        <v>717</v>
      </c>
      <c r="P287" t="s">
        <v>428</v>
      </c>
      <c r="Q287" t="s">
        <v>1034</v>
      </c>
      <c r="R287" t="s">
        <v>1343</v>
      </c>
      <c r="T287" t="s">
        <v>1344</v>
      </c>
      <c r="U287" t="s">
        <v>1345</v>
      </c>
    </row>
    <row r="288" spans="1:21" x14ac:dyDescent="0.25">
      <c r="A288" t="s">
        <v>1346</v>
      </c>
      <c r="B288" t="s">
        <v>22</v>
      </c>
      <c r="C288" t="s">
        <v>1347</v>
      </c>
      <c r="D288">
        <f t="shared" si="8"/>
        <v>-8133</v>
      </c>
      <c r="E288" t="s">
        <v>1348</v>
      </c>
      <c r="F288" t="s">
        <v>1120</v>
      </c>
      <c r="G288" t="s">
        <v>1121</v>
      </c>
      <c r="H288">
        <v>-76.573096919711503</v>
      </c>
      <c r="I288">
        <v>44.2564156960985</v>
      </c>
      <c r="J288">
        <v>35</v>
      </c>
      <c r="K288" t="s">
        <v>535</v>
      </c>
      <c r="L288" t="s">
        <v>535</v>
      </c>
      <c r="M288" t="s">
        <v>535</v>
      </c>
      <c r="N288" t="s">
        <v>535</v>
      </c>
      <c r="O288" t="s">
        <v>535</v>
      </c>
      <c r="P288" t="s">
        <v>428</v>
      </c>
      <c r="Q288" t="s">
        <v>564</v>
      </c>
      <c r="R288" t="s">
        <v>1349</v>
      </c>
      <c r="T288" t="s">
        <v>1123</v>
      </c>
      <c r="U288" t="s">
        <v>1350</v>
      </c>
    </row>
    <row r="289" spans="1:21" x14ac:dyDescent="0.25">
      <c r="A289" t="s">
        <v>1351</v>
      </c>
      <c r="B289" t="s">
        <v>22</v>
      </c>
      <c r="C289" t="s">
        <v>1352</v>
      </c>
      <c r="D289">
        <f t="shared" si="8"/>
        <v>-8133</v>
      </c>
      <c r="E289" t="s">
        <v>1353</v>
      </c>
      <c r="F289" t="s">
        <v>1120</v>
      </c>
      <c r="G289" t="s">
        <v>1121</v>
      </c>
      <c r="H289">
        <v>-122.804572133783</v>
      </c>
      <c r="I289">
        <v>49.188958193142497</v>
      </c>
      <c r="J289">
        <v>4</v>
      </c>
      <c r="K289" t="s">
        <v>535</v>
      </c>
      <c r="L289" t="s">
        <v>535</v>
      </c>
      <c r="M289" t="s">
        <v>535</v>
      </c>
      <c r="N289" t="s">
        <v>536</v>
      </c>
      <c r="O289" t="s">
        <v>536</v>
      </c>
      <c r="P289" t="s">
        <v>536</v>
      </c>
      <c r="Q289" t="s">
        <v>717</v>
      </c>
      <c r="R289" t="s">
        <v>1354</v>
      </c>
      <c r="T289" t="s">
        <v>1233</v>
      </c>
      <c r="U289" t="s">
        <v>1355</v>
      </c>
    </row>
    <row r="290" spans="1:21" x14ac:dyDescent="0.25">
      <c r="A290" t="s">
        <v>1356</v>
      </c>
      <c r="B290" t="s">
        <v>22</v>
      </c>
      <c r="C290" t="s">
        <v>1357</v>
      </c>
      <c r="D290">
        <f t="shared" si="8"/>
        <v>-8133</v>
      </c>
      <c r="E290" t="s">
        <v>1313</v>
      </c>
      <c r="F290" t="s">
        <v>1120</v>
      </c>
      <c r="G290" t="s">
        <v>1121</v>
      </c>
      <c r="H290">
        <v>-114.074318486477</v>
      </c>
      <c r="I290">
        <v>50.996379292927202</v>
      </c>
      <c r="J290">
        <v>10</v>
      </c>
      <c r="K290" t="s">
        <v>45</v>
      </c>
      <c r="L290" t="s">
        <v>45</v>
      </c>
      <c r="M290" t="s">
        <v>45</v>
      </c>
      <c r="N290" t="s">
        <v>45</v>
      </c>
      <c r="O290" t="s">
        <v>45</v>
      </c>
      <c r="P290" t="s">
        <v>45</v>
      </c>
      <c r="Q290" t="s">
        <v>1034</v>
      </c>
      <c r="R290" t="s">
        <v>1358</v>
      </c>
      <c r="T290" t="s">
        <v>1248</v>
      </c>
      <c r="U290" t="s">
        <v>1359</v>
      </c>
    </row>
    <row r="291" spans="1:21" x14ac:dyDescent="0.25">
      <c r="A291" t="s">
        <v>1360</v>
      </c>
      <c r="B291" t="s">
        <v>38</v>
      </c>
      <c r="C291" t="s">
        <v>1361</v>
      </c>
      <c r="D291">
        <f t="shared" si="8"/>
        <v>-8133</v>
      </c>
      <c r="E291" t="s">
        <v>1362</v>
      </c>
      <c r="F291" t="s">
        <v>1120</v>
      </c>
      <c r="G291" t="s">
        <v>1121</v>
      </c>
      <c r="H291">
        <v>-122.37913045282799</v>
      </c>
      <c r="I291">
        <v>49.0579966133323</v>
      </c>
      <c r="J291">
        <v>4</v>
      </c>
      <c r="K291" t="s">
        <v>535</v>
      </c>
      <c r="L291" t="s">
        <v>535</v>
      </c>
      <c r="M291" t="s">
        <v>535</v>
      </c>
      <c r="N291" t="s">
        <v>536</v>
      </c>
      <c r="O291" t="s">
        <v>536</v>
      </c>
      <c r="P291" t="s">
        <v>535</v>
      </c>
      <c r="Q291" t="s">
        <v>535</v>
      </c>
      <c r="R291" t="s">
        <v>1363</v>
      </c>
      <c r="T291" t="s">
        <v>1233</v>
      </c>
      <c r="U291" t="s">
        <v>1364</v>
      </c>
    </row>
    <row r="292" spans="1:21" x14ac:dyDescent="0.25">
      <c r="A292" t="s">
        <v>1365</v>
      </c>
      <c r="B292" t="s">
        <v>22</v>
      </c>
      <c r="C292" t="s">
        <v>1366</v>
      </c>
      <c r="D292">
        <f t="shared" si="8"/>
        <v>-8133</v>
      </c>
      <c r="E292" t="s">
        <v>1337</v>
      </c>
      <c r="F292" t="s">
        <v>1120</v>
      </c>
      <c r="G292" t="s">
        <v>1121</v>
      </c>
      <c r="H292">
        <v>-75.805515353164594</v>
      </c>
      <c r="I292">
        <v>45.3476975958827</v>
      </c>
      <c r="J292">
        <v>35</v>
      </c>
      <c r="K292" t="s">
        <v>312</v>
      </c>
      <c r="L292" t="s">
        <v>312</v>
      </c>
      <c r="M292" t="s">
        <v>312</v>
      </c>
      <c r="N292" t="s">
        <v>312</v>
      </c>
      <c r="O292" t="s">
        <v>312</v>
      </c>
      <c r="P292" t="s">
        <v>312</v>
      </c>
      <c r="Q292" t="s">
        <v>428</v>
      </c>
      <c r="R292" t="s">
        <v>1367</v>
      </c>
      <c r="T292" t="s">
        <v>1123</v>
      </c>
      <c r="U292" t="s">
        <v>1368</v>
      </c>
    </row>
    <row r="293" spans="1:21" x14ac:dyDescent="0.25">
      <c r="A293" t="s">
        <v>1369</v>
      </c>
      <c r="B293" t="s">
        <v>22</v>
      </c>
      <c r="C293" t="s">
        <v>1370</v>
      </c>
      <c r="D293">
        <f t="shared" si="8"/>
        <v>-8133</v>
      </c>
      <c r="E293" t="s">
        <v>1371</v>
      </c>
      <c r="F293" t="s">
        <v>1120</v>
      </c>
      <c r="G293" t="s">
        <v>1121</v>
      </c>
      <c r="H293">
        <v>-73.378374856221598</v>
      </c>
      <c r="I293">
        <v>45.5062364174157</v>
      </c>
      <c r="J293">
        <v>35</v>
      </c>
      <c r="K293" t="s">
        <v>428</v>
      </c>
      <c r="L293" t="s">
        <v>428</v>
      </c>
      <c r="M293" t="s">
        <v>536</v>
      </c>
      <c r="N293" t="s">
        <v>536</v>
      </c>
      <c r="O293" t="s">
        <v>536</v>
      </c>
      <c r="P293" t="s">
        <v>326</v>
      </c>
      <c r="Q293" t="s">
        <v>553</v>
      </c>
      <c r="R293" t="s">
        <v>1372</v>
      </c>
      <c r="T293" t="s">
        <v>1172</v>
      </c>
      <c r="U293" t="s">
        <v>1373</v>
      </c>
    </row>
    <row r="294" spans="1:21" x14ac:dyDescent="0.25">
      <c r="A294" t="s">
        <v>1374</v>
      </c>
      <c r="B294" t="s">
        <v>22</v>
      </c>
      <c r="C294" t="s">
        <v>1375</v>
      </c>
      <c r="D294">
        <f t="shared" si="8"/>
        <v>-8133</v>
      </c>
      <c r="E294" t="s">
        <v>538</v>
      </c>
      <c r="F294" t="s">
        <v>1120</v>
      </c>
      <c r="G294" t="s">
        <v>1121</v>
      </c>
      <c r="H294">
        <v>-123.376075544545</v>
      </c>
      <c r="I294">
        <v>48.454993110830102</v>
      </c>
      <c r="J294">
        <v>4</v>
      </c>
      <c r="K294" t="s">
        <v>745</v>
      </c>
      <c r="L294" t="s">
        <v>745</v>
      </c>
      <c r="M294" t="s">
        <v>745</v>
      </c>
      <c r="N294" t="s">
        <v>45</v>
      </c>
      <c r="O294" t="s">
        <v>45</v>
      </c>
      <c r="P294" t="s">
        <v>745</v>
      </c>
      <c r="Q294" t="s">
        <v>564</v>
      </c>
      <c r="R294" t="s">
        <v>1376</v>
      </c>
      <c r="T294" t="s">
        <v>1233</v>
      </c>
      <c r="U294" t="s">
        <v>1377</v>
      </c>
    </row>
    <row r="295" spans="1:21" x14ac:dyDescent="0.25">
      <c r="A295" t="s">
        <v>1378</v>
      </c>
      <c r="B295" t="s">
        <v>22</v>
      </c>
      <c r="C295" t="s">
        <v>1379</v>
      </c>
      <c r="D295">
        <f t="shared" si="8"/>
        <v>-8133</v>
      </c>
      <c r="E295" t="s">
        <v>1380</v>
      </c>
      <c r="F295" t="s">
        <v>1120</v>
      </c>
      <c r="G295" t="s">
        <v>1121</v>
      </c>
      <c r="H295">
        <v>-79.558856575545903</v>
      </c>
      <c r="I295">
        <v>43.612643202211601</v>
      </c>
      <c r="J295">
        <v>35</v>
      </c>
      <c r="K295" t="s">
        <v>45</v>
      </c>
      <c r="L295" t="s">
        <v>45</v>
      </c>
      <c r="M295" t="s">
        <v>45</v>
      </c>
      <c r="N295" t="s">
        <v>45</v>
      </c>
      <c r="O295" t="s">
        <v>45</v>
      </c>
      <c r="P295" t="s">
        <v>45</v>
      </c>
      <c r="Q295" t="s">
        <v>1034</v>
      </c>
      <c r="R295" t="s">
        <v>1381</v>
      </c>
      <c r="T295" t="s">
        <v>1123</v>
      </c>
      <c r="U295" t="s">
        <v>1382</v>
      </c>
    </row>
    <row r="296" spans="1:21" x14ac:dyDescent="0.25">
      <c r="A296" t="s">
        <v>1383</v>
      </c>
      <c r="B296" t="s">
        <v>22</v>
      </c>
      <c r="C296" t="s">
        <v>1384</v>
      </c>
      <c r="D296">
        <f t="shared" si="8"/>
        <v>-8133</v>
      </c>
      <c r="E296" t="s">
        <v>1385</v>
      </c>
      <c r="F296" t="s">
        <v>1120</v>
      </c>
      <c r="G296" t="s">
        <v>1121</v>
      </c>
      <c r="H296">
        <v>-123.137987134722</v>
      </c>
      <c r="I296">
        <v>49.168036308396204</v>
      </c>
      <c r="J296">
        <v>4</v>
      </c>
      <c r="K296" t="s">
        <v>717</v>
      </c>
      <c r="L296" t="s">
        <v>717</v>
      </c>
      <c r="M296" t="s">
        <v>717</v>
      </c>
      <c r="N296" t="s">
        <v>717</v>
      </c>
      <c r="O296" t="s">
        <v>717</v>
      </c>
      <c r="P296" t="s">
        <v>717</v>
      </c>
      <c r="Q296" t="s">
        <v>1034</v>
      </c>
      <c r="R296" t="s">
        <v>1386</v>
      </c>
      <c r="T296" t="s">
        <v>1233</v>
      </c>
      <c r="U296" t="s">
        <v>1387</v>
      </c>
    </row>
    <row r="297" spans="1:21" x14ac:dyDescent="0.25">
      <c r="A297" t="s">
        <v>1388</v>
      </c>
      <c r="B297" t="s">
        <v>22</v>
      </c>
      <c r="C297" t="s">
        <v>1389</v>
      </c>
      <c r="D297">
        <f t="shared" si="8"/>
        <v>-8133</v>
      </c>
      <c r="E297" t="s">
        <v>1390</v>
      </c>
      <c r="F297" t="s">
        <v>1120</v>
      </c>
      <c r="G297" t="s">
        <v>1121</v>
      </c>
      <c r="H297">
        <v>-82.353267266915694</v>
      </c>
      <c r="I297">
        <v>42.983123287904803</v>
      </c>
      <c r="J297">
        <v>35</v>
      </c>
      <c r="K297" t="s">
        <v>45</v>
      </c>
      <c r="L297" t="s">
        <v>45</v>
      </c>
      <c r="M297" t="s">
        <v>45</v>
      </c>
      <c r="N297" t="s">
        <v>45</v>
      </c>
      <c r="O297" t="s">
        <v>45</v>
      </c>
      <c r="P297" t="s">
        <v>535</v>
      </c>
      <c r="Q297" t="s">
        <v>564</v>
      </c>
      <c r="R297" t="s">
        <v>1391</v>
      </c>
      <c r="T297" t="s">
        <v>1123</v>
      </c>
      <c r="U297" t="s">
        <v>1392</v>
      </c>
    </row>
    <row r="298" spans="1:21" x14ac:dyDescent="0.25">
      <c r="A298" t="s">
        <v>1393</v>
      </c>
      <c r="B298" t="s">
        <v>38</v>
      </c>
      <c r="C298" t="s">
        <v>1394</v>
      </c>
      <c r="D298">
        <f t="shared" si="8"/>
        <v>-8133</v>
      </c>
      <c r="E298" t="s">
        <v>1395</v>
      </c>
      <c r="F298" t="s">
        <v>1120</v>
      </c>
      <c r="G298" t="s">
        <v>1121</v>
      </c>
      <c r="H298">
        <v>-84.338262786642701</v>
      </c>
      <c r="I298">
        <v>46.511674241253999</v>
      </c>
      <c r="J298">
        <v>35</v>
      </c>
      <c r="K298" t="s">
        <v>535</v>
      </c>
      <c r="L298" t="s">
        <v>535</v>
      </c>
      <c r="M298" t="s">
        <v>535</v>
      </c>
      <c r="N298" t="s">
        <v>535</v>
      </c>
      <c r="O298" t="s">
        <v>535</v>
      </c>
      <c r="P298" t="s">
        <v>553</v>
      </c>
      <c r="Q298" t="s">
        <v>1289</v>
      </c>
      <c r="R298" t="s">
        <v>1396</v>
      </c>
      <c r="T298" t="s">
        <v>1123</v>
      </c>
      <c r="U298" t="s">
        <v>1397</v>
      </c>
    </row>
    <row r="299" spans="1:21" x14ac:dyDescent="0.25">
      <c r="A299" t="s">
        <v>1398</v>
      </c>
      <c r="B299" t="s">
        <v>22</v>
      </c>
      <c r="C299" t="s">
        <v>1399</v>
      </c>
      <c r="D299">
        <f t="shared" si="8"/>
        <v>-8133</v>
      </c>
      <c r="E299" t="s">
        <v>1400</v>
      </c>
      <c r="F299" t="s">
        <v>1120</v>
      </c>
      <c r="G299" t="s">
        <v>1121</v>
      </c>
      <c r="H299">
        <v>-80.238555961486796</v>
      </c>
      <c r="I299">
        <v>43.517803812770602</v>
      </c>
      <c r="J299">
        <v>35</v>
      </c>
      <c r="K299" t="s">
        <v>535</v>
      </c>
      <c r="L299" t="s">
        <v>535</v>
      </c>
      <c r="M299" t="s">
        <v>536</v>
      </c>
      <c r="N299" t="s">
        <v>535</v>
      </c>
      <c r="O299" t="s">
        <v>536</v>
      </c>
      <c r="P299" t="s">
        <v>428</v>
      </c>
      <c r="Q299" t="s">
        <v>564</v>
      </c>
      <c r="R299" t="s">
        <v>1401</v>
      </c>
      <c r="T299" t="s">
        <v>1123</v>
      </c>
      <c r="U299" t="s">
        <v>1402</v>
      </c>
    </row>
    <row r="300" spans="1:21" x14ac:dyDescent="0.25">
      <c r="A300" t="s">
        <v>1403</v>
      </c>
      <c r="B300" t="s">
        <v>22</v>
      </c>
      <c r="C300" t="s">
        <v>1404</v>
      </c>
      <c r="D300">
        <f t="shared" si="8"/>
        <v>-8133</v>
      </c>
      <c r="E300" t="s">
        <v>1405</v>
      </c>
      <c r="F300" t="s">
        <v>1120</v>
      </c>
      <c r="G300" t="s">
        <v>1121</v>
      </c>
      <c r="H300">
        <v>-73.751230221723901</v>
      </c>
      <c r="I300">
        <v>45.569569262547397</v>
      </c>
      <c r="J300">
        <v>35</v>
      </c>
      <c r="K300" t="s">
        <v>428</v>
      </c>
      <c r="L300" t="s">
        <v>428</v>
      </c>
      <c r="M300" t="s">
        <v>536</v>
      </c>
      <c r="N300" t="s">
        <v>536</v>
      </c>
      <c r="O300" t="s">
        <v>536</v>
      </c>
      <c r="P300" t="s">
        <v>326</v>
      </c>
      <c r="Q300" t="s">
        <v>553</v>
      </c>
      <c r="R300" t="s">
        <v>1404</v>
      </c>
      <c r="T300" t="s">
        <v>1172</v>
      </c>
      <c r="U300" t="s">
        <v>1406</v>
      </c>
    </row>
    <row r="301" spans="1:21" x14ac:dyDescent="0.25">
      <c r="A301" t="s">
        <v>1407</v>
      </c>
      <c r="B301" t="s">
        <v>22</v>
      </c>
      <c r="C301" t="s">
        <v>1408</v>
      </c>
      <c r="D301">
        <f t="shared" si="8"/>
        <v>-8133</v>
      </c>
      <c r="E301" t="s">
        <v>1409</v>
      </c>
      <c r="F301" t="s">
        <v>1120</v>
      </c>
      <c r="G301" t="s">
        <v>1121</v>
      </c>
      <c r="H301">
        <v>-73.615261976120195</v>
      </c>
      <c r="I301">
        <v>45.447017713850599</v>
      </c>
      <c r="J301">
        <v>35</v>
      </c>
      <c r="K301" t="s">
        <v>428</v>
      </c>
      <c r="L301" t="s">
        <v>428</v>
      </c>
      <c r="M301" t="s">
        <v>45</v>
      </c>
      <c r="N301" t="s">
        <v>45</v>
      </c>
      <c r="O301" t="s">
        <v>45</v>
      </c>
      <c r="P301" t="s">
        <v>326</v>
      </c>
      <c r="Q301" t="s">
        <v>553</v>
      </c>
      <c r="R301" t="s">
        <v>1410</v>
      </c>
      <c r="T301" t="s">
        <v>1172</v>
      </c>
      <c r="U301" t="s">
        <v>1411</v>
      </c>
    </row>
    <row r="302" spans="1:21" x14ac:dyDescent="0.25">
      <c r="A302" t="s">
        <v>1412</v>
      </c>
      <c r="B302" t="s">
        <v>22</v>
      </c>
      <c r="C302" t="s">
        <v>1413</v>
      </c>
      <c r="D302">
        <f t="shared" si="8"/>
        <v>-8133</v>
      </c>
      <c r="E302" t="s">
        <v>1414</v>
      </c>
      <c r="F302" t="s">
        <v>1120</v>
      </c>
      <c r="G302" t="s">
        <v>1121</v>
      </c>
      <c r="H302">
        <v>-71.054410470551403</v>
      </c>
      <c r="I302">
        <v>48.406009026504897</v>
      </c>
      <c r="J302">
        <v>35</v>
      </c>
      <c r="K302" t="s">
        <v>553</v>
      </c>
      <c r="L302" t="s">
        <v>553</v>
      </c>
      <c r="M302" t="s">
        <v>553</v>
      </c>
      <c r="N302" t="s">
        <v>535</v>
      </c>
      <c r="O302" t="s">
        <v>535</v>
      </c>
      <c r="P302" t="s">
        <v>553</v>
      </c>
      <c r="Q302" t="s">
        <v>553</v>
      </c>
      <c r="R302" t="s">
        <v>1415</v>
      </c>
      <c r="S302" t="s">
        <v>1415</v>
      </c>
      <c r="T302" t="s">
        <v>1172</v>
      </c>
      <c r="U302" t="s">
        <v>1416</v>
      </c>
    </row>
    <row r="303" spans="1:21" x14ac:dyDescent="0.25">
      <c r="A303" t="s">
        <v>1417</v>
      </c>
      <c r="B303" t="s">
        <v>22</v>
      </c>
      <c r="C303" t="s">
        <v>1418</v>
      </c>
      <c r="D303">
        <f t="shared" si="8"/>
        <v>-8133</v>
      </c>
      <c r="E303" t="s">
        <v>1337</v>
      </c>
      <c r="F303" t="s">
        <v>1120</v>
      </c>
      <c r="G303" t="s">
        <v>1121</v>
      </c>
      <c r="H303">
        <v>-75.691695644939202</v>
      </c>
      <c r="I303">
        <v>45.426064233674403</v>
      </c>
      <c r="J303">
        <v>35</v>
      </c>
      <c r="K303" t="s">
        <v>45</v>
      </c>
      <c r="L303" t="s">
        <v>45</v>
      </c>
      <c r="M303" t="s">
        <v>45</v>
      </c>
      <c r="N303" t="s">
        <v>45</v>
      </c>
      <c r="O303" t="s">
        <v>45</v>
      </c>
      <c r="P303" t="s">
        <v>45</v>
      </c>
      <c r="Q303" t="s">
        <v>428</v>
      </c>
      <c r="R303" t="s">
        <v>1419</v>
      </c>
      <c r="T303" t="s">
        <v>1123</v>
      </c>
      <c r="U303" t="s">
        <v>1420</v>
      </c>
    </row>
    <row r="304" spans="1:21" x14ac:dyDescent="0.25">
      <c r="A304" t="s">
        <v>1421</v>
      </c>
      <c r="B304" t="s">
        <v>22</v>
      </c>
      <c r="C304" t="s">
        <v>1422</v>
      </c>
      <c r="D304">
        <f t="shared" si="8"/>
        <v>-8133</v>
      </c>
      <c r="E304" t="s">
        <v>1423</v>
      </c>
      <c r="F304" t="s">
        <v>1120</v>
      </c>
      <c r="G304" t="s">
        <v>1121</v>
      </c>
      <c r="H304">
        <v>-75.695036524125499</v>
      </c>
      <c r="I304">
        <v>45.476084568573697</v>
      </c>
      <c r="J304">
        <v>35</v>
      </c>
      <c r="K304" t="s">
        <v>428</v>
      </c>
      <c r="L304" t="s">
        <v>428</v>
      </c>
      <c r="M304" t="s">
        <v>536</v>
      </c>
      <c r="N304" t="s">
        <v>536</v>
      </c>
      <c r="O304" t="s">
        <v>536</v>
      </c>
      <c r="P304" t="s">
        <v>326</v>
      </c>
      <c r="Q304" t="s">
        <v>553</v>
      </c>
      <c r="R304" t="s">
        <v>1424</v>
      </c>
      <c r="T304" t="s">
        <v>1172</v>
      </c>
      <c r="U304" t="s">
        <v>1425</v>
      </c>
    </row>
    <row r="305" spans="1:21" x14ac:dyDescent="0.25">
      <c r="A305" t="s">
        <v>1426</v>
      </c>
      <c r="B305" t="s">
        <v>22</v>
      </c>
      <c r="C305" t="s">
        <v>1427</v>
      </c>
      <c r="D305">
        <f t="shared" ref="D305:D315" si="9">1-855-272-7007</f>
        <v>-8133</v>
      </c>
      <c r="E305" t="s">
        <v>1428</v>
      </c>
      <c r="F305" t="s">
        <v>1120</v>
      </c>
      <c r="G305" t="s">
        <v>1121</v>
      </c>
      <c r="H305">
        <v>-73.459346487094393</v>
      </c>
      <c r="I305">
        <v>45.741421463984203</v>
      </c>
      <c r="J305">
        <v>35</v>
      </c>
      <c r="K305" t="s">
        <v>428</v>
      </c>
      <c r="L305" t="s">
        <v>428</v>
      </c>
      <c r="M305" t="s">
        <v>536</v>
      </c>
      <c r="N305" t="s">
        <v>536</v>
      </c>
      <c r="O305" t="s">
        <v>536</v>
      </c>
      <c r="P305" t="s">
        <v>326</v>
      </c>
      <c r="Q305" t="s">
        <v>553</v>
      </c>
      <c r="R305" t="s">
        <v>1429</v>
      </c>
      <c r="T305" t="s">
        <v>1172</v>
      </c>
      <c r="U305" t="s">
        <v>1430</v>
      </c>
    </row>
    <row r="306" spans="1:21" x14ac:dyDescent="0.25">
      <c r="A306" t="s">
        <v>1431</v>
      </c>
      <c r="B306" t="s">
        <v>38</v>
      </c>
      <c r="C306" t="s">
        <v>1432</v>
      </c>
      <c r="D306">
        <f t="shared" si="9"/>
        <v>-8133</v>
      </c>
      <c r="E306" t="s">
        <v>1433</v>
      </c>
      <c r="F306" t="s">
        <v>1120</v>
      </c>
      <c r="G306" t="s">
        <v>1121</v>
      </c>
      <c r="H306">
        <v>-72.587716034262101</v>
      </c>
      <c r="I306">
        <v>46.3552578836333</v>
      </c>
      <c r="J306">
        <v>35</v>
      </c>
      <c r="K306" t="s">
        <v>1272</v>
      </c>
      <c r="L306" t="s">
        <v>1272</v>
      </c>
      <c r="M306" t="s">
        <v>1272</v>
      </c>
      <c r="N306" t="s">
        <v>1434</v>
      </c>
      <c r="O306" t="s">
        <v>1434</v>
      </c>
      <c r="P306" t="s">
        <v>326</v>
      </c>
      <c r="Q306" t="s">
        <v>553</v>
      </c>
      <c r="R306" t="s">
        <v>1432</v>
      </c>
      <c r="T306" t="s">
        <v>1172</v>
      </c>
      <c r="U306" t="s">
        <v>1435</v>
      </c>
    </row>
    <row r="307" spans="1:21" x14ac:dyDescent="0.25">
      <c r="A307" t="s">
        <v>1436</v>
      </c>
      <c r="B307" t="s">
        <v>38</v>
      </c>
      <c r="C307" t="s">
        <v>1437</v>
      </c>
      <c r="D307">
        <f t="shared" si="9"/>
        <v>-8133</v>
      </c>
      <c r="E307" t="s">
        <v>1438</v>
      </c>
      <c r="F307" t="s">
        <v>1120</v>
      </c>
      <c r="G307" t="s">
        <v>1121</v>
      </c>
      <c r="H307">
        <v>-79.650792673973996</v>
      </c>
      <c r="I307">
        <v>44.200092760753002</v>
      </c>
      <c r="J307">
        <v>35</v>
      </c>
      <c r="K307" t="s">
        <v>290</v>
      </c>
      <c r="L307" t="s">
        <v>290</v>
      </c>
      <c r="M307" t="s">
        <v>290</v>
      </c>
      <c r="N307" t="s">
        <v>290</v>
      </c>
      <c r="O307" t="s">
        <v>290</v>
      </c>
      <c r="P307" t="s">
        <v>262</v>
      </c>
      <c r="Q307" t="s">
        <v>428</v>
      </c>
      <c r="R307" t="s">
        <v>1439</v>
      </c>
      <c r="T307" t="s">
        <v>1123</v>
      </c>
      <c r="U307" t="s">
        <v>1440</v>
      </c>
    </row>
    <row r="308" spans="1:21" x14ac:dyDescent="0.25">
      <c r="A308" t="s">
        <v>1441</v>
      </c>
      <c r="B308" t="s">
        <v>38</v>
      </c>
      <c r="C308" t="s">
        <v>1442</v>
      </c>
      <c r="D308">
        <f t="shared" si="9"/>
        <v>-8133</v>
      </c>
      <c r="E308" t="s">
        <v>1443</v>
      </c>
      <c r="F308" t="s">
        <v>1120</v>
      </c>
      <c r="G308" t="s">
        <v>1121</v>
      </c>
      <c r="H308">
        <v>-123.085807840965</v>
      </c>
      <c r="I308">
        <v>49.038872048067503</v>
      </c>
      <c r="J308">
        <v>4</v>
      </c>
      <c r="K308" t="s">
        <v>535</v>
      </c>
      <c r="L308" t="s">
        <v>535</v>
      </c>
      <c r="M308" t="s">
        <v>535</v>
      </c>
      <c r="N308" t="s">
        <v>536</v>
      </c>
      <c r="O308" t="s">
        <v>536</v>
      </c>
      <c r="P308" t="s">
        <v>536</v>
      </c>
      <c r="Q308" t="s">
        <v>717</v>
      </c>
      <c r="R308" t="s">
        <v>1444</v>
      </c>
      <c r="T308" t="s">
        <v>1233</v>
      </c>
      <c r="U308" t="s">
        <v>1445</v>
      </c>
    </row>
    <row r="309" spans="1:21" x14ac:dyDescent="0.25">
      <c r="A309" t="s">
        <v>1446</v>
      </c>
      <c r="B309" t="s">
        <v>22</v>
      </c>
      <c r="C309" t="s">
        <v>1447</v>
      </c>
      <c r="D309">
        <f t="shared" si="9"/>
        <v>-8133</v>
      </c>
      <c r="E309" t="s">
        <v>1226</v>
      </c>
      <c r="F309" t="s">
        <v>1120</v>
      </c>
      <c r="G309" t="s">
        <v>1121</v>
      </c>
      <c r="H309">
        <v>-81.279289188245102</v>
      </c>
      <c r="I309">
        <v>43.025006300963803</v>
      </c>
      <c r="J309">
        <v>35</v>
      </c>
      <c r="K309" t="s">
        <v>717</v>
      </c>
      <c r="L309" t="s">
        <v>717</v>
      </c>
      <c r="M309" t="s">
        <v>717</v>
      </c>
      <c r="N309" t="s">
        <v>717</v>
      </c>
      <c r="O309" t="s">
        <v>717</v>
      </c>
      <c r="P309" t="s">
        <v>428</v>
      </c>
      <c r="Q309" t="s">
        <v>564</v>
      </c>
      <c r="R309" t="s">
        <v>1448</v>
      </c>
      <c r="T309" t="s">
        <v>1123</v>
      </c>
      <c r="U309" t="s">
        <v>1449</v>
      </c>
    </row>
    <row r="310" spans="1:21" x14ac:dyDescent="0.25">
      <c r="A310" t="s">
        <v>1450</v>
      </c>
      <c r="B310" t="s">
        <v>38</v>
      </c>
      <c r="C310" t="s">
        <v>1451</v>
      </c>
      <c r="D310">
        <f t="shared" si="9"/>
        <v>-8133</v>
      </c>
      <c r="E310" t="s">
        <v>1451</v>
      </c>
      <c r="F310" t="s">
        <v>1120</v>
      </c>
      <c r="G310" t="s">
        <v>1121</v>
      </c>
      <c r="H310">
        <v>-63.1442458644581</v>
      </c>
      <c r="I310">
        <v>46.2657007241164</v>
      </c>
      <c r="J310">
        <v>50</v>
      </c>
      <c r="K310" t="s">
        <v>290</v>
      </c>
      <c r="L310" t="s">
        <v>290</v>
      </c>
      <c r="M310" t="s">
        <v>290</v>
      </c>
      <c r="N310" t="s">
        <v>290</v>
      </c>
      <c r="O310" t="s">
        <v>290</v>
      </c>
      <c r="P310" t="s">
        <v>290</v>
      </c>
      <c r="Q310" t="s">
        <v>1289</v>
      </c>
      <c r="R310" t="s">
        <v>1452</v>
      </c>
      <c r="T310" t="s">
        <v>1453</v>
      </c>
      <c r="U310" t="s">
        <v>1454</v>
      </c>
    </row>
    <row r="311" spans="1:21" x14ac:dyDescent="0.25">
      <c r="A311" t="s">
        <v>1455</v>
      </c>
      <c r="B311" t="s">
        <v>22</v>
      </c>
      <c r="C311" t="s">
        <v>1456</v>
      </c>
      <c r="D311">
        <f t="shared" si="9"/>
        <v>-8133</v>
      </c>
      <c r="E311" t="s">
        <v>1457</v>
      </c>
      <c r="F311" t="s">
        <v>1120</v>
      </c>
      <c r="G311" t="s">
        <v>1121</v>
      </c>
      <c r="H311">
        <v>-79.436216776764795</v>
      </c>
      <c r="I311">
        <v>43.853361173193498</v>
      </c>
      <c r="J311">
        <v>35</v>
      </c>
      <c r="K311" t="s">
        <v>45</v>
      </c>
      <c r="L311" t="s">
        <v>45</v>
      </c>
      <c r="M311" t="s">
        <v>45</v>
      </c>
      <c r="N311" t="s">
        <v>45</v>
      </c>
      <c r="O311" t="s">
        <v>45</v>
      </c>
      <c r="P311" t="s">
        <v>45</v>
      </c>
      <c r="Q311" t="s">
        <v>717</v>
      </c>
      <c r="R311" t="s">
        <v>1458</v>
      </c>
      <c r="T311" t="s">
        <v>1123</v>
      </c>
      <c r="U311" t="s">
        <v>1459</v>
      </c>
    </row>
    <row r="312" spans="1:21" x14ac:dyDescent="0.25">
      <c r="A312" t="s">
        <v>1460</v>
      </c>
      <c r="B312" t="s">
        <v>38</v>
      </c>
      <c r="C312" t="s">
        <v>1461</v>
      </c>
      <c r="D312">
        <f t="shared" si="9"/>
        <v>-8133</v>
      </c>
      <c r="E312" t="s">
        <v>1462</v>
      </c>
      <c r="F312" t="s">
        <v>1120</v>
      </c>
      <c r="G312" t="s">
        <v>1121</v>
      </c>
      <c r="H312">
        <v>-66.014509063564503</v>
      </c>
      <c r="I312">
        <v>45.307386476844201</v>
      </c>
      <c r="J312">
        <v>50</v>
      </c>
      <c r="K312" t="s">
        <v>428</v>
      </c>
      <c r="L312" t="s">
        <v>428</v>
      </c>
      <c r="M312" t="s">
        <v>45</v>
      </c>
      <c r="N312" t="s">
        <v>45</v>
      </c>
      <c r="O312" t="s">
        <v>45</v>
      </c>
      <c r="P312" t="s">
        <v>428</v>
      </c>
      <c r="Q312" t="s">
        <v>1289</v>
      </c>
      <c r="R312" t="s">
        <v>1463</v>
      </c>
      <c r="T312" t="s">
        <v>1284</v>
      </c>
      <c r="U312" t="s">
        <v>1464</v>
      </c>
    </row>
    <row r="313" spans="1:21" x14ac:dyDescent="0.25">
      <c r="A313" t="s">
        <v>1465</v>
      </c>
      <c r="B313" t="s">
        <v>22</v>
      </c>
      <c r="C313" t="s">
        <v>1466</v>
      </c>
      <c r="D313">
        <f t="shared" si="9"/>
        <v>-8133</v>
      </c>
      <c r="E313" t="s">
        <v>1467</v>
      </c>
      <c r="F313" t="s">
        <v>1120</v>
      </c>
      <c r="G313" t="s">
        <v>1121</v>
      </c>
      <c r="H313">
        <v>-78.879191559401306</v>
      </c>
      <c r="I313">
        <v>43.888326789856897</v>
      </c>
      <c r="J313">
        <v>35</v>
      </c>
      <c r="K313" t="s">
        <v>1034</v>
      </c>
      <c r="L313" t="s">
        <v>1034</v>
      </c>
      <c r="M313" t="s">
        <v>1034</v>
      </c>
      <c r="N313" t="s">
        <v>1034</v>
      </c>
      <c r="O313" t="s">
        <v>1034</v>
      </c>
      <c r="P313" t="s">
        <v>1034</v>
      </c>
      <c r="Q313" t="s">
        <v>564</v>
      </c>
      <c r="R313" t="s">
        <v>1468</v>
      </c>
      <c r="T313" t="s">
        <v>1123</v>
      </c>
      <c r="U313" t="s">
        <v>1469</v>
      </c>
    </row>
    <row r="314" spans="1:21" x14ac:dyDescent="0.25">
      <c r="A314" t="s">
        <v>1470</v>
      </c>
      <c r="B314" t="s">
        <v>22</v>
      </c>
      <c r="C314" t="s">
        <v>1471</v>
      </c>
      <c r="D314">
        <f t="shared" si="9"/>
        <v>-8133</v>
      </c>
      <c r="E314" t="s">
        <v>1246</v>
      </c>
      <c r="F314" t="s">
        <v>1120</v>
      </c>
      <c r="G314" t="s">
        <v>1121</v>
      </c>
      <c r="H314">
        <v>-113.50520464136299</v>
      </c>
      <c r="I314">
        <v>53.562357787445698</v>
      </c>
      <c r="J314">
        <v>10</v>
      </c>
      <c r="K314" t="s">
        <v>45</v>
      </c>
      <c r="L314" t="s">
        <v>45</v>
      </c>
      <c r="M314" t="s">
        <v>45</v>
      </c>
      <c r="N314" t="s">
        <v>45</v>
      </c>
      <c r="O314" t="s">
        <v>45</v>
      </c>
      <c r="P314" t="s">
        <v>45</v>
      </c>
      <c r="Q314" t="s">
        <v>1034</v>
      </c>
      <c r="R314" t="s">
        <v>1472</v>
      </c>
      <c r="T314" t="s">
        <v>1248</v>
      </c>
      <c r="U314" t="s">
        <v>1473</v>
      </c>
    </row>
    <row r="315" spans="1:21" x14ac:dyDescent="0.25">
      <c r="A315" t="s">
        <v>1474</v>
      </c>
      <c r="B315" t="s">
        <v>22</v>
      </c>
      <c r="C315" t="s">
        <v>1475</v>
      </c>
      <c r="D315">
        <f t="shared" si="9"/>
        <v>-8133</v>
      </c>
      <c r="E315" t="s">
        <v>1476</v>
      </c>
      <c r="F315" t="s">
        <v>1120</v>
      </c>
      <c r="G315" t="s">
        <v>1121</v>
      </c>
      <c r="H315">
        <v>-104.61058713783</v>
      </c>
      <c r="I315">
        <v>50.450650758392598</v>
      </c>
      <c r="J315">
        <v>20</v>
      </c>
      <c r="K315" t="s">
        <v>428</v>
      </c>
      <c r="L315" t="s">
        <v>428</v>
      </c>
      <c r="M315" t="s">
        <v>45</v>
      </c>
      <c r="N315" t="s">
        <v>45</v>
      </c>
      <c r="O315" t="s">
        <v>45</v>
      </c>
      <c r="P315" t="s">
        <v>428</v>
      </c>
      <c r="Q315" t="s">
        <v>1289</v>
      </c>
      <c r="R315" t="s">
        <v>1475</v>
      </c>
      <c r="T315" t="s">
        <v>1477</v>
      </c>
      <c r="U315" t="s">
        <v>1478</v>
      </c>
    </row>
    <row r="316" spans="1:21" x14ac:dyDescent="0.25">
      <c r="A316" t="s">
        <v>1479</v>
      </c>
      <c r="B316" t="s">
        <v>22</v>
      </c>
      <c r="C316" t="s">
        <v>1480</v>
      </c>
      <c r="E316" t="s">
        <v>1481</v>
      </c>
      <c r="F316" t="s">
        <v>1120</v>
      </c>
      <c r="G316" t="s">
        <v>1121</v>
      </c>
      <c r="H316">
        <v>-52.752327999999999</v>
      </c>
      <c r="I316">
        <v>47.559314999999998</v>
      </c>
      <c r="J316">
        <v>60</v>
      </c>
      <c r="K316" t="s">
        <v>290</v>
      </c>
      <c r="L316" t="s">
        <v>290</v>
      </c>
      <c r="M316" t="s">
        <v>290</v>
      </c>
      <c r="N316" t="s">
        <v>290</v>
      </c>
      <c r="O316" t="s">
        <v>290</v>
      </c>
      <c r="P316" t="s">
        <v>290</v>
      </c>
      <c r="Q316" t="s">
        <v>1289</v>
      </c>
      <c r="R316" t="s">
        <v>1482</v>
      </c>
      <c r="T316" t="s">
        <v>1483</v>
      </c>
      <c r="U316" t="s">
        <v>1484</v>
      </c>
    </row>
    <row r="317" spans="1:21" x14ac:dyDescent="0.25">
      <c r="A317" t="s">
        <v>1485</v>
      </c>
      <c r="B317" t="s">
        <v>22</v>
      </c>
      <c r="C317" t="s">
        <v>1486</v>
      </c>
      <c r="D317">
        <f t="shared" ref="D317:D326" si="10">1-855-272-7007</f>
        <v>-8133</v>
      </c>
      <c r="E317" t="s">
        <v>1487</v>
      </c>
      <c r="F317" t="s">
        <v>1120</v>
      </c>
      <c r="G317" t="s">
        <v>1121</v>
      </c>
      <c r="H317">
        <v>-123.139080347594</v>
      </c>
      <c r="I317">
        <v>49.326461002126599</v>
      </c>
      <c r="J317">
        <v>4</v>
      </c>
      <c r="K317" t="s">
        <v>535</v>
      </c>
      <c r="L317" t="s">
        <v>535</v>
      </c>
      <c r="M317" t="s">
        <v>535</v>
      </c>
      <c r="N317" t="s">
        <v>535</v>
      </c>
      <c r="O317" t="s">
        <v>535</v>
      </c>
      <c r="P317" t="s">
        <v>535</v>
      </c>
      <c r="Q317" t="s">
        <v>564</v>
      </c>
      <c r="R317" t="s">
        <v>1488</v>
      </c>
      <c r="T317" t="s">
        <v>1233</v>
      </c>
      <c r="U317" t="s">
        <v>1489</v>
      </c>
    </row>
    <row r="318" spans="1:21" x14ac:dyDescent="0.25">
      <c r="A318" t="s">
        <v>1490</v>
      </c>
      <c r="B318" t="s">
        <v>38</v>
      </c>
      <c r="C318" t="s">
        <v>1491</v>
      </c>
      <c r="D318">
        <f t="shared" si="10"/>
        <v>-8133</v>
      </c>
      <c r="E318" t="s">
        <v>1342</v>
      </c>
      <c r="F318" t="s">
        <v>1120</v>
      </c>
      <c r="G318" t="s">
        <v>1121</v>
      </c>
      <c r="H318">
        <v>-97.058213087349799</v>
      </c>
      <c r="I318">
        <v>49.897723684445801</v>
      </c>
      <c r="J318">
        <v>20</v>
      </c>
      <c r="K318" t="s">
        <v>717</v>
      </c>
      <c r="L318" t="s">
        <v>717</v>
      </c>
      <c r="M318" t="s">
        <v>717</v>
      </c>
      <c r="N318" t="s">
        <v>717</v>
      </c>
      <c r="O318" t="s">
        <v>717</v>
      </c>
      <c r="P318" t="s">
        <v>1034</v>
      </c>
      <c r="Q318" t="s">
        <v>1492</v>
      </c>
      <c r="R318" t="s">
        <v>1493</v>
      </c>
      <c r="T318" t="s">
        <v>1344</v>
      </c>
      <c r="U318" t="s">
        <v>1494</v>
      </c>
    </row>
    <row r="319" spans="1:21" x14ac:dyDescent="0.25">
      <c r="A319" t="s">
        <v>1495</v>
      </c>
      <c r="B319" t="s">
        <v>38</v>
      </c>
      <c r="C319" t="s">
        <v>1496</v>
      </c>
      <c r="D319">
        <f t="shared" si="10"/>
        <v>-8133</v>
      </c>
      <c r="E319" t="s">
        <v>1246</v>
      </c>
      <c r="F319" t="s">
        <v>1120</v>
      </c>
      <c r="G319" t="s">
        <v>1121</v>
      </c>
      <c r="H319">
        <v>-113.44592900000001</v>
      </c>
      <c r="I319">
        <v>53.603050000000003</v>
      </c>
      <c r="J319">
        <v>35</v>
      </c>
      <c r="K319" t="s">
        <v>535</v>
      </c>
      <c r="L319" t="s">
        <v>535</v>
      </c>
      <c r="M319" t="s">
        <v>535</v>
      </c>
      <c r="N319" t="s">
        <v>45</v>
      </c>
      <c r="O319" t="s">
        <v>45</v>
      </c>
      <c r="P319" t="s">
        <v>428</v>
      </c>
      <c r="Q319" t="s">
        <v>1289</v>
      </c>
      <c r="R319" t="s">
        <v>1497</v>
      </c>
      <c r="T319" t="s">
        <v>1248</v>
      </c>
      <c r="U319" t="s">
        <v>1498</v>
      </c>
    </row>
    <row r="320" spans="1:21" x14ac:dyDescent="0.25">
      <c r="A320" t="s">
        <v>1499</v>
      </c>
      <c r="B320" t="s">
        <v>38</v>
      </c>
      <c r="C320" t="s">
        <v>1500</v>
      </c>
      <c r="D320">
        <f t="shared" si="10"/>
        <v>-8133</v>
      </c>
      <c r="E320" t="s">
        <v>1246</v>
      </c>
      <c r="F320" t="s">
        <v>1120</v>
      </c>
      <c r="G320" t="s">
        <v>1121</v>
      </c>
      <c r="H320">
        <v>-113.553841675203</v>
      </c>
      <c r="I320">
        <v>53.303436292141697</v>
      </c>
      <c r="J320">
        <v>10</v>
      </c>
      <c r="K320" t="s">
        <v>717</v>
      </c>
      <c r="L320" t="s">
        <v>717</v>
      </c>
      <c r="M320" t="s">
        <v>717</v>
      </c>
      <c r="N320" t="s">
        <v>1501</v>
      </c>
      <c r="O320" t="s">
        <v>1501</v>
      </c>
      <c r="P320" t="s">
        <v>1501</v>
      </c>
      <c r="Q320" t="s">
        <v>1289</v>
      </c>
      <c r="R320" t="s">
        <v>1502</v>
      </c>
      <c r="T320" t="s">
        <v>1248</v>
      </c>
      <c r="U320" t="s">
        <v>1503</v>
      </c>
    </row>
    <row r="321" spans="1:21" x14ac:dyDescent="0.25">
      <c r="A321" t="s">
        <v>1504</v>
      </c>
      <c r="B321" t="s">
        <v>22</v>
      </c>
      <c r="C321" t="s">
        <v>1505</v>
      </c>
      <c r="D321">
        <f t="shared" si="10"/>
        <v>-8133</v>
      </c>
      <c r="E321" t="s">
        <v>1506</v>
      </c>
      <c r="F321" t="s">
        <v>1120</v>
      </c>
      <c r="G321" t="s">
        <v>1121</v>
      </c>
      <c r="H321">
        <v>-122.67528799999999</v>
      </c>
      <c r="I321">
        <v>49.114724000000002</v>
      </c>
      <c r="J321">
        <v>4</v>
      </c>
      <c r="K321" t="s">
        <v>428</v>
      </c>
      <c r="L321" t="s">
        <v>428</v>
      </c>
      <c r="M321" t="s">
        <v>428</v>
      </c>
      <c r="N321" t="s">
        <v>45</v>
      </c>
      <c r="O321" t="s">
        <v>45</v>
      </c>
      <c r="P321" t="s">
        <v>428</v>
      </c>
      <c r="Q321" t="s">
        <v>1034</v>
      </c>
      <c r="R321" t="s">
        <v>1507</v>
      </c>
      <c r="T321" t="s">
        <v>1233</v>
      </c>
      <c r="U321" t="s">
        <v>1508</v>
      </c>
    </row>
    <row r="322" spans="1:21" x14ac:dyDescent="0.25">
      <c r="A322" t="s">
        <v>1509</v>
      </c>
      <c r="B322" t="s">
        <v>38</v>
      </c>
      <c r="C322" t="s">
        <v>1510</v>
      </c>
      <c r="D322">
        <f t="shared" si="10"/>
        <v>-8133</v>
      </c>
      <c r="E322" t="s">
        <v>1313</v>
      </c>
      <c r="F322" t="s">
        <v>1120</v>
      </c>
      <c r="G322" t="s">
        <v>1121</v>
      </c>
      <c r="H322">
        <v>-114.04409769999999</v>
      </c>
      <c r="I322">
        <v>51.109512299999999</v>
      </c>
      <c r="J322">
        <v>10</v>
      </c>
      <c r="K322" t="s">
        <v>45</v>
      </c>
      <c r="L322" t="s">
        <v>45</v>
      </c>
      <c r="M322" t="s">
        <v>45</v>
      </c>
      <c r="N322" t="s">
        <v>45</v>
      </c>
      <c r="O322" t="s">
        <v>45</v>
      </c>
      <c r="P322" t="s">
        <v>45</v>
      </c>
      <c r="Q322" t="s">
        <v>1034</v>
      </c>
      <c r="R322" t="s">
        <v>1511</v>
      </c>
      <c r="T322" t="s">
        <v>1248</v>
      </c>
      <c r="U322" t="s">
        <v>1512</v>
      </c>
    </row>
    <row r="323" spans="1:21" x14ac:dyDescent="0.25">
      <c r="A323" t="s">
        <v>1513</v>
      </c>
      <c r="B323" t="s">
        <v>38</v>
      </c>
      <c r="C323" t="s">
        <v>1514</v>
      </c>
      <c r="D323">
        <f t="shared" si="10"/>
        <v>-8133</v>
      </c>
      <c r="E323" t="s">
        <v>1515</v>
      </c>
      <c r="F323" t="s">
        <v>1120</v>
      </c>
      <c r="G323" t="s">
        <v>1121</v>
      </c>
      <c r="H323">
        <v>-63.562052899999998</v>
      </c>
      <c r="I323">
        <v>44.686465400000003</v>
      </c>
      <c r="J323">
        <v>20</v>
      </c>
      <c r="K323" t="s">
        <v>290</v>
      </c>
      <c r="L323" t="s">
        <v>290</v>
      </c>
      <c r="M323" t="s">
        <v>290</v>
      </c>
      <c r="N323" t="s">
        <v>290</v>
      </c>
      <c r="O323" t="s">
        <v>290</v>
      </c>
      <c r="P323" t="s">
        <v>290</v>
      </c>
      <c r="Q323" t="s">
        <v>1289</v>
      </c>
      <c r="R323" t="s">
        <v>1516</v>
      </c>
      <c r="T323" t="s">
        <v>1291</v>
      </c>
      <c r="U323" t="s">
        <v>1517</v>
      </c>
    </row>
    <row r="324" spans="1:21" x14ac:dyDescent="0.25">
      <c r="A324" t="s">
        <v>1518</v>
      </c>
      <c r="B324" t="s">
        <v>38</v>
      </c>
      <c r="C324" t="s">
        <v>1519</v>
      </c>
      <c r="D324">
        <f t="shared" si="10"/>
        <v>-8133</v>
      </c>
      <c r="E324" t="s">
        <v>1520</v>
      </c>
      <c r="F324" t="s">
        <v>1120</v>
      </c>
      <c r="G324" t="s">
        <v>1121</v>
      </c>
      <c r="H324">
        <v>-73.921253776700595</v>
      </c>
      <c r="I324">
        <v>45.673390226119302</v>
      </c>
      <c r="J324">
        <v>35</v>
      </c>
      <c r="K324" t="s">
        <v>428</v>
      </c>
      <c r="L324" t="s">
        <v>428</v>
      </c>
      <c r="M324" t="s">
        <v>428</v>
      </c>
      <c r="N324" t="s">
        <v>428</v>
      </c>
      <c r="O324" t="s">
        <v>428</v>
      </c>
      <c r="P324" t="s">
        <v>553</v>
      </c>
      <c r="Q324" t="s">
        <v>553</v>
      </c>
      <c r="R324" t="s">
        <v>1521</v>
      </c>
      <c r="T324" t="s">
        <v>1172</v>
      </c>
      <c r="U324" t="s">
        <v>1522</v>
      </c>
    </row>
    <row r="325" spans="1:21" x14ac:dyDescent="0.25">
      <c r="A325" t="s">
        <v>1523</v>
      </c>
      <c r="B325" t="s">
        <v>22</v>
      </c>
      <c r="C325" t="s">
        <v>1524</v>
      </c>
      <c r="D325">
        <f t="shared" si="10"/>
        <v>-8133</v>
      </c>
      <c r="E325" t="s">
        <v>1313</v>
      </c>
      <c r="F325" t="s">
        <v>1120</v>
      </c>
      <c r="G325" t="s">
        <v>1121</v>
      </c>
      <c r="H325">
        <v>-114.0659611</v>
      </c>
      <c r="I325">
        <v>50.952986899999999</v>
      </c>
      <c r="J325">
        <v>10</v>
      </c>
      <c r="K325" t="s">
        <v>717</v>
      </c>
      <c r="L325" t="s">
        <v>717</v>
      </c>
      <c r="M325" t="s">
        <v>717</v>
      </c>
      <c r="N325" t="s">
        <v>717</v>
      </c>
      <c r="O325" t="s">
        <v>717</v>
      </c>
      <c r="P325" t="s">
        <v>717</v>
      </c>
      <c r="Q325" t="s">
        <v>1034</v>
      </c>
      <c r="R325" t="s">
        <v>1525</v>
      </c>
      <c r="T325" t="s">
        <v>1248</v>
      </c>
      <c r="U325" t="s">
        <v>1526</v>
      </c>
    </row>
    <row r="326" spans="1:21" x14ac:dyDescent="0.25">
      <c r="A326" t="s">
        <v>1527</v>
      </c>
      <c r="B326" t="s">
        <v>22</v>
      </c>
      <c r="C326" t="s">
        <v>1528</v>
      </c>
      <c r="D326">
        <f t="shared" si="10"/>
        <v>-8133</v>
      </c>
      <c r="E326" t="s">
        <v>1170</v>
      </c>
      <c r="F326" t="s">
        <v>1120</v>
      </c>
      <c r="G326" t="s">
        <v>1121</v>
      </c>
      <c r="H326">
        <v>-73.436813599999994</v>
      </c>
      <c r="I326">
        <v>45.445063500000003</v>
      </c>
      <c r="J326">
        <v>20</v>
      </c>
      <c r="K326" t="s">
        <v>428</v>
      </c>
      <c r="L326" t="s">
        <v>428</v>
      </c>
      <c r="M326" t="s">
        <v>428</v>
      </c>
      <c r="N326" t="s">
        <v>45</v>
      </c>
      <c r="O326" t="s">
        <v>45</v>
      </c>
      <c r="P326" t="s">
        <v>326</v>
      </c>
      <c r="Q326" t="s">
        <v>553</v>
      </c>
      <c r="R326" t="s">
        <v>1529</v>
      </c>
      <c r="T326" t="s">
        <v>1172</v>
      </c>
      <c r="U326" t="s">
        <v>1530</v>
      </c>
    </row>
    <row r="327" spans="1:21" x14ac:dyDescent="0.25">
      <c r="A327" t="s">
        <v>1531</v>
      </c>
      <c r="B327" t="s">
        <v>22</v>
      </c>
      <c r="C327" t="s">
        <v>1532</v>
      </c>
      <c r="E327" t="s">
        <v>1533</v>
      </c>
      <c r="F327" t="s">
        <v>1120</v>
      </c>
      <c r="G327" t="s">
        <v>1121</v>
      </c>
      <c r="H327">
        <v>-106.66793800000001</v>
      </c>
      <c r="I327">
        <v>52.127772</v>
      </c>
      <c r="J327">
        <v>20</v>
      </c>
      <c r="K327" t="s">
        <v>428</v>
      </c>
      <c r="L327" t="s">
        <v>428</v>
      </c>
      <c r="M327" t="s">
        <v>428</v>
      </c>
      <c r="N327" t="s">
        <v>45</v>
      </c>
      <c r="O327" t="s">
        <v>45</v>
      </c>
      <c r="P327" t="s">
        <v>428</v>
      </c>
      <c r="Q327" t="s">
        <v>1034</v>
      </c>
      <c r="R327" t="s">
        <v>1534</v>
      </c>
      <c r="T327" t="s">
        <v>1477</v>
      </c>
      <c r="U327" t="s">
        <v>1535</v>
      </c>
    </row>
    <row r="328" spans="1:21" x14ac:dyDescent="0.25">
      <c r="A328" t="s">
        <v>1536</v>
      </c>
      <c r="B328" t="s">
        <v>38</v>
      </c>
      <c r="C328" t="s">
        <v>1537</v>
      </c>
      <c r="D328">
        <f>1-855-272-7007</f>
        <v>-8133</v>
      </c>
      <c r="E328" t="s">
        <v>1538</v>
      </c>
      <c r="F328" t="s">
        <v>1120</v>
      </c>
      <c r="G328" t="s">
        <v>1121</v>
      </c>
      <c r="H328">
        <v>-80.240149000000002</v>
      </c>
      <c r="I328">
        <v>43.171366999999996</v>
      </c>
      <c r="J328">
        <v>35</v>
      </c>
      <c r="K328" t="s">
        <v>536</v>
      </c>
      <c r="L328" t="s">
        <v>536</v>
      </c>
      <c r="M328" t="s">
        <v>536</v>
      </c>
      <c r="N328" t="s">
        <v>536</v>
      </c>
      <c r="O328" t="s">
        <v>536</v>
      </c>
      <c r="P328" t="s">
        <v>262</v>
      </c>
      <c r="Q328" t="s">
        <v>1289</v>
      </c>
      <c r="R328" t="s">
        <v>1539</v>
      </c>
      <c r="T328" t="s">
        <v>1123</v>
      </c>
      <c r="U328" t="s">
        <v>1540</v>
      </c>
    </row>
    <row r="329" spans="1:21" x14ac:dyDescent="0.25">
      <c r="A329" t="s">
        <v>1541</v>
      </c>
      <c r="B329" t="s">
        <v>22</v>
      </c>
      <c r="C329" t="s">
        <v>1542</v>
      </c>
      <c r="E329" t="s">
        <v>1318</v>
      </c>
      <c r="F329" t="s">
        <v>1120</v>
      </c>
      <c r="G329" t="s">
        <v>1121</v>
      </c>
      <c r="H329">
        <v>-123.0007944</v>
      </c>
      <c r="I329">
        <v>49.268483099999997</v>
      </c>
      <c r="J329">
        <v>35</v>
      </c>
      <c r="K329" t="s">
        <v>717</v>
      </c>
      <c r="L329" t="s">
        <v>717</v>
      </c>
      <c r="M329" t="s">
        <v>717</v>
      </c>
      <c r="N329" t="s">
        <v>717</v>
      </c>
      <c r="O329" t="s">
        <v>717</v>
      </c>
      <c r="P329" t="s">
        <v>717</v>
      </c>
      <c r="Q329" t="s">
        <v>717</v>
      </c>
      <c r="R329" t="s">
        <v>1543</v>
      </c>
      <c r="T329" t="s">
        <v>1233</v>
      </c>
      <c r="U329" t="s">
        <v>1544</v>
      </c>
    </row>
    <row r="330" spans="1:21" x14ac:dyDescent="0.25">
      <c r="A330" t="s">
        <v>1545</v>
      </c>
      <c r="B330" t="s">
        <v>38</v>
      </c>
      <c r="C330" t="s">
        <v>1546</v>
      </c>
      <c r="E330" t="s">
        <v>1547</v>
      </c>
      <c r="F330" t="s">
        <v>1120</v>
      </c>
      <c r="G330" t="s">
        <v>1121</v>
      </c>
      <c r="H330">
        <v>-80.946580999999995</v>
      </c>
      <c r="I330">
        <v>46.519942999999998</v>
      </c>
      <c r="J330">
        <v>35</v>
      </c>
      <c r="K330" t="s">
        <v>717</v>
      </c>
      <c r="L330" t="s">
        <v>717</v>
      </c>
      <c r="M330" t="s">
        <v>717</v>
      </c>
      <c r="N330" t="s">
        <v>717</v>
      </c>
      <c r="O330" t="s">
        <v>717</v>
      </c>
      <c r="P330" t="s">
        <v>1034</v>
      </c>
      <c r="Q330" t="s">
        <v>564</v>
      </c>
      <c r="R330" t="s">
        <v>1548</v>
      </c>
      <c r="T330" t="s">
        <v>1549</v>
      </c>
      <c r="U330" t="s">
        <v>1550</v>
      </c>
    </row>
    <row r="331" spans="1:21" x14ac:dyDescent="0.25">
      <c r="A331" t="s">
        <v>1551</v>
      </c>
      <c r="B331" t="s">
        <v>38</v>
      </c>
      <c r="C331" t="s">
        <v>1552</v>
      </c>
      <c r="E331" t="s">
        <v>1342</v>
      </c>
      <c r="F331" t="s">
        <v>1120</v>
      </c>
      <c r="G331" t="s">
        <v>1121</v>
      </c>
      <c r="H331">
        <v>-97.212782000000004</v>
      </c>
      <c r="I331">
        <v>49.845708000000002</v>
      </c>
      <c r="J331">
        <v>20</v>
      </c>
      <c r="K331" t="s">
        <v>717</v>
      </c>
      <c r="L331" t="s">
        <v>717</v>
      </c>
      <c r="M331" t="s">
        <v>717</v>
      </c>
      <c r="N331" t="s">
        <v>717</v>
      </c>
      <c r="O331" t="s">
        <v>717</v>
      </c>
      <c r="P331" t="s">
        <v>717</v>
      </c>
      <c r="Q331" t="s">
        <v>1034</v>
      </c>
      <c r="R331" t="s">
        <v>1553</v>
      </c>
      <c r="T331" t="s">
        <v>1554</v>
      </c>
      <c r="U331" t="s">
        <v>1555</v>
      </c>
    </row>
    <row r="332" spans="1:21" x14ac:dyDescent="0.25">
      <c r="A332" t="s">
        <v>1556</v>
      </c>
      <c r="B332" t="s">
        <v>32</v>
      </c>
      <c r="C332" t="s">
        <v>1557</v>
      </c>
      <c r="D332">
        <f t="shared" ref="D332:D363" si="11">41-800665590</f>
        <v>-800665549</v>
      </c>
      <c r="E332" t="s">
        <v>1558</v>
      </c>
      <c r="F332" t="s">
        <v>1559</v>
      </c>
      <c r="G332" t="s">
        <v>1560</v>
      </c>
      <c r="H332">
        <v>8.5955580000000005</v>
      </c>
      <c r="I332">
        <v>47.408028999999999</v>
      </c>
      <c r="J332">
        <v>100</v>
      </c>
      <c r="K332" t="s">
        <v>165</v>
      </c>
      <c r="L332" t="s">
        <v>165</v>
      </c>
      <c r="M332" t="s">
        <v>165</v>
      </c>
      <c r="N332" t="s">
        <v>165</v>
      </c>
      <c r="O332" t="s">
        <v>165</v>
      </c>
      <c r="P332" t="s">
        <v>165</v>
      </c>
      <c r="R332" t="s">
        <v>1561</v>
      </c>
      <c r="T332" t="s">
        <v>1562</v>
      </c>
      <c r="U332" t="s">
        <v>1563</v>
      </c>
    </row>
    <row r="333" spans="1:21" x14ac:dyDescent="0.25">
      <c r="A333" t="s">
        <v>1564</v>
      </c>
      <c r="B333" t="s">
        <v>32</v>
      </c>
      <c r="C333" t="s">
        <v>1565</v>
      </c>
      <c r="D333">
        <f t="shared" si="11"/>
        <v>-800665549</v>
      </c>
      <c r="E333" t="s">
        <v>1566</v>
      </c>
      <c r="F333" t="s">
        <v>1559</v>
      </c>
      <c r="G333" t="s">
        <v>1560</v>
      </c>
      <c r="H333">
        <v>6.14825</v>
      </c>
      <c r="I333">
        <v>46.203170999999998</v>
      </c>
      <c r="J333">
        <v>100</v>
      </c>
      <c r="K333" t="s">
        <v>535</v>
      </c>
      <c r="L333" t="s">
        <v>535</v>
      </c>
      <c r="M333" t="s">
        <v>535</v>
      </c>
      <c r="N333" t="s">
        <v>535</v>
      </c>
      <c r="O333" t="s">
        <v>535</v>
      </c>
      <c r="P333" t="s">
        <v>428</v>
      </c>
      <c r="R333" t="s">
        <v>1567</v>
      </c>
      <c r="T333" t="s">
        <v>1566</v>
      </c>
      <c r="U333" t="s">
        <v>1568</v>
      </c>
    </row>
    <row r="334" spans="1:21" x14ac:dyDescent="0.25">
      <c r="A334" t="s">
        <v>1569</v>
      </c>
      <c r="B334" t="s">
        <v>38</v>
      </c>
      <c r="C334" t="s">
        <v>1570</v>
      </c>
      <c r="D334">
        <f t="shared" si="11"/>
        <v>-800665549</v>
      </c>
      <c r="E334" t="s">
        <v>1571</v>
      </c>
      <c r="F334" t="s">
        <v>1559</v>
      </c>
      <c r="G334" t="s">
        <v>1560</v>
      </c>
      <c r="H334">
        <v>9.5534459999999992</v>
      </c>
      <c r="I334">
        <v>46.963757000000001</v>
      </c>
      <c r="J334">
        <v>100</v>
      </c>
      <c r="K334" t="s">
        <v>535</v>
      </c>
      <c r="L334" t="s">
        <v>535</v>
      </c>
      <c r="M334" t="s">
        <v>535</v>
      </c>
      <c r="N334" t="s">
        <v>535</v>
      </c>
      <c r="O334" t="s">
        <v>535</v>
      </c>
      <c r="P334" t="s">
        <v>535</v>
      </c>
      <c r="Q334" t="s">
        <v>535</v>
      </c>
      <c r="R334" t="s">
        <v>1572</v>
      </c>
      <c r="T334" t="s">
        <v>1573</v>
      </c>
      <c r="U334" t="s">
        <v>1574</v>
      </c>
    </row>
    <row r="335" spans="1:21" x14ac:dyDescent="0.25">
      <c r="A335" t="s">
        <v>1575</v>
      </c>
      <c r="B335" t="s">
        <v>22</v>
      </c>
      <c r="C335" t="s">
        <v>1576</v>
      </c>
      <c r="D335">
        <f t="shared" si="11"/>
        <v>-800665549</v>
      </c>
      <c r="E335" t="s">
        <v>1562</v>
      </c>
      <c r="F335" t="s">
        <v>1559</v>
      </c>
      <c r="G335" t="s">
        <v>1560</v>
      </c>
      <c r="H335">
        <v>8.4988799999999998</v>
      </c>
      <c r="I335">
        <v>47.386409999999998</v>
      </c>
      <c r="J335">
        <v>100</v>
      </c>
      <c r="K335" t="s">
        <v>192</v>
      </c>
      <c r="L335" t="s">
        <v>192</v>
      </c>
      <c r="M335" t="s">
        <v>192</v>
      </c>
      <c r="N335" t="s">
        <v>192</v>
      </c>
      <c r="O335" t="s">
        <v>192</v>
      </c>
      <c r="P335" t="s">
        <v>192</v>
      </c>
      <c r="R335" t="s">
        <v>1577</v>
      </c>
      <c r="T335" t="s">
        <v>1562</v>
      </c>
      <c r="U335" t="s">
        <v>1578</v>
      </c>
    </row>
    <row r="336" spans="1:21" x14ac:dyDescent="0.25">
      <c r="A336" t="s">
        <v>1579</v>
      </c>
      <c r="B336" t="s">
        <v>22</v>
      </c>
      <c r="C336" t="s">
        <v>1580</v>
      </c>
      <c r="D336">
        <f t="shared" si="11"/>
        <v>-800665549</v>
      </c>
      <c r="E336" t="s">
        <v>1581</v>
      </c>
      <c r="F336" t="s">
        <v>1559</v>
      </c>
      <c r="G336" t="s">
        <v>1560</v>
      </c>
      <c r="H336">
        <v>8.3586305341293592</v>
      </c>
      <c r="I336">
        <v>47.093565041538</v>
      </c>
      <c r="J336">
        <v>100</v>
      </c>
      <c r="K336" t="s">
        <v>165</v>
      </c>
      <c r="L336" t="s">
        <v>165</v>
      </c>
      <c r="M336" t="s">
        <v>165</v>
      </c>
      <c r="N336" t="s">
        <v>165</v>
      </c>
      <c r="O336" t="s">
        <v>312</v>
      </c>
      <c r="P336" t="s">
        <v>1582</v>
      </c>
      <c r="R336" t="s">
        <v>1583</v>
      </c>
      <c r="T336" t="s">
        <v>1584</v>
      </c>
      <c r="U336" t="s">
        <v>1585</v>
      </c>
    </row>
    <row r="337" spans="1:21" x14ac:dyDescent="0.25">
      <c r="A337" t="s">
        <v>1586</v>
      </c>
      <c r="B337" t="s">
        <v>38</v>
      </c>
      <c r="C337" t="s">
        <v>1587</v>
      </c>
      <c r="D337">
        <f t="shared" si="11"/>
        <v>-800665549</v>
      </c>
      <c r="E337" t="s">
        <v>1588</v>
      </c>
      <c r="F337" t="s">
        <v>1559</v>
      </c>
      <c r="G337" t="s">
        <v>1560</v>
      </c>
      <c r="H337">
        <v>8.8964869116393892</v>
      </c>
      <c r="I337">
        <v>47.556294178871099</v>
      </c>
      <c r="J337">
        <v>100</v>
      </c>
      <c r="K337" t="s">
        <v>192</v>
      </c>
      <c r="L337" t="s">
        <v>192</v>
      </c>
      <c r="M337" t="s">
        <v>192</v>
      </c>
      <c r="N337" t="s">
        <v>192</v>
      </c>
      <c r="O337" t="s">
        <v>192</v>
      </c>
      <c r="P337" t="s">
        <v>166</v>
      </c>
      <c r="R337" t="s">
        <v>1589</v>
      </c>
      <c r="T337" t="s">
        <v>1590</v>
      </c>
      <c r="U337" t="s">
        <v>1591</v>
      </c>
    </row>
    <row r="338" spans="1:21" x14ac:dyDescent="0.25">
      <c r="A338" t="s">
        <v>1592</v>
      </c>
      <c r="B338" t="s">
        <v>22</v>
      </c>
      <c r="C338" t="s">
        <v>1593</v>
      </c>
      <c r="D338">
        <f t="shared" si="11"/>
        <v>-800665549</v>
      </c>
      <c r="E338" t="s">
        <v>1594</v>
      </c>
      <c r="F338" t="s">
        <v>1559</v>
      </c>
      <c r="G338" t="s">
        <v>1560</v>
      </c>
      <c r="H338">
        <v>6.8411124719831404</v>
      </c>
      <c r="I338">
        <v>46.463198545366097</v>
      </c>
      <c r="J338">
        <v>100</v>
      </c>
      <c r="K338" t="s">
        <v>198</v>
      </c>
      <c r="L338" t="s">
        <v>198</v>
      </c>
      <c r="M338" t="s">
        <v>198</v>
      </c>
      <c r="N338" t="s">
        <v>198</v>
      </c>
      <c r="O338" t="s">
        <v>192</v>
      </c>
      <c r="P338" t="s">
        <v>1582</v>
      </c>
      <c r="R338" t="s">
        <v>1595</v>
      </c>
      <c r="T338" t="s">
        <v>1596</v>
      </c>
      <c r="U338" t="s">
        <v>1597</v>
      </c>
    </row>
    <row r="339" spans="1:21" x14ac:dyDescent="0.25">
      <c r="A339" t="s">
        <v>1598</v>
      </c>
      <c r="B339" t="s">
        <v>22</v>
      </c>
      <c r="C339" t="s">
        <v>1599</v>
      </c>
      <c r="D339">
        <f t="shared" si="11"/>
        <v>-800665549</v>
      </c>
      <c r="E339" t="s">
        <v>1584</v>
      </c>
      <c r="F339" t="s">
        <v>1559</v>
      </c>
      <c r="G339" t="s">
        <v>1560</v>
      </c>
      <c r="H339">
        <v>8.3095909455078107</v>
      </c>
      <c r="I339">
        <v>47.050151418054398</v>
      </c>
      <c r="J339">
        <v>100</v>
      </c>
      <c r="K339" t="s">
        <v>312</v>
      </c>
      <c r="L339" t="s">
        <v>312</v>
      </c>
      <c r="M339" t="s">
        <v>312</v>
      </c>
      <c r="N339" t="s">
        <v>312</v>
      </c>
      <c r="O339" t="s">
        <v>312</v>
      </c>
      <c r="P339" t="s">
        <v>192</v>
      </c>
      <c r="Q339" t="s">
        <v>45</v>
      </c>
      <c r="R339" t="s">
        <v>1600</v>
      </c>
      <c r="T339" t="s">
        <v>1584</v>
      </c>
      <c r="U339" t="s">
        <v>1601</v>
      </c>
    </row>
    <row r="340" spans="1:21" x14ac:dyDescent="0.25">
      <c r="A340" t="s">
        <v>1602</v>
      </c>
      <c r="B340" t="s">
        <v>38</v>
      </c>
      <c r="C340" t="s">
        <v>422</v>
      </c>
      <c r="D340">
        <f t="shared" si="11"/>
        <v>-800665549</v>
      </c>
      <c r="E340" t="s">
        <v>1603</v>
      </c>
      <c r="F340" t="s">
        <v>1559</v>
      </c>
      <c r="G340" t="s">
        <v>1560</v>
      </c>
      <c r="H340">
        <v>8.73058472023774</v>
      </c>
      <c r="I340">
        <v>47.499772502069398</v>
      </c>
      <c r="J340">
        <v>100</v>
      </c>
      <c r="K340" t="s">
        <v>198</v>
      </c>
      <c r="L340" t="s">
        <v>198</v>
      </c>
      <c r="M340" t="s">
        <v>198</v>
      </c>
      <c r="N340" t="s">
        <v>192</v>
      </c>
      <c r="O340" t="s">
        <v>198</v>
      </c>
      <c r="P340" t="s">
        <v>326</v>
      </c>
      <c r="R340" t="s">
        <v>1604</v>
      </c>
      <c r="U340" t="s">
        <v>1605</v>
      </c>
    </row>
    <row r="341" spans="1:21" x14ac:dyDescent="0.25">
      <c r="A341" t="s">
        <v>1606</v>
      </c>
      <c r="B341" t="s">
        <v>38</v>
      </c>
      <c r="C341" t="s">
        <v>1607</v>
      </c>
      <c r="D341">
        <f t="shared" si="11"/>
        <v>-800665549</v>
      </c>
      <c r="E341" t="s">
        <v>1603</v>
      </c>
      <c r="F341" t="s">
        <v>1559</v>
      </c>
      <c r="G341" t="s">
        <v>1560</v>
      </c>
      <c r="H341">
        <v>8.7127762000000004</v>
      </c>
      <c r="I341">
        <v>47.495130799999998</v>
      </c>
      <c r="J341">
        <v>100</v>
      </c>
      <c r="K341" t="s">
        <v>192</v>
      </c>
      <c r="L341" t="s">
        <v>192</v>
      </c>
      <c r="M341" t="s">
        <v>192</v>
      </c>
      <c r="N341" t="s">
        <v>192</v>
      </c>
      <c r="O341" t="s">
        <v>192</v>
      </c>
      <c r="P341" t="s">
        <v>166</v>
      </c>
      <c r="R341" t="s">
        <v>1608</v>
      </c>
      <c r="U341" t="s">
        <v>1609</v>
      </c>
    </row>
    <row r="342" spans="1:21" x14ac:dyDescent="0.25">
      <c r="A342" t="s">
        <v>1610</v>
      </c>
      <c r="B342" t="s">
        <v>22</v>
      </c>
      <c r="C342" t="s">
        <v>1611</v>
      </c>
      <c r="D342">
        <f t="shared" si="11"/>
        <v>-800665549</v>
      </c>
      <c r="E342" t="s">
        <v>1612</v>
      </c>
      <c r="F342" t="s">
        <v>1559</v>
      </c>
      <c r="G342" t="s">
        <v>1560</v>
      </c>
      <c r="H342">
        <v>7.3729687463753599</v>
      </c>
      <c r="I342">
        <v>46.9438959145143</v>
      </c>
      <c r="J342">
        <v>100</v>
      </c>
      <c r="K342" t="s">
        <v>192</v>
      </c>
      <c r="L342" t="s">
        <v>192</v>
      </c>
      <c r="M342" t="s">
        <v>192</v>
      </c>
      <c r="N342" t="s">
        <v>192</v>
      </c>
      <c r="O342" t="s">
        <v>312</v>
      </c>
      <c r="P342" t="s">
        <v>1582</v>
      </c>
      <c r="R342" t="s">
        <v>1613</v>
      </c>
      <c r="T342" t="s">
        <v>1612</v>
      </c>
      <c r="U342" t="s">
        <v>1614</v>
      </c>
    </row>
    <row r="343" spans="1:21" x14ac:dyDescent="0.25">
      <c r="A343" t="s">
        <v>1615</v>
      </c>
      <c r="B343" t="s">
        <v>22</v>
      </c>
      <c r="C343" t="s">
        <v>1616</v>
      </c>
      <c r="D343">
        <f t="shared" si="11"/>
        <v>-800665549</v>
      </c>
      <c r="E343" t="s">
        <v>1617</v>
      </c>
      <c r="F343" t="s">
        <v>1559</v>
      </c>
      <c r="G343" t="s">
        <v>1560</v>
      </c>
      <c r="H343">
        <v>6.9105492999999996</v>
      </c>
      <c r="I343">
        <v>46.431881199999999</v>
      </c>
      <c r="J343">
        <v>100</v>
      </c>
      <c r="K343" t="s">
        <v>165</v>
      </c>
      <c r="L343" t="s">
        <v>165</v>
      </c>
      <c r="M343" t="s">
        <v>165</v>
      </c>
      <c r="N343" t="s">
        <v>165</v>
      </c>
      <c r="O343" t="s">
        <v>165</v>
      </c>
      <c r="P343" t="s">
        <v>166</v>
      </c>
      <c r="R343" t="s">
        <v>1616</v>
      </c>
      <c r="T343" t="s">
        <v>1596</v>
      </c>
      <c r="U343" t="s">
        <v>1618</v>
      </c>
    </row>
    <row r="344" spans="1:21" x14ac:dyDescent="0.25">
      <c r="A344" t="s">
        <v>1619</v>
      </c>
      <c r="B344" t="s">
        <v>22</v>
      </c>
      <c r="C344" t="s">
        <v>1620</v>
      </c>
      <c r="D344">
        <f t="shared" si="11"/>
        <v>-800665549</v>
      </c>
      <c r="E344" t="s">
        <v>1621</v>
      </c>
      <c r="F344" t="s">
        <v>1559</v>
      </c>
      <c r="G344" t="s">
        <v>1560</v>
      </c>
      <c r="H344">
        <v>7.0069623999999999</v>
      </c>
      <c r="I344">
        <v>47.011622099999997</v>
      </c>
      <c r="J344">
        <v>100</v>
      </c>
      <c r="K344" t="s">
        <v>165</v>
      </c>
      <c r="L344" t="s">
        <v>165</v>
      </c>
      <c r="M344" t="s">
        <v>165</v>
      </c>
      <c r="N344" t="s">
        <v>192</v>
      </c>
      <c r="O344" t="s">
        <v>165</v>
      </c>
      <c r="P344" t="s">
        <v>248</v>
      </c>
      <c r="R344" t="s">
        <v>1622</v>
      </c>
      <c r="T344" t="s">
        <v>1623</v>
      </c>
      <c r="U344" t="s">
        <v>1624</v>
      </c>
    </row>
    <row r="345" spans="1:21" x14ac:dyDescent="0.25">
      <c r="A345" t="s">
        <v>1625</v>
      </c>
      <c r="B345" t="s">
        <v>38</v>
      </c>
      <c r="C345" t="s">
        <v>1626</v>
      </c>
      <c r="D345">
        <f t="shared" si="11"/>
        <v>-800665549</v>
      </c>
      <c r="E345" t="s">
        <v>1627</v>
      </c>
      <c r="F345" t="s">
        <v>1559</v>
      </c>
      <c r="G345" t="s">
        <v>1560</v>
      </c>
      <c r="H345">
        <v>9.6512219755368296</v>
      </c>
      <c r="I345">
        <v>47.450109714205098</v>
      </c>
      <c r="J345">
        <v>100</v>
      </c>
      <c r="K345" t="s">
        <v>165</v>
      </c>
      <c r="L345" t="s">
        <v>165</v>
      </c>
      <c r="M345" t="s">
        <v>165</v>
      </c>
      <c r="N345" t="s">
        <v>165</v>
      </c>
      <c r="O345" t="s">
        <v>312</v>
      </c>
      <c r="P345" t="s">
        <v>326</v>
      </c>
      <c r="R345" t="s">
        <v>1628</v>
      </c>
      <c r="U345" t="s">
        <v>1629</v>
      </c>
    </row>
    <row r="346" spans="1:21" x14ac:dyDescent="0.25">
      <c r="A346" t="s">
        <v>1630</v>
      </c>
      <c r="B346" t="s">
        <v>38</v>
      </c>
      <c r="C346" t="s">
        <v>1631</v>
      </c>
      <c r="D346">
        <f t="shared" si="11"/>
        <v>-800665549</v>
      </c>
      <c r="E346" t="s">
        <v>1632</v>
      </c>
      <c r="F346" t="s">
        <v>1559</v>
      </c>
      <c r="G346" t="s">
        <v>1560</v>
      </c>
      <c r="H346">
        <v>7.2956158000000002</v>
      </c>
      <c r="I346">
        <v>46.225033000000003</v>
      </c>
      <c r="J346">
        <v>100</v>
      </c>
      <c r="K346" t="s">
        <v>198</v>
      </c>
      <c r="L346" t="s">
        <v>198</v>
      </c>
      <c r="M346" t="s">
        <v>198</v>
      </c>
      <c r="N346" t="s">
        <v>198</v>
      </c>
      <c r="O346" t="s">
        <v>192</v>
      </c>
      <c r="P346" t="s">
        <v>1633</v>
      </c>
      <c r="R346" t="s">
        <v>1634</v>
      </c>
      <c r="U346" t="s">
        <v>1635</v>
      </c>
    </row>
    <row r="347" spans="1:21" x14ac:dyDescent="0.25">
      <c r="A347" t="s">
        <v>1636</v>
      </c>
      <c r="B347" t="s">
        <v>38</v>
      </c>
      <c r="C347" t="s">
        <v>1637</v>
      </c>
      <c r="D347">
        <f t="shared" si="11"/>
        <v>-800665549</v>
      </c>
      <c r="E347" t="s">
        <v>1638</v>
      </c>
      <c r="F347" t="s">
        <v>1559</v>
      </c>
      <c r="G347" t="s">
        <v>1560</v>
      </c>
      <c r="H347">
        <v>9.4344110709778306</v>
      </c>
      <c r="I347">
        <v>47.040903046293401</v>
      </c>
      <c r="J347">
        <v>100</v>
      </c>
      <c r="K347" t="s">
        <v>165</v>
      </c>
      <c r="L347" t="s">
        <v>165</v>
      </c>
      <c r="M347" t="s">
        <v>165</v>
      </c>
      <c r="N347" t="s">
        <v>165</v>
      </c>
      <c r="O347" t="s">
        <v>312</v>
      </c>
      <c r="P347" t="s">
        <v>1633</v>
      </c>
      <c r="R347" t="s">
        <v>1639</v>
      </c>
      <c r="T347" t="s">
        <v>1640</v>
      </c>
      <c r="U347" t="s">
        <v>1641</v>
      </c>
    </row>
    <row r="348" spans="1:21" x14ac:dyDescent="0.25">
      <c r="A348" t="s">
        <v>1642</v>
      </c>
      <c r="B348" t="s">
        <v>38</v>
      </c>
      <c r="C348" t="s">
        <v>1643</v>
      </c>
      <c r="D348">
        <f t="shared" si="11"/>
        <v>-800665549</v>
      </c>
      <c r="E348" t="s">
        <v>1644</v>
      </c>
      <c r="F348" t="s">
        <v>1559</v>
      </c>
      <c r="G348" t="s">
        <v>1560</v>
      </c>
      <c r="H348">
        <v>9.1731099999999994</v>
      </c>
      <c r="I348">
        <v>47.650500000000001</v>
      </c>
      <c r="J348">
        <v>100</v>
      </c>
      <c r="K348" t="s">
        <v>1645</v>
      </c>
      <c r="L348" t="s">
        <v>1645</v>
      </c>
      <c r="M348" t="s">
        <v>1645</v>
      </c>
      <c r="N348" t="s">
        <v>1645</v>
      </c>
      <c r="O348" t="s">
        <v>1645</v>
      </c>
      <c r="P348" t="s">
        <v>1646</v>
      </c>
      <c r="R348" t="s">
        <v>1647</v>
      </c>
      <c r="U348" t="s">
        <v>1648</v>
      </c>
    </row>
    <row r="349" spans="1:21" x14ac:dyDescent="0.25">
      <c r="A349" t="s">
        <v>1649</v>
      </c>
      <c r="B349" t="s">
        <v>38</v>
      </c>
      <c r="C349" t="s">
        <v>1650</v>
      </c>
      <c r="D349">
        <f t="shared" si="11"/>
        <v>-800665549</v>
      </c>
      <c r="E349" t="s">
        <v>1651</v>
      </c>
      <c r="F349" t="s">
        <v>1559</v>
      </c>
      <c r="G349" t="s">
        <v>1560</v>
      </c>
      <c r="H349">
        <v>7.2669839859008798</v>
      </c>
      <c r="I349">
        <v>47.119672443324703</v>
      </c>
      <c r="J349">
        <v>100</v>
      </c>
      <c r="K349" t="s">
        <v>1645</v>
      </c>
      <c r="L349" t="s">
        <v>1645</v>
      </c>
      <c r="M349" t="s">
        <v>1645</v>
      </c>
      <c r="N349" t="s">
        <v>1645</v>
      </c>
      <c r="O349" t="s">
        <v>1652</v>
      </c>
      <c r="P349" t="s">
        <v>1582</v>
      </c>
      <c r="R349" t="s">
        <v>1653</v>
      </c>
      <c r="U349" t="s">
        <v>1654</v>
      </c>
    </row>
    <row r="350" spans="1:21" x14ac:dyDescent="0.25">
      <c r="A350" t="s">
        <v>1655</v>
      </c>
      <c r="B350" t="s">
        <v>38</v>
      </c>
      <c r="C350" t="s">
        <v>1656</v>
      </c>
      <c r="D350">
        <f t="shared" si="11"/>
        <v>-800665549</v>
      </c>
      <c r="E350" t="s">
        <v>1657</v>
      </c>
      <c r="F350" t="s">
        <v>1559</v>
      </c>
      <c r="G350" t="s">
        <v>1560</v>
      </c>
      <c r="H350">
        <v>8.3556699999999999</v>
      </c>
      <c r="I350">
        <v>46.96461</v>
      </c>
      <c r="J350">
        <v>100</v>
      </c>
      <c r="K350" t="s">
        <v>192</v>
      </c>
      <c r="L350" t="s">
        <v>192</v>
      </c>
      <c r="M350" t="s">
        <v>192</v>
      </c>
      <c r="N350" t="s">
        <v>192</v>
      </c>
      <c r="O350" t="s">
        <v>192</v>
      </c>
      <c r="P350" t="s">
        <v>1646</v>
      </c>
      <c r="R350" t="s">
        <v>1658</v>
      </c>
      <c r="U350" t="s">
        <v>1659</v>
      </c>
    </row>
    <row r="351" spans="1:21" x14ac:dyDescent="0.25">
      <c r="A351" t="s">
        <v>1660</v>
      </c>
      <c r="B351" t="s">
        <v>38</v>
      </c>
      <c r="C351" t="s">
        <v>1661</v>
      </c>
      <c r="D351">
        <f t="shared" si="11"/>
        <v>-800665549</v>
      </c>
      <c r="E351" t="s">
        <v>1662</v>
      </c>
      <c r="F351" t="s">
        <v>1559</v>
      </c>
      <c r="G351" t="s">
        <v>1560</v>
      </c>
      <c r="H351">
        <v>7.80226707458496</v>
      </c>
      <c r="I351">
        <v>47.317443040142102</v>
      </c>
      <c r="J351">
        <v>100</v>
      </c>
      <c r="K351" t="s">
        <v>198</v>
      </c>
      <c r="L351" t="s">
        <v>198</v>
      </c>
      <c r="M351" t="s">
        <v>198</v>
      </c>
      <c r="N351" t="s">
        <v>312</v>
      </c>
      <c r="O351" t="s">
        <v>198</v>
      </c>
      <c r="P351" t="s">
        <v>1646</v>
      </c>
      <c r="R351" t="s">
        <v>1663</v>
      </c>
      <c r="U351" t="s">
        <v>1664</v>
      </c>
    </row>
    <row r="352" spans="1:21" x14ac:dyDescent="0.25">
      <c r="A352" t="s">
        <v>1665</v>
      </c>
      <c r="B352" t="s">
        <v>38</v>
      </c>
      <c r="C352" t="s">
        <v>1666</v>
      </c>
      <c r="D352">
        <f t="shared" si="11"/>
        <v>-800665549</v>
      </c>
      <c r="E352" t="s">
        <v>1667</v>
      </c>
      <c r="F352" t="s">
        <v>1559</v>
      </c>
      <c r="G352" t="s">
        <v>1560</v>
      </c>
      <c r="H352">
        <v>9.5081863404630003</v>
      </c>
      <c r="I352">
        <v>46.847166261278403</v>
      </c>
      <c r="J352">
        <v>100</v>
      </c>
      <c r="K352" t="s">
        <v>165</v>
      </c>
      <c r="L352" t="s">
        <v>165</v>
      </c>
      <c r="M352" t="s">
        <v>165</v>
      </c>
      <c r="N352" t="s">
        <v>165</v>
      </c>
      <c r="O352" t="s">
        <v>165</v>
      </c>
      <c r="P352" t="s">
        <v>166</v>
      </c>
      <c r="R352" t="s">
        <v>1668</v>
      </c>
      <c r="T352" t="s">
        <v>1573</v>
      </c>
      <c r="U352" t="s">
        <v>1669</v>
      </c>
    </row>
    <row r="353" spans="1:21" x14ac:dyDescent="0.25">
      <c r="A353" t="s">
        <v>1670</v>
      </c>
      <c r="B353" t="s">
        <v>38</v>
      </c>
      <c r="C353" t="s">
        <v>1671</v>
      </c>
      <c r="D353">
        <f t="shared" si="11"/>
        <v>-800665549</v>
      </c>
      <c r="E353" t="s">
        <v>1672</v>
      </c>
      <c r="F353" t="s">
        <v>1559</v>
      </c>
      <c r="G353" t="s">
        <v>1560</v>
      </c>
      <c r="H353">
        <v>7.3606467247009304</v>
      </c>
      <c r="I353">
        <v>46.231620591616597</v>
      </c>
      <c r="J353">
        <v>100</v>
      </c>
      <c r="K353" t="s">
        <v>198</v>
      </c>
      <c r="L353" t="s">
        <v>198</v>
      </c>
      <c r="M353" t="s">
        <v>198</v>
      </c>
      <c r="N353" t="s">
        <v>198</v>
      </c>
      <c r="O353" t="s">
        <v>198</v>
      </c>
      <c r="P353" t="s">
        <v>326</v>
      </c>
      <c r="R353" t="s">
        <v>1673</v>
      </c>
      <c r="T353" t="s">
        <v>1674</v>
      </c>
      <c r="U353" t="s">
        <v>1675</v>
      </c>
    </row>
    <row r="354" spans="1:21" x14ac:dyDescent="0.25">
      <c r="A354" t="s">
        <v>1676</v>
      </c>
      <c r="B354" t="s">
        <v>22</v>
      </c>
      <c r="C354" t="s">
        <v>1677</v>
      </c>
      <c r="D354">
        <f t="shared" si="11"/>
        <v>-800665549</v>
      </c>
      <c r="E354" t="s">
        <v>1678</v>
      </c>
      <c r="F354" t="s">
        <v>1559</v>
      </c>
      <c r="G354" t="s">
        <v>1560</v>
      </c>
      <c r="H354">
        <v>7.6075601577758798</v>
      </c>
      <c r="I354">
        <v>46.743772040352098</v>
      </c>
      <c r="J354">
        <v>100</v>
      </c>
      <c r="K354" t="s">
        <v>192</v>
      </c>
      <c r="L354" t="s">
        <v>192</v>
      </c>
      <c r="M354" t="s">
        <v>192</v>
      </c>
      <c r="N354" t="s">
        <v>192</v>
      </c>
      <c r="O354" t="s">
        <v>312</v>
      </c>
      <c r="P354" t="s">
        <v>1582</v>
      </c>
      <c r="R354" t="s">
        <v>1679</v>
      </c>
      <c r="T354" t="s">
        <v>1612</v>
      </c>
      <c r="U354" t="s">
        <v>1680</v>
      </c>
    </row>
    <row r="355" spans="1:21" x14ac:dyDescent="0.25">
      <c r="A355" t="s">
        <v>1681</v>
      </c>
      <c r="B355" t="s">
        <v>38</v>
      </c>
      <c r="C355" t="s">
        <v>1682</v>
      </c>
      <c r="D355">
        <f t="shared" si="11"/>
        <v>-800665549</v>
      </c>
      <c r="E355" t="s">
        <v>1683</v>
      </c>
      <c r="F355" t="s">
        <v>1559</v>
      </c>
      <c r="G355" t="s">
        <v>1560</v>
      </c>
      <c r="H355">
        <v>9.4754966497339392</v>
      </c>
      <c r="I355">
        <v>47.166426377885799</v>
      </c>
      <c r="J355">
        <v>100</v>
      </c>
      <c r="K355" t="s">
        <v>198</v>
      </c>
      <c r="L355" t="s">
        <v>198</v>
      </c>
      <c r="M355" t="s">
        <v>192</v>
      </c>
      <c r="N355" t="s">
        <v>198</v>
      </c>
      <c r="O355" t="s">
        <v>198</v>
      </c>
      <c r="P355" t="s">
        <v>326</v>
      </c>
      <c r="R355" t="s">
        <v>1682</v>
      </c>
      <c r="T355" t="s">
        <v>1640</v>
      </c>
      <c r="U355" t="s">
        <v>1684</v>
      </c>
    </row>
    <row r="356" spans="1:21" x14ac:dyDescent="0.25">
      <c r="A356" t="s">
        <v>1685</v>
      </c>
      <c r="B356" t="s">
        <v>38</v>
      </c>
      <c r="C356" t="s">
        <v>1686</v>
      </c>
      <c r="D356">
        <f t="shared" si="11"/>
        <v>-800665549</v>
      </c>
      <c r="E356" t="s">
        <v>1687</v>
      </c>
      <c r="F356" t="s">
        <v>1559</v>
      </c>
      <c r="G356" t="s">
        <v>1560</v>
      </c>
      <c r="H356">
        <v>7.0768690109252903</v>
      </c>
      <c r="I356">
        <v>46.111771927467402</v>
      </c>
      <c r="J356">
        <v>100</v>
      </c>
      <c r="K356" t="s">
        <v>365</v>
      </c>
      <c r="L356" t="s">
        <v>365</v>
      </c>
      <c r="M356" t="s">
        <v>365</v>
      </c>
      <c r="N356" t="s">
        <v>365</v>
      </c>
      <c r="O356" t="s">
        <v>1645</v>
      </c>
      <c r="P356" t="s">
        <v>1582</v>
      </c>
      <c r="R356" t="s">
        <v>1688</v>
      </c>
      <c r="T356" t="s">
        <v>1674</v>
      </c>
      <c r="U356" t="s">
        <v>1689</v>
      </c>
    </row>
    <row r="357" spans="1:21" x14ac:dyDescent="0.25">
      <c r="A357" t="s">
        <v>1690</v>
      </c>
      <c r="B357" t="s">
        <v>22</v>
      </c>
      <c r="C357" t="s">
        <v>1691</v>
      </c>
      <c r="D357">
        <f t="shared" si="11"/>
        <v>-800665549</v>
      </c>
      <c r="E357" t="s">
        <v>1562</v>
      </c>
      <c r="F357" t="s">
        <v>1559</v>
      </c>
      <c r="G357" t="s">
        <v>1560</v>
      </c>
      <c r="H357">
        <v>8.5447883605956996</v>
      </c>
      <c r="I357">
        <v>47.409619113684599</v>
      </c>
      <c r="J357">
        <v>100</v>
      </c>
      <c r="K357" t="s">
        <v>192</v>
      </c>
      <c r="L357" t="s">
        <v>192</v>
      </c>
      <c r="M357" t="s">
        <v>192</v>
      </c>
      <c r="N357" t="s">
        <v>192</v>
      </c>
      <c r="O357" t="s">
        <v>192</v>
      </c>
      <c r="P357" t="s">
        <v>166</v>
      </c>
      <c r="R357" t="s">
        <v>1692</v>
      </c>
      <c r="T357" t="s">
        <v>1562</v>
      </c>
      <c r="U357" t="s">
        <v>1693</v>
      </c>
    </row>
    <row r="358" spans="1:21" x14ac:dyDescent="0.25">
      <c r="A358" t="s">
        <v>1694</v>
      </c>
      <c r="B358" t="s">
        <v>38</v>
      </c>
      <c r="C358" t="s">
        <v>1695</v>
      </c>
      <c r="D358">
        <f t="shared" si="11"/>
        <v>-800665549</v>
      </c>
      <c r="E358" t="s">
        <v>1696</v>
      </c>
      <c r="F358" t="s">
        <v>1559</v>
      </c>
      <c r="G358" t="s">
        <v>1560</v>
      </c>
      <c r="H358">
        <v>7.9701497000000003</v>
      </c>
      <c r="I358">
        <v>46.308721599999998</v>
      </c>
      <c r="J358">
        <v>100</v>
      </c>
      <c r="K358" t="s">
        <v>198</v>
      </c>
      <c r="L358" t="s">
        <v>198</v>
      </c>
      <c r="M358" t="s">
        <v>198</v>
      </c>
      <c r="N358" t="s">
        <v>198</v>
      </c>
      <c r="O358" t="s">
        <v>192</v>
      </c>
      <c r="P358" t="s">
        <v>326</v>
      </c>
      <c r="R358" t="s">
        <v>1697</v>
      </c>
      <c r="T358" t="s">
        <v>1674</v>
      </c>
      <c r="U358" t="s">
        <v>1698</v>
      </c>
    </row>
    <row r="359" spans="1:21" x14ac:dyDescent="0.25">
      <c r="A359" t="s">
        <v>1699</v>
      </c>
      <c r="B359" t="s">
        <v>38</v>
      </c>
      <c r="C359" t="s">
        <v>1700</v>
      </c>
      <c r="D359">
        <f t="shared" si="11"/>
        <v>-800665549</v>
      </c>
      <c r="E359" t="s">
        <v>1701</v>
      </c>
      <c r="F359" t="s">
        <v>1559</v>
      </c>
      <c r="G359" t="s">
        <v>1560</v>
      </c>
      <c r="H359">
        <v>9.8199299999999994</v>
      </c>
      <c r="I359">
        <v>46.790779999999998</v>
      </c>
      <c r="J359">
        <v>100</v>
      </c>
      <c r="K359" t="s">
        <v>198</v>
      </c>
      <c r="L359" t="s">
        <v>198</v>
      </c>
      <c r="M359" t="s">
        <v>198</v>
      </c>
      <c r="N359" t="s">
        <v>198</v>
      </c>
      <c r="O359" t="s">
        <v>198</v>
      </c>
      <c r="P359" t="s">
        <v>166</v>
      </c>
      <c r="R359" t="s">
        <v>1700</v>
      </c>
      <c r="T359" t="s">
        <v>1573</v>
      </c>
      <c r="U359" t="s">
        <v>1702</v>
      </c>
    </row>
    <row r="360" spans="1:21" x14ac:dyDescent="0.25">
      <c r="A360" t="s">
        <v>1703</v>
      </c>
      <c r="B360" t="s">
        <v>38</v>
      </c>
      <c r="C360" t="s">
        <v>1704</v>
      </c>
      <c r="D360">
        <f t="shared" si="11"/>
        <v>-800665549</v>
      </c>
      <c r="E360" t="s">
        <v>1705</v>
      </c>
      <c r="F360" t="s">
        <v>1559</v>
      </c>
      <c r="G360" t="s">
        <v>1560</v>
      </c>
      <c r="H360">
        <v>6.6122958852524798</v>
      </c>
      <c r="I360">
        <v>46.559358264854602</v>
      </c>
      <c r="J360">
        <v>100</v>
      </c>
      <c r="K360" t="s">
        <v>1706</v>
      </c>
      <c r="L360" t="s">
        <v>1706</v>
      </c>
      <c r="M360" t="s">
        <v>1706</v>
      </c>
      <c r="N360" t="s">
        <v>1706</v>
      </c>
      <c r="O360" t="s">
        <v>1707</v>
      </c>
      <c r="P360" t="s">
        <v>1646</v>
      </c>
      <c r="R360" t="s">
        <v>1708</v>
      </c>
      <c r="T360" t="s">
        <v>1596</v>
      </c>
      <c r="U360" t="s">
        <v>1709</v>
      </c>
    </row>
    <row r="361" spans="1:21" x14ac:dyDescent="0.25">
      <c r="A361" t="s">
        <v>1710</v>
      </c>
      <c r="B361" t="s">
        <v>38</v>
      </c>
      <c r="C361" t="s">
        <v>1711</v>
      </c>
      <c r="D361">
        <f t="shared" si="11"/>
        <v>-800665549</v>
      </c>
      <c r="E361" t="s">
        <v>1712</v>
      </c>
      <c r="F361" t="s">
        <v>1559</v>
      </c>
      <c r="G361" t="s">
        <v>1560</v>
      </c>
      <c r="H361">
        <v>8.6722099999999998</v>
      </c>
      <c r="I361">
        <v>47.381529999999998</v>
      </c>
      <c r="J361">
        <v>100</v>
      </c>
      <c r="K361" t="s">
        <v>165</v>
      </c>
      <c r="L361" t="s">
        <v>165</v>
      </c>
      <c r="M361" t="s">
        <v>165</v>
      </c>
      <c r="N361" t="s">
        <v>165</v>
      </c>
      <c r="O361" t="s">
        <v>165</v>
      </c>
      <c r="P361" t="s">
        <v>166</v>
      </c>
      <c r="R361" t="s">
        <v>1713</v>
      </c>
      <c r="T361" t="s">
        <v>1562</v>
      </c>
      <c r="U361" t="s">
        <v>1714</v>
      </c>
    </row>
    <row r="362" spans="1:21" x14ac:dyDescent="0.25">
      <c r="A362" t="s">
        <v>1715</v>
      </c>
      <c r="B362" t="s">
        <v>22</v>
      </c>
      <c r="C362" t="s">
        <v>1716</v>
      </c>
      <c r="D362">
        <f t="shared" si="11"/>
        <v>-800665549</v>
      </c>
      <c r="E362" t="s">
        <v>1717</v>
      </c>
      <c r="F362" t="s">
        <v>1559</v>
      </c>
      <c r="G362" t="s">
        <v>1560</v>
      </c>
      <c r="H362">
        <v>8.8191634291342798</v>
      </c>
      <c r="I362">
        <v>47.306659806315203</v>
      </c>
      <c r="J362">
        <v>100</v>
      </c>
      <c r="K362" t="s">
        <v>192</v>
      </c>
      <c r="L362" t="s">
        <v>192</v>
      </c>
      <c r="M362" t="s">
        <v>192</v>
      </c>
      <c r="N362" t="s">
        <v>192</v>
      </c>
      <c r="O362" t="s">
        <v>192</v>
      </c>
      <c r="P362" t="s">
        <v>192</v>
      </c>
      <c r="R362" t="s">
        <v>1718</v>
      </c>
      <c r="T362" t="s">
        <v>1562</v>
      </c>
      <c r="U362" t="s">
        <v>1719</v>
      </c>
    </row>
    <row r="363" spans="1:21" x14ac:dyDescent="0.25">
      <c r="A363" t="s">
        <v>1720</v>
      </c>
      <c r="B363" t="s">
        <v>38</v>
      </c>
      <c r="C363" t="s">
        <v>1721</v>
      </c>
      <c r="D363">
        <f t="shared" si="11"/>
        <v>-800665549</v>
      </c>
      <c r="E363" t="s">
        <v>1562</v>
      </c>
      <c r="F363" t="s">
        <v>1559</v>
      </c>
      <c r="G363" t="s">
        <v>1560</v>
      </c>
      <c r="H363">
        <v>8.6211433410153404</v>
      </c>
      <c r="I363">
        <v>47.415453541675198</v>
      </c>
      <c r="J363">
        <v>100</v>
      </c>
      <c r="K363" t="s">
        <v>45</v>
      </c>
      <c r="L363" t="s">
        <v>45</v>
      </c>
      <c r="M363" t="s">
        <v>45</v>
      </c>
      <c r="N363" t="s">
        <v>45</v>
      </c>
      <c r="O363" t="s">
        <v>45</v>
      </c>
      <c r="P363" t="s">
        <v>45</v>
      </c>
      <c r="R363" t="s">
        <v>1722</v>
      </c>
      <c r="T363" t="s">
        <v>1562</v>
      </c>
      <c r="U363" t="s">
        <v>1723</v>
      </c>
    </row>
    <row r="364" spans="1:21" x14ac:dyDescent="0.25">
      <c r="A364" t="s">
        <v>1724</v>
      </c>
      <c r="B364" t="s">
        <v>38</v>
      </c>
      <c r="C364" t="s">
        <v>1725</v>
      </c>
      <c r="D364">
        <f t="shared" ref="D364:D395" si="12">41-800665590</f>
        <v>-800665549</v>
      </c>
      <c r="E364" t="s">
        <v>1726</v>
      </c>
      <c r="F364" t="s">
        <v>1559</v>
      </c>
      <c r="G364" t="s">
        <v>1560</v>
      </c>
      <c r="H364">
        <v>8.5405011176408205</v>
      </c>
      <c r="I364">
        <v>47.5102528482794</v>
      </c>
      <c r="J364">
        <v>100</v>
      </c>
      <c r="K364" t="s">
        <v>192</v>
      </c>
      <c r="L364" t="s">
        <v>192</v>
      </c>
      <c r="M364" t="s">
        <v>192</v>
      </c>
      <c r="N364" t="s">
        <v>192</v>
      </c>
      <c r="O364" t="s">
        <v>192</v>
      </c>
      <c r="P364" t="s">
        <v>192</v>
      </c>
      <c r="R364" t="s">
        <v>1727</v>
      </c>
      <c r="T364" t="s">
        <v>1562</v>
      </c>
      <c r="U364" t="s">
        <v>1728</v>
      </c>
    </row>
    <row r="365" spans="1:21" x14ac:dyDescent="0.25">
      <c r="A365" t="s">
        <v>1729</v>
      </c>
      <c r="B365" t="s">
        <v>38</v>
      </c>
      <c r="C365" t="s">
        <v>1730</v>
      </c>
      <c r="D365">
        <f t="shared" si="12"/>
        <v>-800665549</v>
      </c>
      <c r="E365" t="s">
        <v>1731</v>
      </c>
      <c r="F365" t="s">
        <v>1559</v>
      </c>
      <c r="G365" t="s">
        <v>1560</v>
      </c>
      <c r="H365">
        <v>7.7895541123157299</v>
      </c>
      <c r="I365">
        <v>47.211980763359797</v>
      </c>
      <c r="J365">
        <v>100</v>
      </c>
      <c r="K365" t="s">
        <v>198</v>
      </c>
      <c r="L365" t="s">
        <v>198</v>
      </c>
      <c r="M365" t="s">
        <v>198</v>
      </c>
      <c r="N365" t="s">
        <v>198</v>
      </c>
      <c r="O365" t="s">
        <v>312</v>
      </c>
      <c r="P365" t="s">
        <v>326</v>
      </c>
      <c r="R365" t="s">
        <v>1730</v>
      </c>
      <c r="T365" t="s">
        <v>1612</v>
      </c>
      <c r="U365" t="s">
        <v>1732</v>
      </c>
    </row>
    <row r="366" spans="1:21" x14ac:dyDescent="0.25">
      <c r="A366" t="s">
        <v>1733</v>
      </c>
      <c r="B366" t="s">
        <v>22</v>
      </c>
      <c r="C366" t="s">
        <v>1734</v>
      </c>
      <c r="D366">
        <f t="shared" si="12"/>
        <v>-800665549</v>
      </c>
      <c r="E366" t="s">
        <v>1562</v>
      </c>
      <c r="F366" t="s">
        <v>1559</v>
      </c>
      <c r="G366" t="s">
        <v>1560</v>
      </c>
      <c r="H366">
        <v>8.5612540288360606</v>
      </c>
      <c r="I366">
        <v>47.450325741246203</v>
      </c>
      <c r="J366">
        <v>100</v>
      </c>
      <c r="K366" t="s">
        <v>1735</v>
      </c>
      <c r="L366" t="s">
        <v>1735</v>
      </c>
      <c r="M366" t="s">
        <v>1735</v>
      </c>
      <c r="N366" t="s">
        <v>1735</v>
      </c>
      <c r="O366" t="s">
        <v>1735</v>
      </c>
      <c r="P366" t="s">
        <v>1735</v>
      </c>
      <c r="Q366" t="s">
        <v>1735</v>
      </c>
      <c r="R366" t="s">
        <v>1736</v>
      </c>
      <c r="U366" t="s">
        <v>1737</v>
      </c>
    </row>
    <row r="367" spans="1:21" x14ac:dyDescent="0.25">
      <c r="A367" t="s">
        <v>1738</v>
      </c>
      <c r="B367" t="s">
        <v>22</v>
      </c>
      <c r="C367" t="s">
        <v>1739</v>
      </c>
      <c r="D367">
        <f t="shared" si="12"/>
        <v>-800665549</v>
      </c>
      <c r="E367" t="s">
        <v>1740</v>
      </c>
      <c r="F367" t="s">
        <v>1559</v>
      </c>
      <c r="G367" t="s">
        <v>1560</v>
      </c>
      <c r="H367">
        <v>8.7925219079345407</v>
      </c>
      <c r="I367">
        <v>47.201191775532699</v>
      </c>
      <c r="J367">
        <v>100</v>
      </c>
      <c r="K367" t="s">
        <v>1735</v>
      </c>
      <c r="L367" t="s">
        <v>1735</v>
      </c>
      <c r="M367" t="s">
        <v>1735</v>
      </c>
      <c r="N367" t="s">
        <v>1735</v>
      </c>
      <c r="O367" t="s">
        <v>1735</v>
      </c>
      <c r="P367" t="s">
        <v>1646</v>
      </c>
      <c r="R367" t="s">
        <v>1741</v>
      </c>
      <c r="T367" t="s">
        <v>1742</v>
      </c>
      <c r="U367" t="s">
        <v>1743</v>
      </c>
    </row>
    <row r="368" spans="1:21" x14ac:dyDescent="0.25">
      <c r="A368" t="s">
        <v>1744</v>
      </c>
      <c r="B368" t="s">
        <v>32</v>
      </c>
      <c r="C368" t="s">
        <v>1745</v>
      </c>
      <c r="D368">
        <f t="shared" si="12"/>
        <v>-800665549</v>
      </c>
      <c r="E368" t="s">
        <v>1566</v>
      </c>
      <c r="F368" t="s">
        <v>1559</v>
      </c>
      <c r="G368" t="s">
        <v>1560</v>
      </c>
      <c r="H368">
        <v>6.1480400171271903</v>
      </c>
      <c r="I368">
        <v>46.202735857919699</v>
      </c>
      <c r="J368">
        <v>100</v>
      </c>
      <c r="K368" t="s">
        <v>165</v>
      </c>
      <c r="L368" t="s">
        <v>165</v>
      </c>
      <c r="M368" t="s">
        <v>165</v>
      </c>
      <c r="N368" t="s">
        <v>312</v>
      </c>
      <c r="O368" t="s">
        <v>253</v>
      </c>
      <c r="P368" t="s">
        <v>166</v>
      </c>
      <c r="R368" t="s">
        <v>1746</v>
      </c>
      <c r="T368" t="s">
        <v>1566</v>
      </c>
      <c r="U368" t="s">
        <v>1747</v>
      </c>
    </row>
    <row r="369" spans="1:21" x14ac:dyDescent="0.25">
      <c r="A369" t="s">
        <v>1748</v>
      </c>
      <c r="B369" t="s">
        <v>22</v>
      </c>
      <c r="C369" t="s">
        <v>1749</v>
      </c>
      <c r="D369">
        <f t="shared" si="12"/>
        <v>-800665549</v>
      </c>
      <c r="E369" t="s">
        <v>1750</v>
      </c>
      <c r="F369" t="s">
        <v>1559</v>
      </c>
      <c r="G369" t="s">
        <v>1560</v>
      </c>
      <c r="H369">
        <v>7.5359368783772398</v>
      </c>
      <c r="I369">
        <v>47.206842862517398</v>
      </c>
      <c r="J369">
        <v>100</v>
      </c>
      <c r="K369" t="s">
        <v>198</v>
      </c>
      <c r="L369" t="s">
        <v>198</v>
      </c>
      <c r="M369" t="s">
        <v>198</v>
      </c>
      <c r="N369" t="s">
        <v>192</v>
      </c>
      <c r="O369" t="s">
        <v>198</v>
      </c>
      <c r="P369" t="s">
        <v>326</v>
      </c>
      <c r="R369" t="s">
        <v>1749</v>
      </c>
      <c r="T369" t="s">
        <v>1750</v>
      </c>
      <c r="U369" t="s">
        <v>1751</v>
      </c>
    </row>
    <row r="370" spans="1:21" x14ac:dyDescent="0.25">
      <c r="A370" t="s">
        <v>1752</v>
      </c>
      <c r="B370" t="s">
        <v>22</v>
      </c>
      <c r="C370" t="s">
        <v>1753</v>
      </c>
      <c r="D370">
        <f t="shared" si="12"/>
        <v>-800665549</v>
      </c>
      <c r="E370" t="s">
        <v>1754</v>
      </c>
      <c r="F370" t="s">
        <v>1559</v>
      </c>
      <c r="G370" t="s">
        <v>1560</v>
      </c>
      <c r="H370">
        <v>7.5894262018523504</v>
      </c>
      <c r="I370">
        <v>47.5566573891251</v>
      </c>
      <c r="J370">
        <v>100</v>
      </c>
      <c r="K370" t="s">
        <v>165</v>
      </c>
      <c r="L370" t="s">
        <v>165</v>
      </c>
      <c r="M370" t="s">
        <v>165</v>
      </c>
      <c r="N370" t="s">
        <v>192</v>
      </c>
      <c r="O370" t="s">
        <v>165</v>
      </c>
      <c r="P370" t="s">
        <v>166</v>
      </c>
      <c r="R370" t="s">
        <v>1753</v>
      </c>
      <c r="T370" t="s">
        <v>1755</v>
      </c>
      <c r="U370" t="s">
        <v>1756</v>
      </c>
    </row>
    <row r="371" spans="1:21" x14ac:dyDescent="0.25">
      <c r="A371" t="s">
        <v>1757</v>
      </c>
      <c r="B371" t="s">
        <v>38</v>
      </c>
      <c r="C371" t="s">
        <v>1758</v>
      </c>
      <c r="D371">
        <f t="shared" si="12"/>
        <v>-800665549</v>
      </c>
      <c r="E371" t="s">
        <v>1759</v>
      </c>
      <c r="F371" t="s">
        <v>1559</v>
      </c>
      <c r="G371" t="s">
        <v>1560</v>
      </c>
      <c r="H371">
        <v>6.2383621931076103</v>
      </c>
      <c r="I371">
        <v>46.382216952749097</v>
      </c>
      <c r="J371">
        <v>100</v>
      </c>
      <c r="K371" t="s">
        <v>728</v>
      </c>
      <c r="L371" t="s">
        <v>728</v>
      </c>
      <c r="M371" t="s">
        <v>728</v>
      </c>
      <c r="N371" t="s">
        <v>728</v>
      </c>
      <c r="O371" t="s">
        <v>728</v>
      </c>
      <c r="P371" t="s">
        <v>262</v>
      </c>
      <c r="R371" t="s">
        <v>1758</v>
      </c>
      <c r="T371" t="s">
        <v>1596</v>
      </c>
      <c r="U371" t="s">
        <v>1760</v>
      </c>
    </row>
    <row r="372" spans="1:21" x14ac:dyDescent="0.25">
      <c r="A372" t="s">
        <v>1761</v>
      </c>
      <c r="B372" t="s">
        <v>38</v>
      </c>
      <c r="C372" t="s">
        <v>1762</v>
      </c>
      <c r="D372">
        <f t="shared" si="12"/>
        <v>-800665549</v>
      </c>
      <c r="E372" t="s">
        <v>1566</v>
      </c>
      <c r="F372" t="s">
        <v>1559</v>
      </c>
      <c r="G372" t="s">
        <v>1560</v>
      </c>
      <c r="H372">
        <v>6.1601559000000004</v>
      </c>
      <c r="I372">
        <v>46.200778200000002</v>
      </c>
      <c r="J372">
        <v>100</v>
      </c>
      <c r="K372" t="s">
        <v>165</v>
      </c>
      <c r="L372" t="s">
        <v>165</v>
      </c>
      <c r="M372" t="s">
        <v>165</v>
      </c>
      <c r="N372" t="s">
        <v>192</v>
      </c>
      <c r="O372" t="s">
        <v>253</v>
      </c>
      <c r="P372" t="s">
        <v>166</v>
      </c>
      <c r="R372" t="s">
        <v>1763</v>
      </c>
      <c r="U372" t="s">
        <v>1764</v>
      </c>
    </row>
    <row r="373" spans="1:21" x14ac:dyDescent="0.25">
      <c r="A373" t="s">
        <v>1765</v>
      </c>
      <c r="B373" t="s">
        <v>38</v>
      </c>
      <c r="C373" t="s">
        <v>1766</v>
      </c>
      <c r="D373">
        <f t="shared" si="12"/>
        <v>-800665549</v>
      </c>
      <c r="E373" t="s">
        <v>1623</v>
      </c>
      <c r="F373" t="s">
        <v>1559</v>
      </c>
      <c r="G373" t="s">
        <v>1560</v>
      </c>
      <c r="H373">
        <v>6.9300578000000002</v>
      </c>
      <c r="I373">
        <v>46.990490999999999</v>
      </c>
      <c r="J373">
        <v>100</v>
      </c>
      <c r="K373" t="s">
        <v>165</v>
      </c>
      <c r="L373" t="s">
        <v>165</v>
      </c>
      <c r="M373" t="s">
        <v>165</v>
      </c>
      <c r="N373" t="s">
        <v>192</v>
      </c>
      <c r="O373" t="s">
        <v>165</v>
      </c>
      <c r="P373" t="s">
        <v>166</v>
      </c>
      <c r="R373" t="s">
        <v>1766</v>
      </c>
      <c r="T373" t="s">
        <v>1623</v>
      </c>
      <c r="U373" t="s">
        <v>1767</v>
      </c>
    </row>
    <row r="374" spans="1:21" x14ac:dyDescent="0.25">
      <c r="A374" t="s">
        <v>1768</v>
      </c>
      <c r="B374" t="s">
        <v>22</v>
      </c>
      <c r="C374" t="s">
        <v>1769</v>
      </c>
      <c r="D374">
        <f t="shared" si="12"/>
        <v>-800665549</v>
      </c>
      <c r="E374" t="s">
        <v>1612</v>
      </c>
      <c r="F374" t="s">
        <v>1559</v>
      </c>
      <c r="G374" t="s">
        <v>1560</v>
      </c>
      <c r="H374">
        <v>7.44686</v>
      </c>
      <c r="I374">
        <v>46.94802</v>
      </c>
      <c r="J374">
        <v>100</v>
      </c>
      <c r="K374" t="s">
        <v>165</v>
      </c>
      <c r="L374" t="s">
        <v>165</v>
      </c>
      <c r="M374" t="s">
        <v>165</v>
      </c>
      <c r="N374" t="s">
        <v>192</v>
      </c>
      <c r="O374" t="s">
        <v>165</v>
      </c>
      <c r="P374" t="s">
        <v>326</v>
      </c>
      <c r="R374" t="s">
        <v>1769</v>
      </c>
      <c r="T374" t="s">
        <v>1612</v>
      </c>
      <c r="U374" t="s">
        <v>1770</v>
      </c>
    </row>
    <row r="375" spans="1:21" x14ac:dyDescent="0.25">
      <c r="A375" t="s">
        <v>1771</v>
      </c>
      <c r="B375" t="s">
        <v>22</v>
      </c>
      <c r="C375" t="s">
        <v>1772</v>
      </c>
      <c r="D375">
        <f t="shared" si="12"/>
        <v>-800665549</v>
      </c>
      <c r="E375" t="s">
        <v>1562</v>
      </c>
      <c r="F375" t="s">
        <v>1559</v>
      </c>
      <c r="G375" t="s">
        <v>1560</v>
      </c>
      <c r="H375">
        <v>8.5431799999999996</v>
      </c>
      <c r="I375">
        <v>47.371169999999999</v>
      </c>
      <c r="J375">
        <v>100</v>
      </c>
      <c r="K375" t="s">
        <v>717</v>
      </c>
      <c r="L375" t="s">
        <v>717</v>
      </c>
      <c r="M375" t="s">
        <v>717</v>
      </c>
      <c r="N375" t="s">
        <v>717</v>
      </c>
      <c r="O375" t="s">
        <v>717</v>
      </c>
      <c r="P375" t="s">
        <v>428</v>
      </c>
      <c r="R375" t="s">
        <v>1772</v>
      </c>
      <c r="T375" t="s">
        <v>1562</v>
      </c>
      <c r="U375" t="s">
        <v>1773</v>
      </c>
    </row>
    <row r="376" spans="1:21" x14ac:dyDescent="0.25">
      <c r="A376" t="s">
        <v>1774</v>
      </c>
      <c r="B376" t="s">
        <v>22</v>
      </c>
      <c r="C376" t="s">
        <v>1775</v>
      </c>
      <c r="D376">
        <f t="shared" si="12"/>
        <v>-800665549</v>
      </c>
      <c r="E376" t="s">
        <v>1776</v>
      </c>
      <c r="F376" t="s">
        <v>1559</v>
      </c>
      <c r="G376" t="s">
        <v>1560</v>
      </c>
      <c r="H376">
        <v>8.3702473733512797</v>
      </c>
      <c r="I376">
        <v>47.4227061456114</v>
      </c>
      <c r="J376">
        <v>100</v>
      </c>
      <c r="K376" t="s">
        <v>192</v>
      </c>
      <c r="L376" t="s">
        <v>192</v>
      </c>
      <c r="M376" t="s">
        <v>192</v>
      </c>
      <c r="N376" t="s">
        <v>192</v>
      </c>
      <c r="O376" t="s">
        <v>192</v>
      </c>
      <c r="P376" t="s">
        <v>192</v>
      </c>
      <c r="R376" t="s">
        <v>1777</v>
      </c>
      <c r="U376" t="s">
        <v>1778</v>
      </c>
    </row>
    <row r="377" spans="1:21" x14ac:dyDescent="0.25">
      <c r="A377" t="s">
        <v>1779</v>
      </c>
      <c r="B377" t="s">
        <v>22</v>
      </c>
      <c r="C377" t="s">
        <v>1780</v>
      </c>
      <c r="D377">
        <f t="shared" si="12"/>
        <v>-800665549</v>
      </c>
      <c r="E377" t="s">
        <v>1562</v>
      </c>
      <c r="F377" t="s">
        <v>1559</v>
      </c>
      <c r="G377" t="s">
        <v>1560</v>
      </c>
      <c r="H377">
        <v>8.5383880276300506</v>
      </c>
      <c r="I377">
        <v>47.3743816560536</v>
      </c>
      <c r="J377">
        <v>100</v>
      </c>
      <c r="K377" t="s">
        <v>192</v>
      </c>
      <c r="L377" t="s">
        <v>192</v>
      </c>
      <c r="M377" t="s">
        <v>192</v>
      </c>
      <c r="N377" t="s">
        <v>192</v>
      </c>
      <c r="O377" t="s">
        <v>192</v>
      </c>
      <c r="P377" t="s">
        <v>1645</v>
      </c>
      <c r="R377" t="s">
        <v>1780</v>
      </c>
      <c r="T377" t="s">
        <v>1562</v>
      </c>
      <c r="U377" t="s">
        <v>1781</v>
      </c>
    </row>
    <row r="378" spans="1:21" x14ac:dyDescent="0.25">
      <c r="A378" t="s">
        <v>1782</v>
      </c>
      <c r="B378" t="s">
        <v>38</v>
      </c>
      <c r="C378" t="s">
        <v>1783</v>
      </c>
      <c r="D378">
        <f t="shared" si="12"/>
        <v>-800665549</v>
      </c>
      <c r="E378" t="s">
        <v>1784</v>
      </c>
      <c r="F378" t="s">
        <v>1559</v>
      </c>
      <c r="G378" t="s">
        <v>1560</v>
      </c>
      <c r="H378">
        <v>7.5322318257602801</v>
      </c>
      <c r="I378">
        <v>46.292961220207197</v>
      </c>
      <c r="J378">
        <v>100</v>
      </c>
      <c r="K378" t="s">
        <v>728</v>
      </c>
      <c r="L378" t="s">
        <v>728</v>
      </c>
      <c r="M378" t="s">
        <v>728</v>
      </c>
      <c r="N378" t="s">
        <v>728</v>
      </c>
      <c r="O378" t="s">
        <v>728</v>
      </c>
      <c r="P378" t="s">
        <v>326</v>
      </c>
      <c r="R378" t="s">
        <v>1783</v>
      </c>
      <c r="T378" t="s">
        <v>1674</v>
      </c>
      <c r="U378" t="s">
        <v>1785</v>
      </c>
    </row>
    <row r="379" spans="1:21" x14ac:dyDescent="0.25">
      <c r="A379" t="s">
        <v>1786</v>
      </c>
      <c r="B379" t="s">
        <v>38</v>
      </c>
      <c r="C379" t="s">
        <v>1787</v>
      </c>
      <c r="D379">
        <f t="shared" si="12"/>
        <v>-800665549</v>
      </c>
      <c r="E379" t="s">
        <v>1788</v>
      </c>
      <c r="F379" t="s">
        <v>1559</v>
      </c>
      <c r="G379" t="s">
        <v>1560</v>
      </c>
      <c r="H379">
        <v>8.3001188448347403</v>
      </c>
      <c r="I379">
        <v>47.017299065958603</v>
      </c>
      <c r="J379">
        <v>100</v>
      </c>
      <c r="K379" t="s">
        <v>165</v>
      </c>
      <c r="L379" t="s">
        <v>165</v>
      </c>
      <c r="M379" t="s">
        <v>165</v>
      </c>
      <c r="N379" t="s">
        <v>165</v>
      </c>
      <c r="O379" t="s">
        <v>312</v>
      </c>
      <c r="P379" t="s">
        <v>1582</v>
      </c>
      <c r="R379" t="s">
        <v>1789</v>
      </c>
      <c r="U379" t="s">
        <v>1790</v>
      </c>
    </row>
    <row r="380" spans="1:21" x14ac:dyDescent="0.25">
      <c r="A380" t="s">
        <v>1791</v>
      </c>
      <c r="B380" t="s">
        <v>22</v>
      </c>
      <c r="C380" t="s">
        <v>1792</v>
      </c>
      <c r="D380">
        <f t="shared" si="12"/>
        <v>-800665549</v>
      </c>
      <c r="E380" t="s">
        <v>1754</v>
      </c>
      <c r="F380" t="s">
        <v>1559</v>
      </c>
      <c r="G380" t="s">
        <v>1560</v>
      </c>
      <c r="H380">
        <v>7.5929519000000001</v>
      </c>
      <c r="I380">
        <v>47.561322500000003</v>
      </c>
      <c r="J380">
        <v>100</v>
      </c>
      <c r="K380" t="s">
        <v>165</v>
      </c>
      <c r="L380" t="s">
        <v>165</v>
      </c>
      <c r="M380" t="s">
        <v>165</v>
      </c>
      <c r="N380" t="s">
        <v>165</v>
      </c>
      <c r="O380" t="s">
        <v>165</v>
      </c>
      <c r="P380" t="s">
        <v>166</v>
      </c>
      <c r="R380" t="s">
        <v>1793</v>
      </c>
      <c r="T380" t="s">
        <v>1755</v>
      </c>
      <c r="U380" t="s">
        <v>1794</v>
      </c>
    </row>
    <row r="381" spans="1:21" x14ac:dyDescent="0.25">
      <c r="A381" t="s">
        <v>1795</v>
      </c>
      <c r="B381" t="s">
        <v>22</v>
      </c>
      <c r="C381" t="s">
        <v>1796</v>
      </c>
      <c r="D381">
        <f t="shared" si="12"/>
        <v>-800665549</v>
      </c>
      <c r="E381" t="s">
        <v>1797</v>
      </c>
      <c r="F381" t="s">
        <v>1559</v>
      </c>
      <c r="G381" t="s">
        <v>1560</v>
      </c>
      <c r="H381">
        <v>7.4936626010612599</v>
      </c>
      <c r="I381">
        <v>47.0169241556599</v>
      </c>
      <c r="J381">
        <v>100</v>
      </c>
      <c r="K381" t="s">
        <v>165</v>
      </c>
      <c r="L381" t="s">
        <v>165</v>
      </c>
      <c r="M381" t="s">
        <v>165</v>
      </c>
      <c r="N381" t="s">
        <v>165</v>
      </c>
      <c r="O381" t="s">
        <v>312</v>
      </c>
      <c r="P381" t="s">
        <v>1582</v>
      </c>
      <c r="R381" t="s">
        <v>1798</v>
      </c>
      <c r="T381" t="s">
        <v>1612</v>
      </c>
      <c r="U381" t="s">
        <v>1799</v>
      </c>
    </row>
    <row r="382" spans="1:21" x14ac:dyDescent="0.25">
      <c r="A382" t="s">
        <v>1800</v>
      </c>
      <c r="B382" t="s">
        <v>22</v>
      </c>
      <c r="C382" t="s">
        <v>1801</v>
      </c>
      <c r="D382">
        <f t="shared" si="12"/>
        <v>-800665549</v>
      </c>
      <c r="E382" t="s">
        <v>1705</v>
      </c>
      <c r="F382" t="s">
        <v>1559</v>
      </c>
      <c r="G382" t="s">
        <v>1560</v>
      </c>
      <c r="H382">
        <v>6.6269830000000001</v>
      </c>
      <c r="I382">
        <v>46.522755500000002</v>
      </c>
      <c r="J382">
        <v>100</v>
      </c>
      <c r="K382" t="s">
        <v>165</v>
      </c>
      <c r="L382" t="s">
        <v>1706</v>
      </c>
      <c r="M382" t="s">
        <v>1706</v>
      </c>
      <c r="N382" t="s">
        <v>1706</v>
      </c>
      <c r="O382" t="s">
        <v>1706</v>
      </c>
      <c r="P382" t="s">
        <v>1646</v>
      </c>
      <c r="R382" t="s">
        <v>1802</v>
      </c>
      <c r="T382" t="s">
        <v>1596</v>
      </c>
      <c r="U382" t="s">
        <v>1803</v>
      </c>
    </row>
    <row r="383" spans="1:21" x14ac:dyDescent="0.25">
      <c r="A383" t="s">
        <v>1804</v>
      </c>
      <c r="B383" t="s">
        <v>32</v>
      </c>
      <c r="C383" t="s">
        <v>1805</v>
      </c>
      <c r="D383">
        <f t="shared" si="12"/>
        <v>-800665549</v>
      </c>
      <c r="E383" t="s">
        <v>1562</v>
      </c>
      <c r="F383" t="s">
        <v>1559</v>
      </c>
      <c r="G383" t="s">
        <v>1560</v>
      </c>
      <c r="H383">
        <v>8.5395208999999994</v>
      </c>
      <c r="I383">
        <v>47.375835700000003</v>
      </c>
      <c r="J383">
        <v>100</v>
      </c>
      <c r="K383" t="s">
        <v>192</v>
      </c>
      <c r="L383" t="s">
        <v>192</v>
      </c>
      <c r="M383" t="s">
        <v>192</v>
      </c>
      <c r="N383" t="s">
        <v>192</v>
      </c>
      <c r="O383" t="s">
        <v>192</v>
      </c>
      <c r="P383" t="s">
        <v>1645</v>
      </c>
      <c r="R383" t="s">
        <v>1805</v>
      </c>
      <c r="T383" t="s">
        <v>1562</v>
      </c>
      <c r="U383" t="s">
        <v>1806</v>
      </c>
    </row>
    <row r="384" spans="1:21" x14ac:dyDescent="0.25">
      <c r="A384" t="s">
        <v>1807</v>
      </c>
      <c r="B384" t="s">
        <v>22</v>
      </c>
      <c r="C384" t="s">
        <v>1808</v>
      </c>
      <c r="D384">
        <f t="shared" si="12"/>
        <v>-800665549</v>
      </c>
      <c r="E384" t="s">
        <v>1566</v>
      </c>
      <c r="F384" t="s">
        <v>1559</v>
      </c>
      <c r="G384" t="s">
        <v>1560</v>
      </c>
      <c r="H384">
        <v>6.113016</v>
      </c>
      <c r="I384">
        <v>46.218965599999997</v>
      </c>
      <c r="J384">
        <v>100</v>
      </c>
      <c r="K384" t="s">
        <v>165</v>
      </c>
      <c r="L384" t="s">
        <v>165</v>
      </c>
      <c r="M384" t="s">
        <v>165</v>
      </c>
      <c r="N384" t="s">
        <v>312</v>
      </c>
      <c r="O384" t="s">
        <v>253</v>
      </c>
      <c r="P384" t="s">
        <v>166</v>
      </c>
      <c r="R384" t="s">
        <v>1809</v>
      </c>
      <c r="U384" t="s">
        <v>1810</v>
      </c>
    </row>
    <row r="385" spans="1:21" x14ac:dyDescent="0.25">
      <c r="A385" t="s">
        <v>1811</v>
      </c>
      <c r="B385" t="s">
        <v>22</v>
      </c>
      <c r="C385" t="s">
        <v>1812</v>
      </c>
      <c r="D385">
        <f t="shared" si="12"/>
        <v>-800665549</v>
      </c>
      <c r="E385" t="s">
        <v>1566</v>
      </c>
      <c r="F385" t="s">
        <v>1559</v>
      </c>
      <c r="G385" t="s">
        <v>1560</v>
      </c>
      <c r="H385">
        <v>6.1435271</v>
      </c>
      <c r="I385">
        <v>46.209702299999996</v>
      </c>
      <c r="J385">
        <v>100</v>
      </c>
      <c r="K385" t="s">
        <v>165</v>
      </c>
      <c r="L385" t="s">
        <v>165</v>
      </c>
      <c r="M385" t="s">
        <v>165</v>
      </c>
      <c r="N385" t="s">
        <v>312</v>
      </c>
      <c r="O385" t="s">
        <v>253</v>
      </c>
      <c r="P385" t="s">
        <v>166</v>
      </c>
      <c r="R385" t="s">
        <v>1812</v>
      </c>
      <c r="T385" t="s">
        <v>1566</v>
      </c>
      <c r="U385" t="s">
        <v>1813</v>
      </c>
    </row>
    <row r="386" spans="1:21" x14ac:dyDescent="0.25">
      <c r="A386" t="s">
        <v>1814</v>
      </c>
      <c r="B386" t="s">
        <v>22</v>
      </c>
      <c r="C386" t="s">
        <v>1815</v>
      </c>
      <c r="D386">
        <f t="shared" si="12"/>
        <v>-800665549</v>
      </c>
      <c r="E386" t="s">
        <v>1816</v>
      </c>
      <c r="F386" t="s">
        <v>1559</v>
      </c>
      <c r="G386" t="s">
        <v>1560</v>
      </c>
      <c r="H386">
        <v>8.5169899087227403</v>
      </c>
      <c r="I386">
        <v>47.172878033777899</v>
      </c>
      <c r="J386">
        <v>100</v>
      </c>
      <c r="K386" t="s">
        <v>165</v>
      </c>
      <c r="L386" t="s">
        <v>165</v>
      </c>
      <c r="M386" t="s">
        <v>165</v>
      </c>
      <c r="N386" t="s">
        <v>192</v>
      </c>
      <c r="O386" t="s">
        <v>165</v>
      </c>
      <c r="P386" t="s">
        <v>326</v>
      </c>
      <c r="R386" t="s">
        <v>1817</v>
      </c>
      <c r="T386" t="s">
        <v>1816</v>
      </c>
      <c r="U386" t="s">
        <v>1818</v>
      </c>
    </row>
    <row r="387" spans="1:21" x14ac:dyDescent="0.25">
      <c r="A387" t="s">
        <v>1819</v>
      </c>
      <c r="B387" t="s">
        <v>38</v>
      </c>
      <c r="C387" t="s">
        <v>1820</v>
      </c>
      <c r="D387">
        <f t="shared" si="12"/>
        <v>-800665549</v>
      </c>
      <c r="E387" t="s">
        <v>1821</v>
      </c>
      <c r="F387" t="s">
        <v>1559</v>
      </c>
      <c r="G387" t="s">
        <v>1560</v>
      </c>
      <c r="H387">
        <v>9.0265799999999992</v>
      </c>
      <c r="I387">
        <v>45.835369999999998</v>
      </c>
      <c r="J387">
        <v>100</v>
      </c>
      <c r="K387" t="s">
        <v>165</v>
      </c>
      <c r="L387" t="s">
        <v>165</v>
      </c>
      <c r="M387" t="s">
        <v>165</v>
      </c>
      <c r="N387" t="s">
        <v>312</v>
      </c>
      <c r="O387" t="s">
        <v>165</v>
      </c>
      <c r="P387" t="s">
        <v>198</v>
      </c>
      <c r="R387" t="s">
        <v>1822</v>
      </c>
      <c r="T387" t="s">
        <v>1823</v>
      </c>
      <c r="U387" t="s">
        <v>1824</v>
      </c>
    </row>
    <row r="388" spans="1:21" x14ac:dyDescent="0.25">
      <c r="A388" t="s">
        <v>1825</v>
      </c>
      <c r="B388" t="s">
        <v>22</v>
      </c>
      <c r="C388" t="s">
        <v>1826</v>
      </c>
      <c r="D388">
        <f t="shared" si="12"/>
        <v>-800665549</v>
      </c>
      <c r="E388" t="s">
        <v>1705</v>
      </c>
      <c r="F388" t="s">
        <v>1559</v>
      </c>
      <c r="G388" t="s">
        <v>1560</v>
      </c>
      <c r="H388">
        <v>6.63317644232791</v>
      </c>
      <c r="I388">
        <v>46.521231698717699</v>
      </c>
      <c r="J388">
        <v>100</v>
      </c>
      <c r="K388" t="s">
        <v>165</v>
      </c>
      <c r="L388" t="s">
        <v>165</v>
      </c>
      <c r="M388" t="s">
        <v>165</v>
      </c>
      <c r="N388" t="s">
        <v>165</v>
      </c>
      <c r="O388" t="s">
        <v>165</v>
      </c>
      <c r="P388" t="s">
        <v>166</v>
      </c>
      <c r="R388" t="s">
        <v>1826</v>
      </c>
      <c r="T388" t="s">
        <v>1596</v>
      </c>
      <c r="U388" t="s">
        <v>1827</v>
      </c>
    </row>
    <row r="389" spans="1:21" x14ac:dyDescent="0.25">
      <c r="A389" t="s">
        <v>1828</v>
      </c>
      <c r="B389" t="s">
        <v>38</v>
      </c>
      <c r="C389" t="s">
        <v>1829</v>
      </c>
      <c r="D389">
        <f t="shared" si="12"/>
        <v>-800665549</v>
      </c>
      <c r="E389" t="s">
        <v>1830</v>
      </c>
      <c r="F389" t="s">
        <v>1559</v>
      </c>
      <c r="G389" t="s">
        <v>1560</v>
      </c>
      <c r="H389">
        <v>6.9371514000000003</v>
      </c>
      <c r="I389">
        <v>46.277573699999998</v>
      </c>
      <c r="J389">
        <v>100</v>
      </c>
      <c r="K389" t="s">
        <v>198</v>
      </c>
      <c r="L389" t="s">
        <v>198</v>
      </c>
      <c r="M389" t="s">
        <v>198</v>
      </c>
      <c r="N389" t="s">
        <v>198</v>
      </c>
      <c r="O389" t="s">
        <v>312</v>
      </c>
      <c r="P389" t="s">
        <v>1582</v>
      </c>
      <c r="R389" t="s">
        <v>1831</v>
      </c>
      <c r="T389" t="s">
        <v>1674</v>
      </c>
      <c r="U389" t="s">
        <v>1832</v>
      </c>
    </row>
    <row r="390" spans="1:21" x14ac:dyDescent="0.25">
      <c r="A390" t="s">
        <v>1833</v>
      </c>
      <c r="B390" t="s">
        <v>22</v>
      </c>
      <c r="C390" t="s">
        <v>1834</v>
      </c>
      <c r="D390">
        <f t="shared" si="12"/>
        <v>-800665549</v>
      </c>
      <c r="E390" t="s">
        <v>1612</v>
      </c>
      <c r="F390" t="s">
        <v>1559</v>
      </c>
      <c r="G390" t="s">
        <v>1560</v>
      </c>
      <c r="H390">
        <v>7.4414139846303398</v>
      </c>
      <c r="I390">
        <v>46.9480212798412</v>
      </c>
      <c r="J390">
        <v>100</v>
      </c>
      <c r="K390" t="s">
        <v>165</v>
      </c>
      <c r="L390" t="s">
        <v>165</v>
      </c>
      <c r="M390" t="s">
        <v>165</v>
      </c>
      <c r="N390" t="s">
        <v>192</v>
      </c>
      <c r="O390" t="s">
        <v>165</v>
      </c>
      <c r="P390" t="s">
        <v>326</v>
      </c>
      <c r="R390" t="s">
        <v>1834</v>
      </c>
      <c r="U390" t="s">
        <v>1835</v>
      </c>
    </row>
    <row r="391" spans="1:21" x14ac:dyDescent="0.25">
      <c r="A391" t="s">
        <v>1836</v>
      </c>
      <c r="B391" t="s">
        <v>38</v>
      </c>
      <c r="C391" t="s">
        <v>1837</v>
      </c>
      <c r="D391">
        <f t="shared" si="12"/>
        <v>-800665549</v>
      </c>
      <c r="E391" t="s">
        <v>1838</v>
      </c>
      <c r="F391" t="s">
        <v>1559</v>
      </c>
      <c r="G391" t="s">
        <v>1560</v>
      </c>
      <c r="H391">
        <v>6.6366165876388603</v>
      </c>
      <c r="I391">
        <v>46.780490446201</v>
      </c>
      <c r="J391">
        <v>100</v>
      </c>
      <c r="K391" t="s">
        <v>198</v>
      </c>
      <c r="L391" t="s">
        <v>198</v>
      </c>
      <c r="M391" t="s">
        <v>198</v>
      </c>
      <c r="N391" t="s">
        <v>198</v>
      </c>
      <c r="O391" t="s">
        <v>198</v>
      </c>
      <c r="P391" t="s">
        <v>166</v>
      </c>
      <c r="R391" t="s">
        <v>1839</v>
      </c>
      <c r="T391" t="s">
        <v>1596</v>
      </c>
      <c r="U391" t="s">
        <v>1840</v>
      </c>
    </row>
    <row r="392" spans="1:21" x14ac:dyDescent="0.25">
      <c r="A392" t="s">
        <v>1841</v>
      </c>
      <c r="B392" t="s">
        <v>22</v>
      </c>
      <c r="C392" t="s">
        <v>1842</v>
      </c>
      <c r="D392">
        <f t="shared" si="12"/>
        <v>-800665549</v>
      </c>
      <c r="E392" t="s">
        <v>1584</v>
      </c>
      <c r="F392" t="s">
        <v>1559</v>
      </c>
      <c r="G392" t="s">
        <v>1560</v>
      </c>
      <c r="H392">
        <v>8.3059259999999995</v>
      </c>
      <c r="I392">
        <v>47.053027</v>
      </c>
      <c r="J392">
        <v>100</v>
      </c>
      <c r="K392" t="s">
        <v>165</v>
      </c>
      <c r="L392" t="s">
        <v>165</v>
      </c>
      <c r="M392" t="s">
        <v>165</v>
      </c>
      <c r="N392" t="s">
        <v>165</v>
      </c>
      <c r="O392" t="s">
        <v>165</v>
      </c>
      <c r="P392" t="s">
        <v>326</v>
      </c>
      <c r="R392" t="s">
        <v>1842</v>
      </c>
      <c r="U392" t="s">
        <v>1843</v>
      </c>
    </row>
    <row r="393" spans="1:21" x14ac:dyDescent="0.25">
      <c r="A393" t="s">
        <v>1844</v>
      </c>
      <c r="B393" t="s">
        <v>22</v>
      </c>
      <c r="C393" t="s">
        <v>1845</v>
      </c>
      <c r="D393">
        <f t="shared" si="12"/>
        <v>-800665549</v>
      </c>
      <c r="E393" t="s">
        <v>1846</v>
      </c>
      <c r="F393" t="s">
        <v>1559</v>
      </c>
      <c r="G393" t="s">
        <v>1560</v>
      </c>
      <c r="H393">
        <v>8.5954713821411097</v>
      </c>
      <c r="I393">
        <v>47.408254072111497</v>
      </c>
      <c r="J393">
        <v>100</v>
      </c>
      <c r="K393" t="s">
        <v>192</v>
      </c>
      <c r="L393" t="s">
        <v>192</v>
      </c>
      <c r="M393" t="s">
        <v>192</v>
      </c>
      <c r="N393" t="s">
        <v>192</v>
      </c>
      <c r="O393" t="s">
        <v>192</v>
      </c>
      <c r="P393" t="s">
        <v>192</v>
      </c>
      <c r="R393" t="s">
        <v>1561</v>
      </c>
      <c r="T393" t="s">
        <v>1562</v>
      </c>
      <c r="U393" t="s">
        <v>1563</v>
      </c>
    </row>
    <row r="394" spans="1:21" x14ac:dyDescent="0.25">
      <c r="A394" t="s">
        <v>1847</v>
      </c>
      <c r="B394" t="s">
        <v>22</v>
      </c>
      <c r="C394" t="s">
        <v>1848</v>
      </c>
      <c r="D394">
        <f t="shared" si="12"/>
        <v>-800665549</v>
      </c>
      <c r="E394" t="s">
        <v>1849</v>
      </c>
      <c r="F394" t="s">
        <v>1559</v>
      </c>
      <c r="G394" t="s">
        <v>1560</v>
      </c>
      <c r="H394">
        <v>9.3761084570951407</v>
      </c>
      <c r="I394">
        <v>47.424590166313003</v>
      </c>
      <c r="J394">
        <v>100</v>
      </c>
      <c r="K394" t="s">
        <v>165</v>
      </c>
      <c r="L394" t="s">
        <v>165</v>
      </c>
      <c r="M394" t="s">
        <v>165</v>
      </c>
      <c r="N394" t="s">
        <v>192</v>
      </c>
      <c r="O394" t="s">
        <v>165</v>
      </c>
      <c r="P394" t="s">
        <v>166</v>
      </c>
      <c r="R394" t="s">
        <v>1848</v>
      </c>
      <c r="T394" t="s">
        <v>1640</v>
      </c>
      <c r="U394" t="s">
        <v>1850</v>
      </c>
    </row>
    <row r="395" spans="1:21" x14ac:dyDescent="0.25">
      <c r="A395" t="s">
        <v>1851</v>
      </c>
      <c r="B395" t="s">
        <v>22</v>
      </c>
      <c r="C395" t="s">
        <v>1852</v>
      </c>
      <c r="D395">
        <f t="shared" si="12"/>
        <v>-800665549</v>
      </c>
      <c r="E395" t="s">
        <v>1742</v>
      </c>
      <c r="F395" t="s">
        <v>1559</v>
      </c>
      <c r="G395" t="s">
        <v>1560</v>
      </c>
      <c r="H395">
        <v>8.6458555154137002</v>
      </c>
      <c r="I395">
        <v>47.0154148935693</v>
      </c>
      <c r="J395">
        <v>100</v>
      </c>
      <c r="K395" t="s">
        <v>192</v>
      </c>
      <c r="L395" t="s">
        <v>192</v>
      </c>
      <c r="M395" t="s">
        <v>192</v>
      </c>
      <c r="N395" t="s">
        <v>192</v>
      </c>
      <c r="O395" t="s">
        <v>312</v>
      </c>
      <c r="P395" t="s">
        <v>1646</v>
      </c>
      <c r="R395" t="s">
        <v>1853</v>
      </c>
      <c r="T395" t="s">
        <v>1742</v>
      </c>
      <c r="U395" t="s">
        <v>1854</v>
      </c>
    </row>
    <row r="396" spans="1:21" x14ac:dyDescent="0.25">
      <c r="A396" t="s">
        <v>1855</v>
      </c>
      <c r="B396" t="s">
        <v>22</v>
      </c>
      <c r="C396" t="s">
        <v>1856</v>
      </c>
      <c r="D396">
        <f t="shared" ref="D396:D416" si="13">41-800665590</f>
        <v>-800665549</v>
      </c>
      <c r="E396" t="s">
        <v>1857</v>
      </c>
      <c r="F396" t="s">
        <v>1559</v>
      </c>
      <c r="G396" t="s">
        <v>1560</v>
      </c>
      <c r="H396">
        <v>6.5692663192748997</v>
      </c>
      <c r="I396">
        <v>46.554433775832599</v>
      </c>
      <c r="J396">
        <v>100</v>
      </c>
      <c r="K396" t="s">
        <v>192</v>
      </c>
      <c r="L396" t="s">
        <v>192</v>
      </c>
      <c r="M396" t="s">
        <v>192</v>
      </c>
      <c r="N396" t="s">
        <v>192</v>
      </c>
      <c r="O396" t="s">
        <v>312</v>
      </c>
      <c r="P396" t="s">
        <v>1646</v>
      </c>
      <c r="R396" t="s">
        <v>1858</v>
      </c>
      <c r="T396" t="s">
        <v>1596</v>
      </c>
      <c r="U396" t="s">
        <v>1859</v>
      </c>
    </row>
    <row r="397" spans="1:21" x14ac:dyDescent="0.25">
      <c r="A397" t="s">
        <v>1860</v>
      </c>
      <c r="B397" t="s">
        <v>22</v>
      </c>
      <c r="C397" t="s">
        <v>1861</v>
      </c>
      <c r="D397">
        <f t="shared" si="13"/>
        <v>-800665549</v>
      </c>
      <c r="E397" t="s">
        <v>1862</v>
      </c>
      <c r="F397" t="s">
        <v>1559</v>
      </c>
      <c r="G397" t="s">
        <v>1560</v>
      </c>
      <c r="H397">
        <v>8.3080665000000007</v>
      </c>
      <c r="I397">
        <v>47.474969799999997</v>
      </c>
      <c r="J397">
        <v>100</v>
      </c>
      <c r="K397" t="s">
        <v>165</v>
      </c>
      <c r="L397" t="s">
        <v>165</v>
      </c>
      <c r="M397" t="s">
        <v>192</v>
      </c>
      <c r="N397" t="s">
        <v>165</v>
      </c>
      <c r="O397" t="s">
        <v>192</v>
      </c>
      <c r="P397" t="s">
        <v>166</v>
      </c>
      <c r="R397" t="s">
        <v>1861</v>
      </c>
      <c r="U397" t="s">
        <v>1863</v>
      </c>
    </row>
    <row r="398" spans="1:21" x14ac:dyDescent="0.25">
      <c r="A398" t="s">
        <v>1864</v>
      </c>
      <c r="B398" t="s">
        <v>22</v>
      </c>
      <c r="C398" t="s">
        <v>1865</v>
      </c>
      <c r="D398">
        <f t="shared" si="13"/>
        <v>-800665549</v>
      </c>
      <c r="E398" t="s">
        <v>1866</v>
      </c>
      <c r="F398" t="s">
        <v>1559</v>
      </c>
      <c r="G398" t="s">
        <v>1560</v>
      </c>
      <c r="H398">
        <v>7.0786329306412199</v>
      </c>
      <c r="I398">
        <v>46.787616619196399</v>
      </c>
      <c r="J398">
        <v>100</v>
      </c>
      <c r="K398" t="s">
        <v>165</v>
      </c>
      <c r="L398" t="s">
        <v>165</v>
      </c>
      <c r="M398" t="s">
        <v>165</v>
      </c>
      <c r="N398" t="s">
        <v>165</v>
      </c>
      <c r="O398" t="s">
        <v>312</v>
      </c>
      <c r="P398" t="s">
        <v>1867</v>
      </c>
      <c r="R398" t="s">
        <v>1868</v>
      </c>
      <c r="T398" t="s">
        <v>1869</v>
      </c>
      <c r="U398" t="s">
        <v>1870</v>
      </c>
    </row>
    <row r="399" spans="1:21" x14ac:dyDescent="0.25">
      <c r="A399" t="s">
        <v>1871</v>
      </c>
      <c r="B399" t="s">
        <v>22</v>
      </c>
      <c r="C399" t="s">
        <v>1872</v>
      </c>
      <c r="D399">
        <f t="shared" si="13"/>
        <v>-800665549</v>
      </c>
      <c r="E399" t="s">
        <v>1873</v>
      </c>
      <c r="F399" t="s">
        <v>1559</v>
      </c>
      <c r="G399" t="s">
        <v>1560</v>
      </c>
      <c r="H399">
        <v>8.2865667343139595</v>
      </c>
      <c r="I399">
        <v>47.074023853967297</v>
      </c>
      <c r="J399">
        <v>100</v>
      </c>
      <c r="K399" t="s">
        <v>165</v>
      </c>
      <c r="L399" t="s">
        <v>165</v>
      </c>
      <c r="M399" t="s">
        <v>165</v>
      </c>
      <c r="N399" t="s">
        <v>165</v>
      </c>
      <c r="O399" t="s">
        <v>312</v>
      </c>
      <c r="P399" t="s">
        <v>1582</v>
      </c>
      <c r="R399" t="s">
        <v>1874</v>
      </c>
      <c r="U399" t="s">
        <v>1875</v>
      </c>
    </row>
    <row r="400" spans="1:21" x14ac:dyDescent="0.25">
      <c r="A400" t="s">
        <v>1876</v>
      </c>
      <c r="B400" t="s">
        <v>22</v>
      </c>
      <c r="C400" t="s">
        <v>1877</v>
      </c>
      <c r="D400">
        <f t="shared" si="13"/>
        <v>-800665549</v>
      </c>
      <c r="E400" t="s">
        <v>1878</v>
      </c>
      <c r="F400" t="s">
        <v>1559</v>
      </c>
      <c r="G400" t="s">
        <v>1560</v>
      </c>
      <c r="H400">
        <v>8.9507600000000007</v>
      </c>
      <c r="I400">
        <v>46.00488</v>
      </c>
      <c r="J400">
        <v>100</v>
      </c>
      <c r="K400" t="s">
        <v>165</v>
      </c>
      <c r="L400" t="s">
        <v>165</v>
      </c>
      <c r="M400" t="s">
        <v>165</v>
      </c>
      <c r="N400" t="s">
        <v>312</v>
      </c>
      <c r="O400" t="s">
        <v>165</v>
      </c>
      <c r="P400" t="s">
        <v>165</v>
      </c>
      <c r="R400" t="s">
        <v>1877</v>
      </c>
      <c r="T400" t="s">
        <v>1823</v>
      </c>
      <c r="U400" t="s">
        <v>1879</v>
      </c>
    </row>
    <row r="401" spans="1:21" x14ac:dyDescent="0.25">
      <c r="A401" t="s">
        <v>1880</v>
      </c>
      <c r="B401" t="s">
        <v>22</v>
      </c>
      <c r="C401" t="s">
        <v>1881</v>
      </c>
      <c r="D401">
        <f t="shared" si="13"/>
        <v>-800665549</v>
      </c>
      <c r="E401" t="s">
        <v>1754</v>
      </c>
      <c r="F401" t="s">
        <v>1559</v>
      </c>
      <c r="G401" t="s">
        <v>1560</v>
      </c>
      <c r="H401">
        <v>7.6197223914016403</v>
      </c>
      <c r="I401">
        <v>47.540973575595999</v>
      </c>
      <c r="J401">
        <v>100</v>
      </c>
      <c r="K401" t="s">
        <v>165</v>
      </c>
      <c r="L401" t="s">
        <v>165</v>
      </c>
      <c r="M401" t="s">
        <v>165</v>
      </c>
      <c r="N401" t="s">
        <v>165</v>
      </c>
      <c r="O401" t="s">
        <v>165</v>
      </c>
      <c r="P401" t="s">
        <v>166</v>
      </c>
      <c r="R401" t="s">
        <v>1882</v>
      </c>
      <c r="T401" t="s">
        <v>1755</v>
      </c>
      <c r="U401" t="s">
        <v>1883</v>
      </c>
    </row>
    <row r="402" spans="1:21" x14ac:dyDescent="0.25">
      <c r="A402" t="s">
        <v>1884</v>
      </c>
      <c r="B402" t="s">
        <v>22</v>
      </c>
      <c r="C402" t="s">
        <v>1885</v>
      </c>
      <c r="D402">
        <f t="shared" si="13"/>
        <v>-800665549</v>
      </c>
      <c r="E402" t="s">
        <v>1878</v>
      </c>
      <c r="F402" t="s">
        <v>1559</v>
      </c>
      <c r="G402" t="s">
        <v>1560</v>
      </c>
      <c r="H402">
        <v>8.9270876348018593</v>
      </c>
      <c r="I402">
        <v>45.974850759041303</v>
      </c>
      <c r="J402">
        <v>100</v>
      </c>
      <c r="K402" t="s">
        <v>165</v>
      </c>
      <c r="L402" t="s">
        <v>165</v>
      </c>
      <c r="M402" t="s">
        <v>165</v>
      </c>
      <c r="N402" t="s">
        <v>312</v>
      </c>
      <c r="O402" t="s">
        <v>165</v>
      </c>
      <c r="P402" t="s">
        <v>198</v>
      </c>
      <c r="R402" t="s">
        <v>1886</v>
      </c>
      <c r="T402" t="s">
        <v>1823</v>
      </c>
      <c r="U402" t="s">
        <v>1887</v>
      </c>
    </row>
    <row r="403" spans="1:21" x14ac:dyDescent="0.25">
      <c r="A403" t="s">
        <v>1888</v>
      </c>
      <c r="B403" t="s">
        <v>22</v>
      </c>
      <c r="C403" t="s">
        <v>1889</v>
      </c>
      <c r="D403">
        <f t="shared" si="13"/>
        <v>-800665549</v>
      </c>
      <c r="E403" t="s">
        <v>1869</v>
      </c>
      <c r="F403" t="s">
        <v>1559</v>
      </c>
      <c r="G403" t="s">
        <v>1560</v>
      </c>
      <c r="H403">
        <v>7.1521876167663603</v>
      </c>
      <c r="I403">
        <v>46.802979934535799</v>
      </c>
      <c r="J403">
        <v>100</v>
      </c>
      <c r="K403" t="s">
        <v>165</v>
      </c>
      <c r="L403" t="s">
        <v>165</v>
      </c>
      <c r="M403" t="s">
        <v>165</v>
      </c>
      <c r="N403" t="s">
        <v>165</v>
      </c>
      <c r="O403" t="s">
        <v>192</v>
      </c>
      <c r="P403" t="s">
        <v>1890</v>
      </c>
      <c r="R403" t="s">
        <v>1891</v>
      </c>
      <c r="T403" t="s">
        <v>1869</v>
      </c>
      <c r="U403" t="s">
        <v>1892</v>
      </c>
    </row>
    <row r="404" spans="1:21" x14ac:dyDescent="0.25">
      <c r="A404" t="s">
        <v>1893</v>
      </c>
      <c r="B404" t="s">
        <v>22</v>
      </c>
      <c r="C404" t="s">
        <v>1894</v>
      </c>
      <c r="D404">
        <f t="shared" si="13"/>
        <v>-800665549</v>
      </c>
      <c r="E404" t="s">
        <v>1895</v>
      </c>
      <c r="F404" t="s">
        <v>1559</v>
      </c>
      <c r="G404" t="s">
        <v>1560</v>
      </c>
      <c r="H404">
        <v>6.1578427076028701</v>
      </c>
      <c r="I404">
        <v>46.3343541688171</v>
      </c>
      <c r="J404">
        <v>100</v>
      </c>
      <c r="K404" t="s">
        <v>165</v>
      </c>
      <c r="L404" t="s">
        <v>165</v>
      </c>
      <c r="M404" t="s">
        <v>165</v>
      </c>
      <c r="N404" t="s">
        <v>165</v>
      </c>
      <c r="O404" t="s">
        <v>312</v>
      </c>
      <c r="P404" t="s">
        <v>165</v>
      </c>
      <c r="R404" t="s">
        <v>1894</v>
      </c>
      <c r="U404" t="s">
        <v>1896</v>
      </c>
    </row>
    <row r="405" spans="1:21" x14ac:dyDescent="0.25">
      <c r="A405" t="s">
        <v>1897</v>
      </c>
      <c r="B405" t="s">
        <v>22</v>
      </c>
      <c r="C405" t="s">
        <v>1898</v>
      </c>
      <c r="D405">
        <f t="shared" si="13"/>
        <v>-800665549</v>
      </c>
      <c r="E405" t="s">
        <v>1667</v>
      </c>
      <c r="F405" t="s">
        <v>1559</v>
      </c>
      <c r="G405" t="s">
        <v>1560</v>
      </c>
      <c r="H405">
        <v>9.5316410999999999</v>
      </c>
      <c r="I405">
        <v>46.8524277</v>
      </c>
      <c r="J405">
        <v>100</v>
      </c>
      <c r="K405" t="s">
        <v>165</v>
      </c>
      <c r="L405" t="s">
        <v>165</v>
      </c>
      <c r="M405" t="s">
        <v>165</v>
      </c>
      <c r="N405" t="s">
        <v>165</v>
      </c>
      <c r="O405" t="s">
        <v>165</v>
      </c>
      <c r="P405" t="s">
        <v>166</v>
      </c>
      <c r="R405" t="s">
        <v>1898</v>
      </c>
      <c r="T405" t="s">
        <v>1573</v>
      </c>
      <c r="U405" t="s">
        <v>1899</v>
      </c>
    </row>
    <row r="406" spans="1:21" x14ac:dyDescent="0.25">
      <c r="A406" t="s">
        <v>1900</v>
      </c>
      <c r="B406" t="s">
        <v>22</v>
      </c>
      <c r="C406" t="s">
        <v>1901</v>
      </c>
      <c r="D406">
        <f t="shared" si="13"/>
        <v>-800665549</v>
      </c>
      <c r="E406" t="s">
        <v>1902</v>
      </c>
      <c r="F406" t="s">
        <v>1559</v>
      </c>
      <c r="G406" t="s">
        <v>1560</v>
      </c>
      <c r="H406">
        <v>8.8550662994384801</v>
      </c>
      <c r="I406">
        <v>46.174994165808201</v>
      </c>
      <c r="J406">
        <v>100</v>
      </c>
      <c r="K406" t="s">
        <v>165</v>
      </c>
      <c r="L406" t="s">
        <v>165</v>
      </c>
      <c r="M406" t="s">
        <v>165</v>
      </c>
      <c r="N406" t="s">
        <v>312</v>
      </c>
      <c r="O406" t="s">
        <v>165</v>
      </c>
      <c r="P406" t="s">
        <v>198</v>
      </c>
      <c r="R406" t="s">
        <v>1903</v>
      </c>
      <c r="T406" t="s">
        <v>1823</v>
      </c>
      <c r="U406" t="s">
        <v>1904</v>
      </c>
    </row>
    <row r="407" spans="1:21" x14ac:dyDescent="0.25">
      <c r="A407" t="s">
        <v>1905</v>
      </c>
      <c r="B407" t="s">
        <v>22</v>
      </c>
      <c r="C407" t="s">
        <v>1906</v>
      </c>
      <c r="D407">
        <f t="shared" si="13"/>
        <v>-800665549</v>
      </c>
      <c r="E407" t="s">
        <v>1907</v>
      </c>
      <c r="F407" t="s">
        <v>1559</v>
      </c>
      <c r="G407" t="s">
        <v>1560</v>
      </c>
      <c r="H407">
        <v>8.8196227576026995</v>
      </c>
      <c r="I407">
        <v>47.2269669870347</v>
      </c>
      <c r="J407">
        <v>100</v>
      </c>
      <c r="K407" t="s">
        <v>165</v>
      </c>
      <c r="L407" t="s">
        <v>165</v>
      </c>
      <c r="M407" t="s">
        <v>165</v>
      </c>
      <c r="N407" t="s">
        <v>165</v>
      </c>
      <c r="O407" t="s">
        <v>165</v>
      </c>
      <c r="P407" t="s">
        <v>166</v>
      </c>
      <c r="R407" t="s">
        <v>1908</v>
      </c>
      <c r="T407" t="s">
        <v>1640</v>
      </c>
      <c r="U407" t="s">
        <v>1909</v>
      </c>
    </row>
    <row r="408" spans="1:21" x14ac:dyDescent="0.25">
      <c r="A408" t="s">
        <v>1910</v>
      </c>
      <c r="B408" t="s">
        <v>22</v>
      </c>
      <c r="C408" t="s">
        <v>1911</v>
      </c>
      <c r="D408">
        <f t="shared" si="13"/>
        <v>-800665549</v>
      </c>
      <c r="E408" t="s">
        <v>1912</v>
      </c>
      <c r="F408" t="s">
        <v>1559</v>
      </c>
      <c r="G408" t="s">
        <v>1560</v>
      </c>
      <c r="H408">
        <v>7.9125492366317802</v>
      </c>
      <c r="I408">
        <v>47.312156641786203</v>
      </c>
      <c r="J408">
        <v>100</v>
      </c>
      <c r="K408" t="s">
        <v>192</v>
      </c>
      <c r="L408" t="s">
        <v>192</v>
      </c>
      <c r="M408" t="s">
        <v>192</v>
      </c>
      <c r="N408" t="s">
        <v>192</v>
      </c>
      <c r="O408" t="s">
        <v>192</v>
      </c>
      <c r="P408" t="s">
        <v>1646</v>
      </c>
      <c r="R408" t="s">
        <v>1913</v>
      </c>
      <c r="U408" t="s">
        <v>1914</v>
      </c>
    </row>
    <row r="409" spans="1:21" x14ac:dyDescent="0.25">
      <c r="A409" t="s">
        <v>1915</v>
      </c>
      <c r="B409" t="s">
        <v>38</v>
      </c>
      <c r="C409" t="s">
        <v>1916</v>
      </c>
      <c r="D409">
        <f t="shared" si="13"/>
        <v>-800665549</v>
      </c>
      <c r="E409" t="s">
        <v>1623</v>
      </c>
      <c r="F409" t="s">
        <v>1559</v>
      </c>
      <c r="G409" t="s">
        <v>1560</v>
      </c>
      <c r="H409">
        <v>6.9431126117706299</v>
      </c>
      <c r="I409">
        <v>46.995424049140198</v>
      </c>
      <c r="J409">
        <v>100</v>
      </c>
      <c r="K409" t="s">
        <v>1706</v>
      </c>
      <c r="L409" t="s">
        <v>1706</v>
      </c>
      <c r="M409" t="s">
        <v>1706</v>
      </c>
      <c r="N409" t="s">
        <v>1645</v>
      </c>
      <c r="O409" t="s">
        <v>1706</v>
      </c>
      <c r="P409" t="s">
        <v>248</v>
      </c>
      <c r="R409" t="s">
        <v>1917</v>
      </c>
      <c r="U409" t="s">
        <v>1918</v>
      </c>
    </row>
    <row r="410" spans="1:21" x14ac:dyDescent="0.25">
      <c r="A410" t="s">
        <v>1919</v>
      </c>
      <c r="B410" t="s">
        <v>22</v>
      </c>
      <c r="C410" t="s">
        <v>1920</v>
      </c>
      <c r="D410">
        <f t="shared" si="13"/>
        <v>-800665549</v>
      </c>
      <c r="E410" t="s">
        <v>1562</v>
      </c>
      <c r="F410" t="s">
        <v>1559</v>
      </c>
      <c r="G410" t="s">
        <v>1560</v>
      </c>
      <c r="H410">
        <v>8.5229037428784995</v>
      </c>
      <c r="I410">
        <v>47.358721821085602</v>
      </c>
      <c r="J410">
        <v>100</v>
      </c>
      <c r="K410" t="s">
        <v>192</v>
      </c>
      <c r="L410" t="s">
        <v>192</v>
      </c>
      <c r="M410" t="s">
        <v>192</v>
      </c>
      <c r="N410" t="s">
        <v>192</v>
      </c>
      <c r="O410" t="s">
        <v>192</v>
      </c>
      <c r="P410" t="s">
        <v>192</v>
      </c>
      <c r="R410" t="s">
        <v>1921</v>
      </c>
      <c r="T410" t="s">
        <v>1562</v>
      </c>
      <c r="U410" t="s">
        <v>1922</v>
      </c>
    </row>
    <row r="411" spans="1:21" x14ac:dyDescent="0.25">
      <c r="A411" t="s">
        <v>1923</v>
      </c>
      <c r="B411" t="s">
        <v>22</v>
      </c>
      <c r="C411" t="s">
        <v>1924</v>
      </c>
      <c r="D411">
        <f t="shared" si="13"/>
        <v>-800665549</v>
      </c>
      <c r="E411" t="s">
        <v>1925</v>
      </c>
      <c r="F411" t="s">
        <v>1559</v>
      </c>
      <c r="G411" t="s">
        <v>1560</v>
      </c>
      <c r="H411">
        <v>8.0585699999999996</v>
      </c>
      <c r="I411">
        <v>47.398560000000003</v>
      </c>
      <c r="J411">
        <v>100</v>
      </c>
      <c r="K411" t="s">
        <v>165</v>
      </c>
      <c r="L411" t="s">
        <v>165</v>
      </c>
      <c r="M411" t="s">
        <v>165</v>
      </c>
      <c r="N411" t="s">
        <v>165</v>
      </c>
      <c r="O411" t="s">
        <v>165</v>
      </c>
      <c r="P411" t="s">
        <v>1646</v>
      </c>
      <c r="R411" t="s">
        <v>1926</v>
      </c>
      <c r="T411" t="s">
        <v>1927</v>
      </c>
      <c r="U411" t="s">
        <v>1928</v>
      </c>
    </row>
    <row r="412" spans="1:21" x14ac:dyDescent="0.25">
      <c r="A412" t="s">
        <v>1929</v>
      </c>
      <c r="B412" t="s">
        <v>38</v>
      </c>
      <c r="C412" t="s">
        <v>1930</v>
      </c>
      <c r="D412">
        <f t="shared" si="13"/>
        <v>-800665549</v>
      </c>
      <c r="E412" t="s">
        <v>1931</v>
      </c>
      <c r="F412" t="s">
        <v>1559</v>
      </c>
      <c r="G412" t="s">
        <v>1560</v>
      </c>
      <c r="H412">
        <v>8.6654581803566106</v>
      </c>
      <c r="I412">
        <v>47.721074562668903</v>
      </c>
      <c r="J412">
        <v>100</v>
      </c>
      <c r="K412" t="s">
        <v>192</v>
      </c>
      <c r="L412" t="s">
        <v>192</v>
      </c>
      <c r="M412" t="s">
        <v>192</v>
      </c>
      <c r="N412" t="s">
        <v>192</v>
      </c>
      <c r="O412" t="s">
        <v>192</v>
      </c>
      <c r="P412" t="s">
        <v>1646</v>
      </c>
      <c r="R412" t="s">
        <v>1932</v>
      </c>
      <c r="T412" t="s">
        <v>1931</v>
      </c>
      <c r="U412" t="s">
        <v>1933</v>
      </c>
    </row>
    <row r="413" spans="1:21" x14ac:dyDescent="0.25">
      <c r="A413" t="s">
        <v>1934</v>
      </c>
      <c r="B413" t="s">
        <v>22</v>
      </c>
      <c r="C413" t="s">
        <v>1935</v>
      </c>
      <c r="D413">
        <f t="shared" si="13"/>
        <v>-800665549</v>
      </c>
      <c r="E413" t="s">
        <v>1849</v>
      </c>
      <c r="F413" t="s">
        <v>1559</v>
      </c>
      <c r="G413" t="s">
        <v>1560</v>
      </c>
      <c r="H413">
        <v>9.3048857999999992</v>
      </c>
      <c r="I413">
        <v>47.407846399999997</v>
      </c>
      <c r="J413">
        <v>100</v>
      </c>
      <c r="K413" t="s">
        <v>165</v>
      </c>
      <c r="L413" t="s">
        <v>165</v>
      </c>
      <c r="M413" t="s">
        <v>165</v>
      </c>
      <c r="N413" t="s">
        <v>312</v>
      </c>
      <c r="O413" t="s">
        <v>165</v>
      </c>
      <c r="P413" t="s">
        <v>326</v>
      </c>
      <c r="R413" t="s">
        <v>1936</v>
      </c>
      <c r="T413" t="s">
        <v>1640</v>
      </c>
      <c r="U413" t="s">
        <v>1937</v>
      </c>
    </row>
    <row r="414" spans="1:21" x14ac:dyDescent="0.25">
      <c r="A414" t="s">
        <v>1938</v>
      </c>
      <c r="B414" t="s">
        <v>38</v>
      </c>
      <c r="C414" t="s">
        <v>1939</v>
      </c>
      <c r="D414">
        <f t="shared" si="13"/>
        <v>-800665549</v>
      </c>
      <c r="E414" t="s">
        <v>1940</v>
      </c>
      <c r="F414" t="s">
        <v>1559</v>
      </c>
      <c r="G414" t="s">
        <v>1560</v>
      </c>
      <c r="H414">
        <v>6.8169342000000004</v>
      </c>
      <c r="I414">
        <v>47.094808299999997</v>
      </c>
      <c r="J414">
        <v>100</v>
      </c>
      <c r="K414" t="s">
        <v>1706</v>
      </c>
      <c r="L414" t="s">
        <v>1706</v>
      </c>
      <c r="M414" t="s">
        <v>1706</v>
      </c>
      <c r="N414" t="s">
        <v>1645</v>
      </c>
      <c r="O414" t="s">
        <v>1706</v>
      </c>
      <c r="P414" t="s">
        <v>248</v>
      </c>
      <c r="R414" t="s">
        <v>1941</v>
      </c>
      <c r="U414" t="s">
        <v>1942</v>
      </c>
    </row>
    <row r="415" spans="1:21" x14ac:dyDescent="0.25">
      <c r="A415" t="s">
        <v>1943</v>
      </c>
      <c r="B415" t="s">
        <v>22</v>
      </c>
      <c r="C415" t="s">
        <v>1944</v>
      </c>
      <c r="D415">
        <f t="shared" si="13"/>
        <v>-800665549</v>
      </c>
      <c r="E415" t="s">
        <v>1945</v>
      </c>
      <c r="F415" t="s">
        <v>1559</v>
      </c>
      <c r="G415" t="s">
        <v>1560</v>
      </c>
      <c r="H415">
        <v>9.0458035469055194</v>
      </c>
      <c r="I415">
        <v>47.465395792223802</v>
      </c>
      <c r="J415">
        <v>100</v>
      </c>
      <c r="K415" t="s">
        <v>165</v>
      </c>
      <c r="L415" t="s">
        <v>192</v>
      </c>
      <c r="M415" t="s">
        <v>165</v>
      </c>
      <c r="N415" t="s">
        <v>165</v>
      </c>
      <c r="O415" t="s">
        <v>165</v>
      </c>
      <c r="P415" t="s">
        <v>326</v>
      </c>
      <c r="R415" t="s">
        <v>1944</v>
      </c>
      <c r="T415" t="s">
        <v>1640</v>
      </c>
      <c r="U415" t="s">
        <v>1946</v>
      </c>
    </row>
    <row r="416" spans="1:21" x14ac:dyDescent="0.25">
      <c r="A416" t="s">
        <v>1947</v>
      </c>
      <c r="B416" t="s">
        <v>38</v>
      </c>
      <c r="C416" t="s">
        <v>1948</v>
      </c>
      <c r="D416">
        <f t="shared" si="13"/>
        <v>-800665549</v>
      </c>
      <c r="E416" t="s">
        <v>1949</v>
      </c>
      <c r="F416" t="s">
        <v>1559</v>
      </c>
      <c r="G416" t="s">
        <v>1560</v>
      </c>
      <c r="H416">
        <v>8.6447381973266602</v>
      </c>
      <c r="I416">
        <v>46.855117812082902</v>
      </c>
      <c r="J416">
        <v>100</v>
      </c>
      <c r="K416" t="s">
        <v>198</v>
      </c>
      <c r="L416" t="s">
        <v>198</v>
      </c>
      <c r="M416" t="s">
        <v>198</v>
      </c>
      <c r="N416" t="s">
        <v>198</v>
      </c>
      <c r="O416" t="s">
        <v>312</v>
      </c>
      <c r="P416" t="s">
        <v>1582</v>
      </c>
      <c r="R416" t="s">
        <v>1950</v>
      </c>
      <c r="T416" t="s">
        <v>1951</v>
      </c>
      <c r="U416" t="s">
        <v>1952</v>
      </c>
    </row>
    <row r="417" spans="1:21" x14ac:dyDescent="0.25">
      <c r="A417" t="s">
        <v>1953</v>
      </c>
      <c r="B417" t="s">
        <v>32</v>
      </c>
      <c r="C417" t="s">
        <v>1954</v>
      </c>
      <c r="D417">
        <f>56-226189811</f>
        <v>-226189755</v>
      </c>
      <c r="E417" t="s">
        <v>1955</v>
      </c>
      <c r="F417" t="s">
        <v>1956</v>
      </c>
      <c r="G417" t="s">
        <v>1957</v>
      </c>
      <c r="H417">
        <v>-70.605440139770494</v>
      </c>
      <c r="I417">
        <v>-33.417425419614602</v>
      </c>
      <c r="J417">
        <v>56</v>
      </c>
      <c r="K417" t="s">
        <v>535</v>
      </c>
      <c r="L417" t="s">
        <v>535</v>
      </c>
      <c r="M417" t="s">
        <v>535</v>
      </c>
      <c r="N417" t="s">
        <v>535</v>
      </c>
      <c r="O417" t="s">
        <v>535</v>
      </c>
      <c r="P417" t="s">
        <v>535</v>
      </c>
      <c r="Q417" t="s">
        <v>535</v>
      </c>
      <c r="R417" t="s">
        <v>1958</v>
      </c>
      <c r="S417" t="s">
        <v>1958</v>
      </c>
      <c r="U417" t="s">
        <v>1959</v>
      </c>
    </row>
    <row r="418" spans="1:21" x14ac:dyDescent="0.25">
      <c r="A418" t="s">
        <v>1960</v>
      </c>
      <c r="B418" t="s">
        <v>22</v>
      </c>
      <c r="C418" t="s">
        <v>1961</v>
      </c>
      <c r="D418">
        <f>56-223813843</f>
        <v>-223813787</v>
      </c>
      <c r="E418" t="s">
        <v>1955</v>
      </c>
      <c r="F418" t="s">
        <v>1956</v>
      </c>
      <c r="G418" t="s">
        <v>1957</v>
      </c>
      <c r="H418">
        <v>-70.546283500000001</v>
      </c>
      <c r="I418">
        <v>-33.390873200000001</v>
      </c>
      <c r="J418">
        <v>56</v>
      </c>
      <c r="K418" t="s">
        <v>535</v>
      </c>
      <c r="L418" t="s">
        <v>535</v>
      </c>
      <c r="M418" t="s">
        <v>535</v>
      </c>
      <c r="N418" t="s">
        <v>535</v>
      </c>
      <c r="O418" t="s">
        <v>535</v>
      </c>
      <c r="P418" t="s">
        <v>535</v>
      </c>
      <c r="Q418" t="s">
        <v>535</v>
      </c>
      <c r="R418" t="s">
        <v>1962</v>
      </c>
      <c r="S418" t="s">
        <v>1962</v>
      </c>
      <c r="U418" t="s">
        <v>1963</v>
      </c>
    </row>
    <row r="419" spans="1:21" x14ac:dyDescent="0.25">
      <c r="A419" t="s">
        <v>1964</v>
      </c>
      <c r="B419" t="s">
        <v>22</v>
      </c>
      <c r="C419" t="s">
        <v>1965</v>
      </c>
      <c r="D419">
        <f>56-223820414</f>
        <v>-223820358</v>
      </c>
      <c r="E419" t="s">
        <v>1955</v>
      </c>
      <c r="F419" t="s">
        <v>1956</v>
      </c>
      <c r="G419" t="s">
        <v>1957</v>
      </c>
      <c r="H419">
        <v>-70.608481922485296</v>
      </c>
      <c r="I419">
        <v>-33.510674948220696</v>
      </c>
      <c r="J419">
        <v>56</v>
      </c>
      <c r="K419" t="s">
        <v>535</v>
      </c>
      <c r="L419" t="s">
        <v>535</v>
      </c>
      <c r="M419" t="s">
        <v>535</v>
      </c>
      <c r="N419" t="s">
        <v>535</v>
      </c>
      <c r="O419" t="s">
        <v>535</v>
      </c>
      <c r="P419" t="s">
        <v>535</v>
      </c>
      <c r="Q419" t="s">
        <v>535</v>
      </c>
      <c r="R419" t="s">
        <v>1966</v>
      </c>
      <c r="S419" t="s">
        <v>1967</v>
      </c>
      <c r="U419" t="s">
        <v>1968</v>
      </c>
    </row>
    <row r="420" spans="1:21" x14ac:dyDescent="0.25">
      <c r="A420" t="s">
        <v>1969</v>
      </c>
      <c r="B420" t="s">
        <v>22</v>
      </c>
      <c r="C420" t="s">
        <v>1970</v>
      </c>
      <c r="D420">
        <f>56-2-24862004</f>
        <v>-24861950</v>
      </c>
      <c r="E420" t="s">
        <v>1955</v>
      </c>
      <c r="F420" t="s">
        <v>1956</v>
      </c>
      <c r="G420" t="s">
        <v>1957</v>
      </c>
      <c r="H420">
        <v>-70.598104313163702</v>
      </c>
      <c r="I420">
        <v>-33.39889838493</v>
      </c>
      <c r="J420">
        <v>56</v>
      </c>
      <c r="K420" t="s">
        <v>535</v>
      </c>
      <c r="L420" t="s">
        <v>535</v>
      </c>
      <c r="M420" t="s">
        <v>535</v>
      </c>
      <c r="N420" t="s">
        <v>535</v>
      </c>
      <c r="O420" t="s">
        <v>535</v>
      </c>
      <c r="P420" t="s">
        <v>535</v>
      </c>
      <c r="Q420" t="s">
        <v>535</v>
      </c>
      <c r="R420" t="s">
        <v>1971</v>
      </c>
      <c r="S420" t="s">
        <v>1971</v>
      </c>
      <c r="U420" t="s">
        <v>1972</v>
      </c>
    </row>
    <row r="421" spans="1:21" x14ac:dyDescent="0.25">
      <c r="A421" t="s">
        <v>1973</v>
      </c>
      <c r="B421" t="s">
        <v>22</v>
      </c>
      <c r="C421" t="s">
        <v>1974</v>
      </c>
      <c r="D421">
        <f>56-223823790</f>
        <v>-223823734</v>
      </c>
      <c r="E421" t="s">
        <v>1955</v>
      </c>
      <c r="F421" t="s">
        <v>1956</v>
      </c>
      <c r="G421" t="s">
        <v>1957</v>
      </c>
      <c r="H421">
        <v>-70.540616999999997</v>
      </c>
      <c r="I421">
        <v>-33.415216000000001</v>
      </c>
      <c r="J421">
        <v>56</v>
      </c>
      <c r="K421" t="s">
        <v>774</v>
      </c>
      <c r="L421" t="s">
        <v>774</v>
      </c>
      <c r="M421" t="s">
        <v>774</v>
      </c>
      <c r="N421" t="s">
        <v>774</v>
      </c>
      <c r="O421" t="s">
        <v>774</v>
      </c>
      <c r="P421" t="s">
        <v>774</v>
      </c>
      <c r="Q421" t="s">
        <v>774</v>
      </c>
      <c r="R421" t="s">
        <v>1975</v>
      </c>
      <c r="S421" t="s">
        <v>1976</v>
      </c>
      <c r="U421" t="s">
        <v>1977</v>
      </c>
    </row>
    <row r="422" spans="1:21" x14ac:dyDescent="0.25">
      <c r="A422" t="s">
        <v>1978</v>
      </c>
      <c r="B422" t="s">
        <v>22</v>
      </c>
      <c r="C422" t="s">
        <v>1979</v>
      </c>
      <c r="D422">
        <f>56-223823440</f>
        <v>-223823384</v>
      </c>
      <c r="E422" t="s">
        <v>1955</v>
      </c>
      <c r="F422" t="s">
        <v>1956</v>
      </c>
      <c r="G422" t="s">
        <v>1957</v>
      </c>
      <c r="H422">
        <v>-70.654388999999995</v>
      </c>
      <c r="I422">
        <v>-33.424478999999998</v>
      </c>
      <c r="J422">
        <v>56</v>
      </c>
      <c r="K422" t="s">
        <v>535</v>
      </c>
      <c r="L422" t="s">
        <v>535</v>
      </c>
      <c r="M422" t="s">
        <v>535</v>
      </c>
      <c r="N422" t="s">
        <v>535</v>
      </c>
      <c r="O422" t="s">
        <v>535</v>
      </c>
      <c r="P422" t="s">
        <v>535</v>
      </c>
      <c r="Q422" t="s">
        <v>535</v>
      </c>
      <c r="R422" t="s">
        <v>1980</v>
      </c>
      <c r="S422" t="s">
        <v>1980</v>
      </c>
      <c r="U422" t="s">
        <v>1981</v>
      </c>
    </row>
    <row r="423" spans="1:21" x14ac:dyDescent="0.25">
      <c r="A423" t="s">
        <v>1982</v>
      </c>
      <c r="B423" t="s">
        <v>32</v>
      </c>
      <c r="C423" t="s">
        <v>1983</v>
      </c>
      <c r="D423">
        <f>56-224984801</f>
        <v>-224984745</v>
      </c>
      <c r="E423" t="s">
        <v>1955</v>
      </c>
      <c r="F423" t="s">
        <v>1956</v>
      </c>
      <c r="G423" t="s">
        <v>1957</v>
      </c>
      <c r="H423">
        <v>-70.649214999999998</v>
      </c>
      <c r="I423">
        <v>-33.439514000000003</v>
      </c>
      <c r="J423">
        <v>56</v>
      </c>
      <c r="K423" t="s">
        <v>535</v>
      </c>
      <c r="L423" t="s">
        <v>535</v>
      </c>
      <c r="M423" t="s">
        <v>535</v>
      </c>
      <c r="N423" t="s">
        <v>535</v>
      </c>
      <c r="O423" t="s">
        <v>535</v>
      </c>
      <c r="P423" t="s">
        <v>535</v>
      </c>
      <c r="Q423" t="s">
        <v>535</v>
      </c>
      <c r="R423" t="s">
        <v>1984</v>
      </c>
      <c r="S423" t="s">
        <v>1984</v>
      </c>
      <c r="U423" t="s">
        <v>1985</v>
      </c>
    </row>
    <row r="424" spans="1:21" x14ac:dyDescent="0.25">
      <c r="A424" t="s">
        <v>1986</v>
      </c>
      <c r="B424" t="s">
        <v>22</v>
      </c>
      <c r="C424" t="s">
        <v>1987</v>
      </c>
      <c r="D424">
        <f>56-223849890</f>
        <v>-223849834</v>
      </c>
      <c r="E424" t="s">
        <v>1988</v>
      </c>
      <c r="F424" t="s">
        <v>1956</v>
      </c>
      <c r="G424" t="s">
        <v>1957</v>
      </c>
      <c r="H424">
        <v>-73.066703864172993</v>
      </c>
      <c r="I424">
        <v>-36.792220377457603</v>
      </c>
      <c r="J424">
        <v>56</v>
      </c>
      <c r="K424" t="s">
        <v>774</v>
      </c>
      <c r="L424" t="s">
        <v>774</v>
      </c>
      <c r="M424" t="s">
        <v>774</v>
      </c>
      <c r="N424" t="s">
        <v>774</v>
      </c>
      <c r="O424" t="s">
        <v>774</v>
      </c>
      <c r="P424" t="s">
        <v>774</v>
      </c>
      <c r="Q424" t="s">
        <v>774</v>
      </c>
      <c r="R424" t="s">
        <v>1989</v>
      </c>
      <c r="S424" t="s">
        <v>1990</v>
      </c>
      <c r="U424" t="s">
        <v>1991</v>
      </c>
    </row>
    <row r="425" spans="1:21" x14ac:dyDescent="0.25">
      <c r="A425" t="s">
        <v>1992</v>
      </c>
      <c r="B425" t="s">
        <v>22</v>
      </c>
      <c r="C425" t="s">
        <v>1993</v>
      </c>
      <c r="E425" t="s">
        <v>1994</v>
      </c>
      <c r="F425" t="s">
        <v>1956</v>
      </c>
      <c r="G425" t="s">
        <v>1957</v>
      </c>
      <c r="H425">
        <v>-72.935546000000002</v>
      </c>
      <c r="I425">
        <v>-41.472962000000003</v>
      </c>
      <c r="J425">
        <v>56</v>
      </c>
      <c r="K425" t="s">
        <v>45</v>
      </c>
      <c r="L425" t="s">
        <v>45</v>
      </c>
      <c r="M425" t="s">
        <v>45</v>
      </c>
      <c r="N425" t="s">
        <v>45</v>
      </c>
      <c r="O425" t="s">
        <v>45</v>
      </c>
      <c r="P425" t="s">
        <v>45</v>
      </c>
      <c r="Q425" t="s">
        <v>45</v>
      </c>
      <c r="R425" t="s">
        <v>1995</v>
      </c>
      <c r="T425" t="s">
        <v>1996</v>
      </c>
      <c r="U425" t="s">
        <v>1997</v>
      </c>
    </row>
    <row r="426" spans="1:21" x14ac:dyDescent="0.25">
      <c r="A426" t="s">
        <v>1998</v>
      </c>
      <c r="B426" t="s">
        <v>22</v>
      </c>
      <c r="C426" t="s">
        <v>1999</v>
      </c>
      <c r="D426">
        <f>56-229895080</f>
        <v>-229895024</v>
      </c>
      <c r="E426" t="s">
        <v>1955</v>
      </c>
      <c r="F426" t="s">
        <v>1956</v>
      </c>
      <c r="G426" t="s">
        <v>1957</v>
      </c>
      <c r="H426">
        <v>-70.750988000000007</v>
      </c>
      <c r="I426">
        <v>-33.481507999999998</v>
      </c>
      <c r="J426">
        <v>56</v>
      </c>
      <c r="K426" t="s">
        <v>774</v>
      </c>
      <c r="L426" t="s">
        <v>774</v>
      </c>
      <c r="M426" t="s">
        <v>774</v>
      </c>
      <c r="N426" t="s">
        <v>774</v>
      </c>
      <c r="O426" t="s">
        <v>774</v>
      </c>
      <c r="P426" t="s">
        <v>774</v>
      </c>
      <c r="Q426" t="s">
        <v>774</v>
      </c>
      <c r="R426" t="s">
        <v>2000</v>
      </c>
      <c r="U426" t="s">
        <v>2001</v>
      </c>
    </row>
    <row r="427" spans="1:21" x14ac:dyDescent="0.25">
      <c r="A427" t="s">
        <v>2002</v>
      </c>
      <c r="B427" t="s">
        <v>22</v>
      </c>
      <c r="C427" t="s">
        <v>2003</v>
      </c>
      <c r="D427">
        <f>56-223823203</f>
        <v>-223823147</v>
      </c>
      <c r="E427" t="s">
        <v>2004</v>
      </c>
      <c r="F427" t="s">
        <v>1956</v>
      </c>
      <c r="G427" t="s">
        <v>1957</v>
      </c>
      <c r="H427">
        <v>-71.337909789410304</v>
      </c>
      <c r="I427">
        <v>-29.957825040022399</v>
      </c>
      <c r="J427">
        <v>56</v>
      </c>
      <c r="K427" t="s">
        <v>45</v>
      </c>
      <c r="L427" t="s">
        <v>45</v>
      </c>
      <c r="M427" t="s">
        <v>45</v>
      </c>
      <c r="N427" t="s">
        <v>45</v>
      </c>
      <c r="O427" t="s">
        <v>45</v>
      </c>
      <c r="P427" t="s">
        <v>45</v>
      </c>
      <c r="Q427" t="s">
        <v>45</v>
      </c>
      <c r="R427" t="s">
        <v>2005</v>
      </c>
      <c r="S427" t="s">
        <v>2006</v>
      </c>
      <c r="U427" t="s">
        <v>2007</v>
      </c>
    </row>
    <row r="428" spans="1:21" x14ac:dyDescent="0.25">
      <c r="A428" t="s">
        <v>2008</v>
      </c>
      <c r="B428" t="s">
        <v>22</v>
      </c>
      <c r="C428" t="s">
        <v>2009</v>
      </c>
      <c r="D428">
        <f>56-552466056</f>
        <v>-552466000</v>
      </c>
      <c r="E428" t="s">
        <v>2010</v>
      </c>
      <c r="F428" t="s">
        <v>1956</v>
      </c>
      <c r="G428" t="s">
        <v>1957</v>
      </c>
      <c r="H428">
        <v>-70.402566210619995</v>
      </c>
      <c r="I428">
        <v>-23.6466036477069</v>
      </c>
      <c r="J428">
        <v>56</v>
      </c>
      <c r="K428" t="s">
        <v>45</v>
      </c>
      <c r="L428" t="s">
        <v>45</v>
      </c>
      <c r="M428" t="s">
        <v>45</v>
      </c>
      <c r="N428" t="s">
        <v>45</v>
      </c>
      <c r="O428" t="s">
        <v>45</v>
      </c>
      <c r="P428" t="s">
        <v>45</v>
      </c>
      <c r="Q428" t="s">
        <v>45</v>
      </c>
      <c r="R428" t="s">
        <v>2011</v>
      </c>
      <c r="U428" t="s">
        <v>2012</v>
      </c>
    </row>
    <row r="429" spans="1:21" x14ac:dyDescent="0.25">
      <c r="A429" t="s">
        <v>2013</v>
      </c>
      <c r="B429" t="s">
        <v>22</v>
      </c>
      <c r="C429" t="s">
        <v>2014</v>
      </c>
      <c r="D429">
        <f>56-223819595</f>
        <v>-223819539</v>
      </c>
      <c r="E429" t="s">
        <v>1955</v>
      </c>
      <c r="F429" t="s">
        <v>1956</v>
      </c>
      <c r="G429" t="s">
        <v>1957</v>
      </c>
      <c r="H429">
        <v>-70.678374281814598</v>
      </c>
      <c r="I429">
        <v>-33.366000282810603</v>
      </c>
      <c r="J429">
        <v>56</v>
      </c>
      <c r="K429" t="s">
        <v>774</v>
      </c>
      <c r="L429" t="s">
        <v>774</v>
      </c>
      <c r="M429" t="s">
        <v>774</v>
      </c>
      <c r="N429" t="s">
        <v>774</v>
      </c>
      <c r="O429" t="s">
        <v>774</v>
      </c>
      <c r="P429" t="s">
        <v>774</v>
      </c>
      <c r="Q429" t="s">
        <v>774</v>
      </c>
      <c r="R429" t="s">
        <v>2015</v>
      </c>
      <c r="U429" t="s">
        <v>2016</v>
      </c>
    </row>
    <row r="430" spans="1:21" x14ac:dyDescent="0.25">
      <c r="A430" t="s">
        <v>2017</v>
      </c>
      <c r="B430" t="s">
        <v>22</v>
      </c>
      <c r="C430" t="s">
        <v>2018</v>
      </c>
      <c r="D430">
        <f>56-223819565</f>
        <v>-223819509</v>
      </c>
      <c r="E430" t="s">
        <v>1955</v>
      </c>
      <c r="F430" t="s">
        <v>1956</v>
      </c>
      <c r="G430" t="s">
        <v>1957</v>
      </c>
      <c r="H430">
        <v>-70.717887399999995</v>
      </c>
      <c r="I430">
        <v>-33.517052800000002</v>
      </c>
      <c r="J430">
        <v>56</v>
      </c>
      <c r="K430" t="s">
        <v>774</v>
      </c>
      <c r="L430" t="s">
        <v>774</v>
      </c>
      <c r="M430" t="s">
        <v>774</v>
      </c>
      <c r="N430" t="s">
        <v>774</v>
      </c>
      <c r="O430" t="s">
        <v>774</v>
      </c>
      <c r="P430" t="s">
        <v>774</v>
      </c>
      <c r="Q430" t="s">
        <v>774</v>
      </c>
      <c r="R430" t="s">
        <v>2019</v>
      </c>
      <c r="U430" t="s">
        <v>2020</v>
      </c>
    </row>
    <row r="431" spans="1:21" x14ac:dyDescent="0.25">
      <c r="A431" t="s">
        <v>2021</v>
      </c>
      <c r="B431" t="s">
        <v>22</v>
      </c>
      <c r="C431" t="s">
        <v>2022</v>
      </c>
      <c r="D431">
        <f>56-452925157</f>
        <v>-452925101</v>
      </c>
      <c r="E431" t="s">
        <v>2023</v>
      </c>
      <c r="F431" t="s">
        <v>1956</v>
      </c>
      <c r="G431" t="s">
        <v>1957</v>
      </c>
      <c r="H431">
        <v>-72.610613999999998</v>
      </c>
      <c r="I431">
        <v>-38.735021000000003</v>
      </c>
      <c r="J431">
        <v>56</v>
      </c>
      <c r="K431" t="s">
        <v>45</v>
      </c>
      <c r="L431" t="s">
        <v>45</v>
      </c>
      <c r="M431" t="s">
        <v>45</v>
      </c>
      <c r="N431" t="s">
        <v>45</v>
      </c>
      <c r="O431" t="s">
        <v>45</v>
      </c>
      <c r="P431" t="s">
        <v>45</v>
      </c>
      <c r="Q431" t="s">
        <v>45</v>
      </c>
      <c r="R431" t="s">
        <v>2024</v>
      </c>
      <c r="U431" t="s">
        <v>2025</v>
      </c>
    </row>
    <row r="432" spans="1:21" x14ac:dyDescent="0.25">
      <c r="A432" t="s">
        <v>2026</v>
      </c>
      <c r="B432" t="s">
        <v>22</v>
      </c>
      <c r="C432" t="s">
        <v>2027</v>
      </c>
      <c r="D432">
        <f>56-322511613</f>
        <v>-322511557</v>
      </c>
      <c r="E432" t="s">
        <v>2028</v>
      </c>
      <c r="F432" t="s">
        <v>1956</v>
      </c>
      <c r="G432" t="s">
        <v>1957</v>
      </c>
      <c r="H432">
        <v>-71.546589543872003</v>
      </c>
      <c r="I432">
        <v>-33.009700940611701</v>
      </c>
      <c r="J432">
        <v>56</v>
      </c>
      <c r="K432" t="s">
        <v>185</v>
      </c>
      <c r="L432" t="s">
        <v>185</v>
      </c>
      <c r="M432" t="s">
        <v>185</v>
      </c>
      <c r="N432" t="s">
        <v>185</v>
      </c>
      <c r="O432" t="s">
        <v>185</v>
      </c>
      <c r="P432" t="s">
        <v>185</v>
      </c>
      <c r="Q432" t="s">
        <v>185</v>
      </c>
      <c r="R432" t="s">
        <v>2029</v>
      </c>
      <c r="S432" t="s">
        <v>2030</v>
      </c>
      <c r="U432" t="s">
        <v>2031</v>
      </c>
    </row>
    <row r="433" spans="1:21" x14ac:dyDescent="0.25">
      <c r="A433" t="s">
        <v>2032</v>
      </c>
      <c r="B433" t="s">
        <v>22</v>
      </c>
      <c r="C433" t="s">
        <v>2033</v>
      </c>
      <c r="D433">
        <f>56-223823445</f>
        <v>-223823389</v>
      </c>
      <c r="E433" t="s">
        <v>2034</v>
      </c>
      <c r="F433" t="s">
        <v>1956</v>
      </c>
      <c r="G433" t="s">
        <v>1957</v>
      </c>
      <c r="H433">
        <v>-71.244898045971695</v>
      </c>
      <c r="I433">
        <v>-34.990221334946298</v>
      </c>
      <c r="J433">
        <v>56</v>
      </c>
      <c r="K433" t="s">
        <v>45</v>
      </c>
      <c r="L433" t="s">
        <v>45</v>
      </c>
      <c r="M433" t="s">
        <v>45</v>
      </c>
      <c r="N433" t="s">
        <v>45</v>
      </c>
      <c r="O433" t="s">
        <v>45</v>
      </c>
      <c r="P433" t="s">
        <v>45</v>
      </c>
      <c r="Q433" t="s">
        <v>45</v>
      </c>
      <c r="R433" t="s">
        <v>2035</v>
      </c>
      <c r="U433" t="s">
        <v>2036</v>
      </c>
    </row>
    <row r="434" spans="1:21" x14ac:dyDescent="0.25">
      <c r="A434" t="s">
        <v>2037</v>
      </c>
      <c r="B434" t="s">
        <v>22</v>
      </c>
      <c r="C434" t="s">
        <v>2038</v>
      </c>
      <c r="E434" t="s">
        <v>2039</v>
      </c>
      <c r="F434" t="s">
        <v>1956</v>
      </c>
      <c r="G434" t="s">
        <v>1957</v>
      </c>
      <c r="H434">
        <v>-73.243820760327097</v>
      </c>
      <c r="I434">
        <v>-39.814296707402796</v>
      </c>
      <c r="J434">
        <v>56</v>
      </c>
      <c r="K434" t="s">
        <v>27</v>
      </c>
      <c r="L434" t="s">
        <v>27</v>
      </c>
      <c r="M434" t="s">
        <v>27</v>
      </c>
      <c r="N434" t="s">
        <v>27</v>
      </c>
      <c r="O434" t="s">
        <v>27</v>
      </c>
      <c r="P434" t="s">
        <v>27</v>
      </c>
      <c r="Q434" t="s">
        <v>27</v>
      </c>
      <c r="R434" t="s">
        <v>2038</v>
      </c>
      <c r="U434" t="s">
        <v>2040</v>
      </c>
    </row>
    <row r="435" spans="1:21" x14ac:dyDescent="0.25">
      <c r="A435" t="s">
        <v>2041</v>
      </c>
      <c r="B435" t="s">
        <v>32</v>
      </c>
      <c r="C435" t="s">
        <v>2042</v>
      </c>
      <c r="D435">
        <f>56-223822592</f>
        <v>-223822536</v>
      </c>
      <c r="E435" t="s">
        <v>1955</v>
      </c>
      <c r="F435" t="s">
        <v>1956</v>
      </c>
      <c r="G435" t="s">
        <v>1957</v>
      </c>
      <c r="H435">
        <v>-70.575676999999999</v>
      </c>
      <c r="I435">
        <v>-33.401302999999999</v>
      </c>
      <c r="J435">
        <v>56</v>
      </c>
      <c r="K435" t="s">
        <v>535</v>
      </c>
      <c r="L435" t="s">
        <v>535</v>
      </c>
      <c r="M435" t="s">
        <v>535</v>
      </c>
      <c r="N435" t="s">
        <v>535</v>
      </c>
      <c r="O435" t="s">
        <v>535</v>
      </c>
      <c r="P435" t="s">
        <v>535</v>
      </c>
      <c r="Q435" t="s">
        <v>535</v>
      </c>
      <c r="R435" t="s">
        <v>2043</v>
      </c>
      <c r="S435" t="s">
        <v>2044</v>
      </c>
      <c r="U435" t="s">
        <v>2045</v>
      </c>
    </row>
    <row r="436" spans="1:21" x14ac:dyDescent="0.25">
      <c r="A436" t="s">
        <v>2046</v>
      </c>
      <c r="B436" t="s">
        <v>38</v>
      </c>
      <c r="C436" t="s">
        <v>2047</v>
      </c>
      <c r="D436">
        <f>400-821-5500</f>
        <v>-5921</v>
      </c>
      <c r="E436" t="s">
        <v>2048</v>
      </c>
      <c r="F436" t="s">
        <v>2049</v>
      </c>
      <c r="G436" t="s">
        <v>2050</v>
      </c>
      <c r="H436">
        <v>121.526254113159</v>
      </c>
      <c r="I436">
        <v>29.896058233978099</v>
      </c>
      <c r="J436">
        <v>210</v>
      </c>
      <c r="K436" t="s">
        <v>27</v>
      </c>
      <c r="L436" t="s">
        <v>27</v>
      </c>
      <c r="M436" t="s">
        <v>27</v>
      </c>
      <c r="N436" t="s">
        <v>27</v>
      </c>
      <c r="O436" t="s">
        <v>27</v>
      </c>
      <c r="P436" t="s">
        <v>27</v>
      </c>
      <c r="Q436" t="s">
        <v>27</v>
      </c>
      <c r="R436" t="s">
        <v>2051</v>
      </c>
      <c r="T436" t="s">
        <v>2052</v>
      </c>
      <c r="U436" t="s">
        <v>2053</v>
      </c>
    </row>
    <row r="437" spans="1:21" x14ac:dyDescent="0.25">
      <c r="A437" t="s">
        <v>2054</v>
      </c>
      <c r="B437" t="s">
        <v>38</v>
      </c>
      <c r="C437" t="s">
        <v>2055</v>
      </c>
      <c r="D437">
        <f>86-400-821-5500</f>
        <v>-6635</v>
      </c>
      <c r="E437" t="s">
        <v>2056</v>
      </c>
      <c r="F437" t="s">
        <v>2049</v>
      </c>
      <c r="G437" t="s">
        <v>2050</v>
      </c>
      <c r="H437">
        <v>120.07514</v>
      </c>
      <c r="I437">
        <v>29.306757000000001</v>
      </c>
      <c r="J437">
        <v>210</v>
      </c>
      <c r="K437" t="s">
        <v>27</v>
      </c>
      <c r="L437" t="s">
        <v>27</v>
      </c>
      <c r="M437" t="s">
        <v>27</v>
      </c>
      <c r="N437" t="s">
        <v>27</v>
      </c>
      <c r="O437" t="s">
        <v>27</v>
      </c>
      <c r="P437" t="s">
        <v>27</v>
      </c>
      <c r="Q437" t="s">
        <v>27</v>
      </c>
      <c r="R437" t="s">
        <v>2057</v>
      </c>
      <c r="T437" t="s">
        <v>2052</v>
      </c>
      <c r="U437" t="s">
        <v>2058</v>
      </c>
    </row>
    <row r="438" spans="1:21" x14ac:dyDescent="0.25">
      <c r="A438" t="s">
        <v>2059</v>
      </c>
      <c r="B438" t="s">
        <v>22</v>
      </c>
      <c r="C438" t="s">
        <v>2060</v>
      </c>
      <c r="D438">
        <f>86-512-69881057</f>
        <v>-69881483</v>
      </c>
      <c r="E438" t="s">
        <v>2061</v>
      </c>
      <c r="F438" t="s">
        <v>2049</v>
      </c>
      <c r="G438" t="s">
        <v>2050</v>
      </c>
      <c r="H438">
        <v>120.58528999999901</v>
      </c>
      <c r="I438">
        <v>31.298978999999999</v>
      </c>
      <c r="J438">
        <v>210</v>
      </c>
      <c r="K438" t="s">
        <v>27</v>
      </c>
      <c r="L438" t="s">
        <v>27</v>
      </c>
      <c r="M438" t="s">
        <v>27</v>
      </c>
      <c r="N438" t="s">
        <v>27</v>
      </c>
      <c r="O438" t="s">
        <v>27</v>
      </c>
      <c r="P438" t="s">
        <v>27</v>
      </c>
      <c r="Q438" t="s">
        <v>27</v>
      </c>
      <c r="R438" t="s">
        <v>2062</v>
      </c>
      <c r="T438" t="s">
        <v>2063</v>
      </c>
      <c r="U438" t="s">
        <v>2064</v>
      </c>
    </row>
    <row r="439" spans="1:21" x14ac:dyDescent="0.25">
      <c r="A439" t="s">
        <v>2065</v>
      </c>
      <c r="B439" t="s">
        <v>22</v>
      </c>
      <c r="C439" t="s">
        <v>2066</v>
      </c>
      <c r="D439">
        <f>86-400-821-5500</f>
        <v>-6635</v>
      </c>
      <c r="E439" t="s">
        <v>2067</v>
      </c>
      <c r="F439" t="s">
        <v>2049</v>
      </c>
      <c r="G439" t="s">
        <v>2050</v>
      </c>
      <c r="H439">
        <v>120.390479</v>
      </c>
      <c r="I439">
        <v>36.113880000000002</v>
      </c>
      <c r="J439">
        <v>210</v>
      </c>
      <c r="K439" t="s">
        <v>2068</v>
      </c>
      <c r="L439" t="s">
        <v>2068</v>
      </c>
      <c r="M439" t="s">
        <v>2068</v>
      </c>
      <c r="N439" t="s">
        <v>2068</v>
      </c>
      <c r="O439" t="s">
        <v>2069</v>
      </c>
      <c r="P439" t="s">
        <v>2069</v>
      </c>
      <c r="Q439" t="s">
        <v>2069</v>
      </c>
      <c r="R439" t="s">
        <v>2070</v>
      </c>
      <c r="T439" t="s">
        <v>2071</v>
      </c>
      <c r="U439" t="s">
        <v>2072</v>
      </c>
    </row>
    <row r="440" spans="1:21" x14ac:dyDescent="0.25">
      <c r="A440" t="s">
        <v>2073</v>
      </c>
      <c r="B440" t="s">
        <v>38</v>
      </c>
      <c r="C440" t="s">
        <v>2074</v>
      </c>
      <c r="D440">
        <f>400-821-5500</f>
        <v>-5921</v>
      </c>
      <c r="E440" t="s">
        <v>2075</v>
      </c>
      <c r="F440" t="s">
        <v>2049</v>
      </c>
      <c r="G440" t="s">
        <v>2050</v>
      </c>
      <c r="H440">
        <v>102.653956472198</v>
      </c>
      <c r="I440">
        <v>25.063271874007601</v>
      </c>
      <c r="J440">
        <v>210</v>
      </c>
      <c r="K440" t="s">
        <v>27</v>
      </c>
      <c r="L440" t="s">
        <v>27</v>
      </c>
      <c r="M440" t="s">
        <v>27</v>
      </c>
      <c r="N440" t="s">
        <v>27</v>
      </c>
      <c r="O440" t="s">
        <v>77</v>
      </c>
      <c r="P440" t="s">
        <v>77</v>
      </c>
      <c r="Q440" t="s">
        <v>27</v>
      </c>
      <c r="R440" t="s">
        <v>2076</v>
      </c>
      <c r="T440" t="s">
        <v>2077</v>
      </c>
      <c r="U440" t="s">
        <v>2078</v>
      </c>
    </row>
    <row r="441" spans="1:21" x14ac:dyDescent="0.25">
      <c r="A441" t="s">
        <v>2079</v>
      </c>
      <c r="B441" t="s">
        <v>22</v>
      </c>
      <c r="C441" t="s">
        <v>2080</v>
      </c>
      <c r="E441" t="s">
        <v>2081</v>
      </c>
      <c r="F441" t="s">
        <v>2049</v>
      </c>
      <c r="G441" t="s">
        <v>2050</v>
      </c>
      <c r="H441">
        <v>123.43876760852</v>
      </c>
      <c r="I441">
        <v>41.750845513348999</v>
      </c>
      <c r="J441">
        <v>210</v>
      </c>
      <c r="K441" t="s">
        <v>27</v>
      </c>
      <c r="L441" t="s">
        <v>27</v>
      </c>
      <c r="M441" t="s">
        <v>27</v>
      </c>
      <c r="N441" t="s">
        <v>27</v>
      </c>
      <c r="O441" t="s">
        <v>27</v>
      </c>
      <c r="P441" t="s">
        <v>27</v>
      </c>
      <c r="Q441" t="s">
        <v>27</v>
      </c>
      <c r="R441" t="s">
        <v>2082</v>
      </c>
      <c r="T441" t="s">
        <v>2083</v>
      </c>
      <c r="U441" t="s">
        <v>2084</v>
      </c>
    </row>
    <row r="442" spans="1:21" x14ac:dyDescent="0.25">
      <c r="A442" t="s">
        <v>2085</v>
      </c>
      <c r="B442" t="s">
        <v>38</v>
      </c>
      <c r="C442" t="s">
        <v>2086</v>
      </c>
      <c r="D442">
        <f>86-1069050351</f>
        <v>-1069050265</v>
      </c>
      <c r="E442" t="s">
        <v>2087</v>
      </c>
      <c r="F442" t="s">
        <v>2049</v>
      </c>
      <c r="G442" t="s">
        <v>2050</v>
      </c>
      <c r="H442">
        <v>116.84032499267499</v>
      </c>
      <c r="I442">
        <v>40.365909506856902</v>
      </c>
      <c r="J442">
        <v>210</v>
      </c>
      <c r="K442" t="s">
        <v>27</v>
      </c>
      <c r="L442" t="s">
        <v>27</v>
      </c>
      <c r="M442" t="s">
        <v>27</v>
      </c>
      <c r="N442" t="s">
        <v>27</v>
      </c>
      <c r="O442" t="s">
        <v>27</v>
      </c>
      <c r="P442" t="s">
        <v>27</v>
      </c>
      <c r="Q442" t="s">
        <v>27</v>
      </c>
      <c r="R442" t="s">
        <v>2088</v>
      </c>
      <c r="T442" t="s">
        <v>2089</v>
      </c>
      <c r="U442" t="s">
        <v>2090</v>
      </c>
    </row>
    <row r="443" spans="1:21" x14ac:dyDescent="0.25">
      <c r="A443" t="s">
        <v>2091</v>
      </c>
      <c r="B443" t="s">
        <v>38</v>
      </c>
      <c r="C443" t="s">
        <v>2092</v>
      </c>
      <c r="E443" t="s">
        <v>2093</v>
      </c>
      <c r="F443" t="s">
        <v>2049</v>
      </c>
      <c r="G443" t="s">
        <v>2050</v>
      </c>
      <c r="H443">
        <v>113.47295200000001</v>
      </c>
      <c r="I443">
        <v>23.17212</v>
      </c>
      <c r="J443">
        <v>210</v>
      </c>
      <c r="K443" t="s">
        <v>27</v>
      </c>
      <c r="L443" t="s">
        <v>27</v>
      </c>
      <c r="M443" t="s">
        <v>27</v>
      </c>
      <c r="N443" t="s">
        <v>27</v>
      </c>
      <c r="O443" t="s">
        <v>77</v>
      </c>
      <c r="P443" t="s">
        <v>77</v>
      </c>
      <c r="Q443" t="s">
        <v>27</v>
      </c>
      <c r="R443" t="s">
        <v>2094</v>
      </c>
      <c r="T443" t="s">
        <v>2095</v>
      </c>
      <c r="U443" t="s">
        <v>2096</v>
      </c>
    </row>
    <row r="444" spans="1:21" x14ac:dyDescent="0.25">
      <c r="A444" t="s">
        <v>2097</v>
      </c>
      <c r="B444" t="s">
        <v>22</v>
      </c>
      <c r="C444" t="s">
        <v>2098</v>
      </c>
      <c r="D444">
        <f>86-400-821-5500</f>
        <v>-6635</v>
      </c>
      <c r="E444" t="s">
        <v>2099</v>
      </c>
      <c r="F444" t="s">
        <v>2049</v>
      </c>
      <c r="G444" t="s">
        <v>2050</v>
      </c>
      <c r="H444">
        <v>122.120419999999</v>
      </c>
      <c r="I444">
        <v>37.513067999999997</v>
      </c>
      <c r="J444">
        <v>210</v>
      </c>
      <c r="K444" t="s">
        <v>27</v>
      </c>
      <c r="L444" t="s">
        <v>27</v>
      </c>
      <c r="M444" t="s">
        <v>27</v>
      </c>
      <c r="N444" t="s">
        <v>27</v>
      </c>
      <c r="O444" t="s">
        <v>27</v>
      </c>
      <c r="P444" t="s">
        <v>27</v>
      </c>
      <c r="Q444" t="s">
        <v>27</v>
      </c>
      <c r="R444" t="s">
        <v>2100</v>
      </c>
      <c r="T444" t="s">
        <v>2071</v>
      </c>
      <c r="U444" t="s">
        <v>2101</v>
      </c>
    </row>
    <row r="445" spans="1:21" x14ac:dyDescent="0.25">
      <c r="A445" t="s">
        <v>2102</v>
      </c>
      <c r="B445" t="s">
        <v>22</v>
      </c>
      <c r="C445" t="s">
        <v>2103</v>
      </c>
      <c r="D445">
        <f>86-400-821-5500</f>
        <v>-6635</v>
      </c>
      <c r="E445" t="s">
        <v>2104</v>
      </c>
      <c r="F445" t="s">
        <v>2049</v>
      </c>
      <c r="G445" t="s">
        <v>2050</v>
      </c>
      <c r="H445">
        <v>121.41403699999999</v>
      </c>
      <c r="I445">
        <v>31.217110999999999</v>
      </c>
      <c r="J445">
        <v>210</v>
      </c>
      <c r="K445" t="s">
        <v>27</v>
      </c>
      <c r="L445" t="s">
        <v>27</v>
      </c>
      <c r="M445" t="s">
        <v>27</v>
      </c>
      <c r="N445" t="s">
        <v>27</v>
      </c>
      <c r="O445" t="s">
        <v>27</v>
      </c>
      <c r="P445" t="s">
        <v>27</v>
      </c>
      <c r="Q445" t="s">
        <v>27</v>
      </c>
      <c r="R445" t="s">
        <v>2105</v>
      </c>
      <c r="T445" t="s">
        <v>2106</v>
      </c>
      <c r="U445" t="s">
        <v>2107</v>
      </c>
    </row>
    <row r="446" spans="1:21" x14ac:dyDescent="0.25">
      <c r="A446" t="s">
        <v>2108</v>
      </c>
      <c r="B446" t="s">
        <v>22</v>
      </c>
      <c r="C446" t="s">
        <v>2109</v>
      </c>
      <c r="E446" t="s">
        <v>2110</v>
      </c>
      <c r="F446" t="s">
        <v>2049</v>
      </c>
      <c r="G446" t="s">
        <v>2050</v>
      </c>
      <c r="H446">
        <v>117.169269</v>
      </c>
      <c r="I446">
        <v>39.093867000000003</v>
      </c>
      <c r="J446">
        <v>210</v>
      </c>
      <c r="K446" t="s">
        <v>27</v>
      </c>
      <c r="L446" t="s">
        <v>27</v>
      </c>
      <c r="M446" t="s">
        <v>27</v>
      </c>
      <c r="N446" t="s">
        <v>27</v>
      </c>
      <c r="O446" t="s">
        <v>27</v>
      </c>
      <c r="P446" t="s">
        <v>27</v>
      </c>
      <c r="Q446" t="s">
        <v>27</v>
      </c>
      <c r="R446" t="s">
        <v>2111</v>
      </c>
      <c r="T446" t="s">
        <v>2112</v>
      </c>
      <c r="U446" t="s">
        <v>2113</v>
      </c>
    </row>
    <row r="447" spans="1:21" x14ac:dyDescent="0.25">
      <c r="A447" t="s">
        <v>2114</v>
      </c>
      <c r="B447" t="s">
        <v>38</v>
      </c>
      <c r="C447" t="s">
        <v>2115</v>
      </c>
      <c r="E447" t="s">
        <v>2116</v>
      </c>
      <c r="F447" t="s">
        <v>2049</v>
      </c>
      <c r="G447" t="s">
        <v>2050</v>
      </c>
      <c r="H447">
        <v>114.19243899999999</v>
      </c>
      <c r="I447">
        <v>22.643170999999999</v>
      </c>
      <c r="J447">
        <v>210</v>
      </c>
      <c r="K447" t="s">
        <v>27</v>
      </c>
      <c r="L447" t="s">
        <v>27</v>
      </c>
      <c r="M447" t="s">
        <v>27</v>
      </c>
      <c r="N447" t="s">
        <v>27</v>
      </c>
      <c r="O447" t="s">
        <v>77</v>
      </c>
      <c r="P447" t="s">
        <v>77</v>
      </c>
      <c r="Q447" t="s">
        <v>27</v>
      </c>
      <c r="R447" t="s">
        <v>2117</v>
      </c>
      <c r="T447" t="s">
        <v>2095</v>
      </c>
      <c r="U447" t="s">
        <v>2118</v>
      </c>
    </row>
    <row r="448" spans="1:21" x14ac:dyDescent="0.25">
      <c r="A448" t="s">
        <v>2119</v>
      </c>
      <c r="B448" t="s">
        <v>38</v>
      </c>
      <c r="C448" t="s">
        <v>2120</v>
      </c>
      <c r="E448" t="s">
        <v>2121</v>
      </c>
      <c r="F448" t="s">
        <v>2049</v>
      </c>
      <c r="G448" t="s">
        <v>2050</v>
      </c>
      <c r="H448">
        <v>112.868885701983</v>
      </c>
      <c r="I448">
        <v>23.173130774513101</v>
      </c>
      <c r="J448">
        <v>210</v>
      </c>
      <c r="K448" t="s">
        <v>27</v>
      </c>
      <c r="L448" t="s">
        <v>27</v>
      </c>
      <c r="M448" t="s">
        <v>27</v>
      </c>
      <c r="N448" t="s">
        <v>27</v>
      </c>
      <c r="O448" t="s">
        <v>77</v>
      </c>
      <c r="P448" t="s">
        <v>77</v>
      </c>
      <c r="Q448" t="s">
        <v>27</v>
      </c>
      <c r="R448" t="s">
        <v>2122</v>
      </c>
      <c r="T448" t="s">
        <v>2095</v>
      </c>
      <c r="U448" t="s">
        <v>2123</v>
      </c>
    </row>
    <row r="449" spans="1:21" x14ac:dyDescent="0.25">
      <c r="A449" t="s">
        <v>2124</v>
      </c>
      <c r="B449" t="s">
        <v>38</v>
      </c>
      <c r="C449" t="s">
        <v>2125</v>
      </c>
      <c r="E449" t="s">
        <v>2126</v>
      </c>
      <c r="F449" t="s">
        <v>2049</v>
      </c>
      <c r="G449" t="s">
        <v>2050</v>
      </c>
      <c r="H449">
        <v>114.886335</v>
      </c>
      <c r="I449">
        <v>40.767544999999998</v>
      </c>
      <c r="J449">
        <v>210</v>
      </c>
      <c r="K449" t="s">
        <v>27</v>
      </c>
      <c r="L449" t="s">
        <v>27</v>
      </c>
      <c r="M449" t="s">
        <v>27</v>
      </c>
      <c r="N449" t="s">
        <v>27</v>
      </c>
      <c r="O449" t="s">
        <v>27</v>
      </c>
      <c r="P449" t="s">
        <v>27</v>
      </c>
      <c r="Q449" t="s">
        <v>27</v>
      </c>
      <c r="R449" t="s">
        <v>2127</v>
      </c>
      <c r="T449" t="s">
        <v>2128</v>
      </c>
      <c r="U449" t="s">
        <v>2129</v>
      </c>
    </row>
    <row r="450" spans="1:21" x14ac:dyDescent="0.25">
      <c r="A450" t="s">
        <v>2130</v>
      </c>
      <c r="B450" t="s">
        <v>22</v>
      </c>
      <c r="C450" t="s">
        <v>2131</v>
      </c>
      <c r="D450">
        <f>86-400-821-5500</f>
        <v>-6635</v>
      </c>
      <c r="E450" t="s">
        <v>2104</v>
      </c>
      <c r="F450" t="s">
        <v>2049</v>
      </c>
      <c r="G450" t="s">
        <v>2050</v>
      </c>
      <c r="H450">
        <v>121.476962566162</v>
      </c>
      <c r="I450">
        <v>31.210157391558901</v>
      </c>
      <c r="J450">
        <v>210</v>
      </c>
      <c r="K450" t="s">
        <v>27</v>
      </c>
      <c r="L450" t="s">
        <v>27</v>
      </c>
      <c r="M450" t="s">
        <v>27</v>
      </c>
      <c r="N450" t="s">
        <v>27</v>
      </c>
      <c r="O450" t="s">
        <v>27</v>
      </c>
      <c r="P450" t="s">
        <v>27</v>
      </c>
      <c r="Q450" t="s">
        <v>27</v>
      </c>
      <c r="R450" t="s">
        <v>2132</v>
      </c>
      <c r="T450" t="s">
        <v>2106</v>
      </c>
      <c r="U450" t="s">
        <v>2133</v>
      </c>
    </row>
    <row r="451" spans="1:21" x14ac:dyDescent="0.25">
      <c r="A451" t="s">
        <v>2134</v>
      </c>
      <c r="B451" t="s">
        <v>38</v>
      </c>
      <c r="C451" t="s">
        <v>2135</v>
      </c>
      <c r="E451" t="s">
        <v>2136</v>
      </c>
      <c r="F451" t="s">
        <v>2049</v>
      </c>
      <c r="G451" t="s">
        <v>2050</v>
      </c>
      <c r="H451">
        <v>112.534573640258</v>
      </c>
      <c r="I451">
        <v>32.987280344588299</v>
      </c>
      <c r="J451">
        <v>210</v>
      </c>
      <c r="K451" t="s">
        <v>2137</v>
      </c>
      <c r="L451" t="s">
        <v>2137</v>
      </c>
      <c r="M451" t="s">
        <v>2137</v>
      </c>
      <c r="N451" t="s">
        <v>2137</v>
      </c>
      <c r="O451" t="s">
        <v>77</v>
      </c>
      <c r="P451" t="s">
        <v>77</v>
      </c>
      <c r="Q451" t="s">
        <v>77</v>
      </c>
      <c r="R451" t="s">
        <v>2138</v>
      </c>
      <c r="T451" t="s">
        <v>2139</v>
      </c>
      <c r="U451" t="s">
        <v>2140</v>
      </c>
    </row>
    <row r="452" spans="1:21" x14ac:dyDescent="0.25">
      <c r="A452" t="s">
        <v>2141</v>
      </c>
      <c r="B452" t="s">
        <v>38</v>
      </c>
      <c r="C452" t="s">
        <v>2142</v>
      </c>
      <c r="E452" t="s">
        <v>2143</v>
      </c>
      <c r="F452" t="s">
        <v>2049</v>
      </c>
      <c r="G452" t="s">
        <v>2050</v>
      </c>
      <c r="H452">
        <v>113.647128994873</v>
      </c>
      <c r="I452">
        <v>34.818726982606002</v>
      </c>
      <c r="J452">
        <v>210</v>
      </c>
      <c r="K452" t="s">
        <v>27</v>
      </c>
      <c r="L452" t="s">
        <v>27</v>
      </c>
      <c r="M452" t="s">
        <v>27</v>
      </c>
      <c r="N452" t="s">
        <v>27</v>
      </c>
      <c r="O452" t="s">
        <v>27</v>
      </c>
      <c r="P452" t="s">
        <v>27</v>
      </c>
      <c r="Q452" t="s">
        <v>27</v>
      </c>
      <c r="R452" t="s">
        <v>2144</v>
      </c>
      <c r="T452" t="s">
        <v>2139</v>
      </c>
      <c r="U452" t="s">
        <v>2145</v>
      </c>
    </row>
    <row r="453" spans="1:21" x14ac:dyDescent="0.25">
      <c r="A453" t="s">
        <v>2146</v>
      </c>
      <c r="B453" t="s">
        <v>38</v>
      </c>
      <c r="C453" t="s">
        <v>2147</v>
      </c>
      <c r="D453">
        <f>400-821-5500</f>
        <v>-5921</v>
      </c>
      <c r="E453" t="s">
        <v>2148</v>
      </c>
      <c r="F453" t="s">
        <v>2049</v>
      </c>
      <c r="G453" t="s">
        <v>2050</v>
      </c>
      <c r="H453">
        <v>104.643215</v>
      </c>
      <c r="I453">
        <v>28.751768999999999</v>
      </c>
      <c r="J453">
        <v>210</v>
      </c>
      <c r="K453" t="s">
        <v>2137</v>
      </c>
      <c r="L453" t="s">
        <v>2137</v>
      </c>
      <c r="M453" t="s">
        <v>2137</v>
      </c>
      <c r="N453" t="s">
        <v>2137</v>
      </c>
      <c r="O453" t="s">
        <v>27</v>
      </c>
      <c r="P453" t="s">
        <v>27</v>
      </c>
      <c r="Q453" t="s">
        <v>2137</v>
      </c>
      <c r="R453" t="s">
        <v>2149</v>
      </c>
      <c r="T453" t="s">
        <v>2150</v>
      </c>
      <c r="U453" t="s">
        <v>2151</v>
      </c>
    </row>
    <row r="454" spans="1:21" x14ac:dyDescent="0.25">
      <c r="A454" t="s">
        <v>2152</v>
      </c>
      <c r="B454" t="s">
        <v>38</v>
      </c>
      <c r="C454" t="s">
        <v>2153</v>
      </c>
      <c r="D454">
        <f>400-821-5500</f>
        <v>-5921</v>
      </c>
      <c r="E454" t="s">
        <v>2154</v>
      </c>
      <c r="F454" t="s">
        <v>2049</v>
      </c>
      <c r="G454" t="s">
        <v>2050</v>
      </c>
      <c r="H454">
        <v>109.40980619827199</v>
      </c>
      <c r="I454">
        <v>24.320452192326499</v>
      </c>
      <c r="J454">
        <v>210</v>
      </c>
      <c r="K454" t="s">
        <v>27</v>
      </c>
      <c r="L454" t="s">
        <v>27</v>
      </c>
      <c r="M454" t="s">
        <v>27</v>
      </c>
      <c r="N454" t="s">
        <v>27</v>
      </c>
      <c r="O454" t="s">
        <v>77</v>
      </c>
      <c r="P454" t="s">
        <v>77</v>
      </c>
      <c r="Q454" t="s">
        <v>77</v>
      </c>
      <c r="R454" t="s">
        <v>2155</v>
      </c>
      <c r="T454" t="s">
        <v>2156</v>
      </c>
      <c r="U454" t="s">
        <v>2157</v>
      </c>
    </row>
    <row r="455" spans="1:21" x14ac:dyDescent="0.25">
      <c r="A455" t="s">
        <v>2158</v>
      </c>
      <c r="B455" t="s">
        <v>22</v>
      </c>
      <c r="C455" t="s">
        <v>2159</v>
      </c>
      <c r="D455">
        <f>86-25-58102082</f>
        <v>-58102021</v>
      </c>
      <c r="E455" t="s">
        <v>2160</v>
      </c>
      <c r="F455" t="s">
        <v>2049</v>
      </c>
      <c r="G455" t="s">
        <v>2050</v>
      </c>
      <c r="H455">
        <v>118.727354142333</v>
      </c>
      <c r="I455">
        <v>32.127297312044398</v>
      </c>
      <c r="J455">
        <v>210</v>
      </c>
      <c r="K455" t="s">
        <v>27</v>
      </c>
      <c r="L455" t="s">
        <v>27</v>
      </c>
      <c r="M455" t="s">
        <v>27</v>
      </c>
      <c r="N455" t="s">
        <v>27</v>
      </c>
      <c r="O455" t="s">
        <v>27</v>
      </c>
      <c r="P455" t="s">
        <v>2069</v>
      </c>
      <c r="Q455" t="s">
        <v>2069</v>
      </c>
      <c r="R455" t="s">
        <v>2161</v>
      </c>
      <c r="T455" t="s">
        <v>2063</v>
      </c>
      <c r="U455" t="s">
        <v>2162</v>
      </c>
    </row>
    <row r="456" spans="1:21" x14ac:dyDescent="0.25">
      <c r="A456" t="s">
        <v>2163</v>
      </c>
      <c r="B456" t="s">
        <v>22</v>
      </c>
      <c r="C456" t="s">
        <v>2164</v>
      </c>
      <c r="E456" t="s">
        <v>2165</v>
      </c>
      <c r="F456" t="s">
        <v>2049</v>
      </c>
      <c r="G456" t="s">
        <v>2050</v>
      </c>
      <c r="H456">
        <v>113.380665788268</v>
      </c>
      <c r="I456">
        <v>22.533410531145801</v>
      </c>
      <c r="J456">
        <v>210</v>
      </c>
      <c r="K456" t="s">
        <v>27</v>
      </c>
      <c r="L456" t="s">
        <v>27</v>
      </c>
      <c r="M456" t="s">
        <v>27</v>
      </c>
      <c r="N456" t="s">
        <v>27</v>
      </c>
      <c r="O456" t="s">
        <v>77</v>
      </c>
      <c r="P456" t="s">
        <v>77</v>
      </c>
      <c r="Q456" t="s">
        <v>27</v>
      </c>
      <c r="R456" t="s">
        <v>2166</v>
      </c>
      <c r="T456" t="s">
        <v>2095</v>
      </c>
      <c r="U456" t="s">
        <v>2167</v>
      </c>
    </row>
    <row r="457" spans="1:21" x14ac:dyDescent="0.25">
      <c r="A457" t="s">
        <v>2168</v>
      </c>
      <c r="B457" t="s">
        <v>22</v>
      </c>
      <c r="C457" t="s">
        <v>2169</v>
      </c>
      <c r="D457">
        <f>86-551-62817761</f>
        <v>-62818226</v>
      </c>
      <c r="E457" t="s">
        <v>2170</v>
      </c>
      <c r="F457" t="s">
        <v>2049</v>
      </c>
      <c r="G457" t="s">
        <v>2050</v>
      </c>
      <c r="H457">
        <v>117.289210214752</v>
      </c>
      <c r="I457">
        <v>31.858143626032099</v>
      </c>
      <c r="J457">
        <v>210</v>
      </c>
      <c r="K457" t="s">
        <v>290</v>
      </c>
      <c r="L457" t="s">
        <v>290</v>
      </c>
      <c r="M457" t="s">
        <v>290</v>
      </c>
      <c r="N457" t="s">
        <v>290</v>
      </c>
      <c r="O457" t="s">
        <v>2068</v>
      </c>
      <c r="P457" t="s">
        <v>2068</v>
      </c>
      <c r="Q457" t="s">
        <v>290</v>
      </c>
      <c r="R457" t="s">
        <v>2171</v>
      </c>
      <c r="T457" t="s">
        <v>2172</v>
      </c>
      <c r="U457" t="s">
        <v>2173</v>
      </c>
    </row>
    <row r="458" spans="1:21" x14ac:dyDescent="0.25">
      <c r="A458" t="s">
        <v>2174</v>
      </c>
      <c r="B458" t="s">
        <v>38</v>
      </c>
      <c r="C458" t="s">
        <v>2175</v>
      </c>
      <c r="D458">
        <f>86-400-821-5500</f>
        <v>-6635</v>
      </c>
      <c r="E458" t="s">
        <v>2176</v>
      </c>
      <c r="F458" t="s">
        <v>2049</v>
      </c>
      <c r="G458" t="s">
        <v>2050</v>
      </c>
      <c r="H458">
        <v>120.20929366113199</v>
      </c>
      <c r="I458">
        <v>29.283659192933602</v>
      </c>
      <c r="J458">
        <v>210</v>
      </c>
      <c r="K458" t="s">
        <v>27</v>
      </c>
      <c r="L458" t="s">
        <v>27</v>
      </c>
      <c r="M458" t="s">
        <v>27</v>
      </c>
      <c r="N458" t="s">
        <v>27</v>
      </c>
      <c r="O458" t="s">
        <v>27</v>
      </c>
      <c r="P458" t="s">
        <v>27</v>
      </c>
      <c r="Q458" t="s">
        <v>27</v>
      </c>
      <c r="R458" t="s">
        <v>2177</v>
      </c>
      <c r="T458" t="s">
        <v>2052</v>
      </c>
      <c r="U458" t="s">
        <v>2178</v>
      </c>
    </row>
    <row r="459" spans="1:21" x14ac:dyDescent="0.25">
      <c r="A459" t="s">
        <v>2179</v>
      </c>
      <c r="B459" t="s">
        <v>38</v>
      </c>
      <c r="C459" t="s">
        <v>2180</v>
      </c>
      <c r="D459">
        <f>86-314-5560263</f>
        <v>-5560491</v>
      </c>
      <c r="E459" t="s">
        <v>2181</v>
      </c>
      <c r="F459" t="s">
        <v>2049</v>
      </c>
      <c r="G459" t="s">
        <v>2050</v>
      </c>
      <c r="H459">
        <v>117.944232028961</v>
      </c>
      <c r="I459">
        <v>40.978590903585101</v>
      </c>
      <c r="J459">
        <v>210</v>
      </c>
      <c r="K459" t="s">
        <v>27</v>
      </c>
      <c r="L459" t="s">
        <v>27</v>
      </c>
      <c r="M459" t="s">
        <v>27</v>
      </c>
      <c r="N459" t="s">
        <v>27</v>
      </c>
      <c r="O459" t="s">
        <v>27</v>
      </c>
      <c r="P459" t="s">
        <v>27</v>
      </c>
      <c r="Q459" t="s">
        <v>27</v>
      </c>
      <c r="R459" t="s">
        <v>2182</v>
      </c>
      <c r="T459" t="s">
        <v>2128</v>
      </c>
      <c r="U459" t="s">
        <v>2183</v>
      </c>
    </row>
    <row r="460" spans="1:21" x14ac:dyDescent="0.25">
      <c r="A460" t="s">
        <v>2184</v>
      </c>
      <c r="B460" t="s">
        <v>22</v>
      </c>
      <c r="C460" t="s">
        <v>2086</v>
      </c>
      <c r="E460" t="s">
        <v>2185</v>
      </c>
      <c r="F460" t="s">
        <v>2049</v>
      </c>
      <c r="G460" t="s">
        <v>2050</v>
      </c>
      <c r="H460">
        <v>114.478424872741</v>
      </c>
      <c r="I460">
        <v>38.042678779631501</v>
      </c>
      <c r="J460">
        <v>210</v>
      </c>
      <c r="K460" t="s">
        <v>27</v>
      </c>
      <c r="L460" t="s">
        <v>27</v>
      </c>
      <c r="M460" t="s">
        <v>27</v>
      </c>
      <c r="N460" t="s">
        <v>27</v>
      </c>
      <c r="O460" t="s">
        <v>27</v>
      </c>
      <c r="P460" t="s">
        <v>27</v>
      </c>
      <c r="Q460" t="s">
        <v>27</v>
      </c>
      <c r="R460" t="s">
        <v>2186</v>
      </c>
      <c r="T460" t="s">
        <v>2128</v>
      </c>
      <c r="U460" t="s">
        <v>2187</v>
      </c>
    </row>
    <row r="461" spans="1:21" x14ac:dyDescent="0.25">
      <c r="A461" t="s">
        <v>2188</v>
      </c>
      <c r="B461" t="s">
        <v>38</v>
      </c>
      <c r="C461" t="s">
        <v>2189</v>
      </c>
      <c r="D461">
        <f>86-400-821-5500</f>
        <v>-6635</v>
      </c>
      <c r="E461" t="s">
        <v>2067</v>
      </c>
      <c r="F461" t="s">
        <v>2049</v>
      </c>
      <c r="G461" t="s">
        <v>2050</v>
      </c>
      <c r="H461">
        <v>120.229143729003</v>
      </c>
      <c r="I461">
        <v>35.959079691824698</v>
      </c>
      <c r="J461">
        <v>210</v>
      </c>
      <c r="K461" t="s">
        <v>27</v>
      </c>
      <c r="L461" t="s">
        <v>27</v>
      </c>
      <c r="M461" t="s">
        <v>27</v>
      </c>
      <c r="N461" t="s">
        <v>27</v>
      </c>
      <c r="O461" t="s">
        <v>27</v>
      </c>
      <c r="P461" t="s">
        <v>27</v>
      </c>
      <c r="Q461" t="s">
        <v>27</v>
      </c>
      <c r="R461" t="s">
        <v>2190</v>
      </c>
      <c r="T461" t="s">
        <v>2071</v>
      </c>
      <c r="U461" t="s">
        <v>2191</v>
      </c>
    </row>
    <row r="462" spans="1:21" x14ac:dyDescent="0.25">
      <c r="A462" t="s">
        <v>2192</v>
      </c>
      <c r="B462" t="s">
        <v>38</v>
      </c>
      <c r="C462" t="s">
        <v>2193</v>
      </c>
      <c r="E462" t="s">
        <v>2116</v>
      </c>
      <c r="F462" t="s">
        <v>2049</v>
      </c>
      <c r="G462" t="s">
        <v>2050</v>
      </c>
      <c r="H462">
        <v>114.345201</v>
      </c>
      <c r="I462">
        <v>22.699019</v>
      </c>
      <c r="J462">
        <v>210</v>
      </c>
      <c r="K462" t="s">
        <v>27</v>
      </c>
      <c r="L462" t="s">
        <v>27</v>
      </c>
      <c r="M462" t="s">
        <v>27</v>
      </c>
      <c r="N462" t="s">
        <v>27</v>
      </c>
      <c r="O462" t="s">
        <v>77</v>
      </c>
      <c r="P462" t="s">
        <v>77</v>
      </c>
      <c r="Q462" t="s">
        <v>27</v>
      </c>
      <c r="R462" t="s">
        <v>2194</v>
      </c>
      <c r="T462" t="s">
        <v>2095</v>
      </c>
      <c r="U462" t="s">
        <v>2195</v>
      </c>
    </row>
    <row r="463" spans="1:21" x14ac:dyDescent="0.25">
      <c r="A463" t="s">
        <v>2196</v>
      </c>
      <c r="B463" t="s">
        <v>38</v>
      </c>
      <c r="C463" t="s">
        <v>2197</v>
      </c>
      <c r="D463">
        <f>86-400-821-5500</f>
        <v>-6635</v>
      </c>
      <c r="E463" t="s">
        <v>2198</v>
      </c>
      <c r="F463" t="s">
        <v>2049</v>
      </c>
      <c r="G463" t="s">
        <v>2050</v>
      </c>
      <c r="H463">
        <v>113.196626763512</v>
      </c>
      <c r="I463">
        <v>23.138286954268899</v>
      </c>
      <c r="J463">
        <v>210</v>
      </c>
      <c r="K463" t="s">
        <v>27</v>
      </c>
      <c r="L463" t="s">
        <v>27</v>
      </c>
      <c r="M463" t="s">
        <v>27</v>
      </c>
      <c r="N463" t="s">
        <v>27</v>
      </c>
      <c r="O463" t="s">
        <v>77</v>
      </c>
      <c r="P463" t="s">
        <v>77</v>
      </c>
      <c r="Q463" t="s">
        <v>27</v>
      </c>
      <c r="R463" t="s">
        <v>2199</v>
      </c>
      <c r="T463" t="s">
        <v>2095</v>
      </c>
      <c r="U463" t="s">
        <v>2200</v>
      </c>
    </row>
    <row r="464" spans="1:21" x14ac:dyDescent="0.25">
      <c r="A464" t="s">
        <v>2201</v>
      </c>
      <c r="B464" t="s">
        <v>38</v>
      </c>
      <c r="C464" t="s">
        <v>2202</v>
      </c>
      <c r="E464" t="s">
        <v>2203</v>
      </c>
      <c r="F464" t="s">
        <v>2049</v>
      </c>
      <c r="G464" t="s">
        <v>2050</v>
      </c>
      <c r="H464">
        <v>114.305392999999</v>
      </c>
      <c r="I464">
        <v>30.698842152971</v>
      </c>
      <c r="J464">
        <v>210</v>
      </c>
      <c r="R464" t="s">
        <v>2202</v>
      </c>
      <c r="U464" t="s">
        <v>2204</v>
      </c>
    </row>
    <row r="465" spans="1:21" x14ac:dyDescent="0.25">
      <c r="A465" t="s">
        <v>2205</v>
      </c>
      <c r="B465" t="s">
        <v>38</v>
      </c>
      <c r="C465" t="s">
        <v>2206</v>
      </c>
      <c r="D465">
        <f>400-821-5500</f>
        <v>-5921</v>
      </c>
      <c r="E465" t="s">
        <v>2207</v>
      </c>
      <c r="F465" t="s">
        <v>2049</v>
      </c>
      <c r="G465" t="s">
        <v>2050</v>
      </c>
      <c r="H465">
        <v>118.675676</v>
      </c>
      <c r="I465">
        <v>24.874131999999999</v>
      </c>
      <c r="J465">
        <v>210</v>
      </c>
      <c r="K465" t="s">
        <v>27</v>
      </c>
      <c r="L465" t="s">
        <v>27</v>
      </c>
      <c r="M465" t="s">
        <v>27</v>
      </c>
      <c r="N465" t="s">
        <v>27</v>
      </c>
      <c r="O465" t="s">
        <v>27</v>
      </c>
      <c r="P465" t="s">
        <v>27</v>
      </c>
      <c r="Q465" t="s">
        <v>27</v>
      </c>
      <c r="R465" t="s">
        <v>2208</v>
      </c>
      <c r="T465" t="s">
        <v>2209</v>
      </c>
      <c r="U465" t="s">
        <v>2210</v>
      </c>
    </row>
    <row r="466" spans="1:21" x14ac:dyDescent="0.25">
      <c r="A466" t="s">
        <v>2211</v>
      </c>
      <c r="B466" t="s">
        <v>38</v>
      </c>
      <c r="C466" t="s">
        <v>2212</v>
      </c>
      <c r="D466">
        <f>86-3752398229</f>
        <v>-3752398143</v>
      </c>
      <c r="E466" t="s">
        <v>2213</v>
      </c>
      <c r="F466" t="s">
        <v>2049</v>
      </c>
      <c r="G466" t="s">
        <v>2050</v>
      </c>
      <c r="H466">
        <v>113.334796620117</v>
      </c>
      <c r="I466">
        <v>33.733912760982399</v>
      </c>
      <c r="J466">
        <v>210</v>
      </c>
      <c r="K466" t="s">
        <v>27</v>
      </c>
      <c r="L466" t="s">
        <v>27</v>
      </c>
      <c r="M466" t="s">
        <v>27</v>
      </c>
      <c r="N466" t="s">
        <v>27</v>
      </c>
      <c r="O466" t="s">
        <v>27</v>
      </c>
      <c r="P466" t="s">
        <v>27</v>
      </c>
      <c r="Q466" t="s">
        <v>27</v>
      </c>
      <c r="R466" t="s">
        <v>2214</v>
      </c>
      <c r="T466" t="s">
        <v>2139</v>
      </c>
      <c r="U466" t="s">
        <v>2215</v>
      </c>
    </row>
    <row r="467" spans="1:21" x14ac:dyDescent="0.25">
      <c r="A467" t="s">
        <v>2216</v>
      </c>
      <c r="B467" t="s">
        <v>38</v>
      </c>
      <c r="C467" t="s">
        <v>2217</v>
      </c>
      <c r="E467" t="s">
        <v>2218</v>
      </c>
      <c r="F467" t="s">
        <v>2049</v>
      </c>
      <c r="G467" t="s">
        <v>2050</v>
      </c>
      <c r="H467">
        <v>101.813929566406</v>
      </c>
      <c r="I467">
        <v>36.604457001133298</v>
      </c>
      <c r="J467">
        <v>210</v>
      </c>
      <c r="K467" t="s">
        <v>27</v>
      </c>
      <c r="L467" t="s">
        <v>27</v>
      </c>
      <c r="M467" t="s">
        <v>27</v>
      </c>
      <c r="N467" t="s">
        <v>27</v>
      </c>
      <c r="O467" t="s">
        <v>27</v>
      </c>
      <c r="P467" t="s">
        <v>27</v>
      </c>
      <c r="Q467" t="s">
        <v>27</v>
      </c>
      <c r="R467" t="s">
        <v>2219</v>
      </c>
      <c r="U467" t="s">
        <v>2220</v>
      </c>
    </row>
    <row r="468" spans="1:21" x14ac:dyDescent="0.25">
      <c r="A468" t="s">
        <v>2221</v>
      </c>
      <c r="B468" t="s">
        <v>38</v>
      </c>
      <c r="C468" t="s">
        <v>2222</v>
      </c>
      <c r="D468">
        <f>400-821-5500</f>
        <v>-5921</v>
      </c>
      <c r="E468" t="s">
        <v>2223</v>
      </c>
      <c r="F468" t="s">
        <v>2049</v>
      </c>
      <c r="G468" t="s">
        <v>2050</v>
      </c>
      <c r="H468">
        <v>109.125266852181</v>
      </c>
      <c r="I468">
        <v>21.458755117566501</v>
      </c>
      <c r="J468">
        <v>210</v>
      </c>
      <c r="K468" t="s">
        <v>27</v>
      </c>
      <c r="L468" t="s">
        <v>27</v>
      </c>
      <c r="M468" t="s">
        <v>27</v>
      </c>
      <c r="N468" t="s">
        <v>27</v>
      </c>
      <c r="O468" t="s">
        <v>77</v>
      </c>
      <c r="P468" t="s">
        <v>77</v>
      </c>
      <c r="Q468" t="s">
        <v>77</v>
      </c>
      <c r="R468" t="s">
        <v>2224</v>
      </c>
      <c r="T468" t="s">
        <v>2156</v>
      </c>
      <c r="U468" t="s">
        <v>2225</v>
      </c>
    </row>
    <row r="469" spans="1:21" x14ac:dyDescent="0.25">
      <c r="A469" t="s">
        <v>2226</v>
      </c>
      <c r="B469" t="s">
        <v>38</v>
      </c>
      <c r="C469" t="s">
        <v>2227</v>
      </c>
      <c r="E469" t="s">
        <v>2228</v>
      </c>
      <c r="F469" t="s">
        <v>2049</v>
      </c>
      <c r="G469" t="s">
        <v>2050</v>
      </c>
      <c r="H469">
        <v>113.4004485</v>
      </c>
      <c r="I469">
        <v>23.113779600000001</v>
      </c>
      <c r="J469">
        <v>210</v>
      </c>
      <c r="K469" t="s">
        <v>2229</v>
      </c>
      <c r="L469" t="s">
        <v>2229</v>
      </c>
      <c r="M469" t="s">
        <v>2229</v>
      </c>
      <c r="N469" t="s">
        <v>2229</v>
      </c>
      <c r="O469" t="s">
        <v>2230</v>
      </c>
      <c r="P469" t="s">
        <v>2230</v>
      </c>
      <c r="Q469" t="s">
        <v>2230</v>
      </c>
      <c r="R469" t="s">
        <v>2231</v>
      </c>
      <c r="T469" t="s">
        <v>2232</v>
      </c>
      <c r="U469" t="s">
        <v>2233</v>
      </c>
    </row>
    <row r="470" spans="1:21" x14ac:dyDescent="0.25">
      <c r="A470" t="s">
        <v>2234</v>
      </c>
      <c r="B470" t="s">
        <v>38</v>
      </c>
      <c r="C470" t="s">
        <v>2227</v>
      </c>
      <c r="E470" t="s">
        <v>2235</v>
      </c>
      <c r="F470" t="s">
        <v>2049</v>
      </c>
      <c r="G470" t="s">
        <v>2050</v>
      </c>
      <c r="H470">
        <v>87.308224999999993</v>
      </c>
      <c r="I470">
        <v>44.011183000000003</v>
      </c>
      <c r="J470">
        <v>210</v>
      </c>
      <c r="K470" t="s">
        <v>2236</v>
      </c>
      <c r="L470" t="s">
        <v>2236</v>
      </c>
      <c r="M470" t="s">
        <v>2236</v>
      </c>
      <c r="N470" t="s">
        <v>2236</v>
      </c>
      <c r="O470" t="s">
        <v>2236</v>
      </c>
      <c r="P470" t="s">
        <v>2236</v>
      </c>
      <c r="Q470" t="s">
        <v>2236</v>
      </c>
      <c r="R470" t="s">
        <v>2237</v>
      </c>
      <c r="T470" t="s">
        <v>2232</v>
      </c>
      <c r="U470" t="s">
        <v>2238</v>
      </c>
    </row>
    <row r="471" spans="1:21" x14ac:dyDescent="0.25">
      <c r="A471" t="s">
        <v>2239</v>
      </c>
      <c r="B471" t="s">
        <v>22</v>
      </c>
      <c r="C471" t="s">
        <v>2240</v>
      </c>
      <c r="E471" t="s">
        <v>2241</v>
      </c>
      <c r="F471" t="s">
        <v>2049</v>
      </c>
      <c r="G471" t="s">
        <v>2050</v>
      </c>
      <c r="H471">
        <v>103.83430399999899</v>
      </c>
      <c r="I471">
        <v>36.061089000000003</v>
      </c>
      <c r="J471">
        <v>210</v>
      </c>
      <c r="K471" t="s">
        <v>27</v>
      </c>
      <c r="L471" t="s">
        <v>27</v>
      </c>
      <c r="M471" t="s">
        <v>27</v>
      </c>
      <c r="N471" t="s">
        <v>27</v>
      </c>
      <c r="O471" t="s">
        <v>27</v>
      </c>
      <c r="P471" t="s">
        <v>27</v>
      </c>
      <c r="Q471" t="s">
        <v>27</v>
      </c>
      <c r="R471" t="s">
        <v>2242</v>
      </c>
      <c r="T471" t="s">
        <v>2243</v>
      </c>
      <c r="U471" t="s">
        <v>2244</v>
      </c>
    </row>
    <row r="472" spans="1:21" x14ac:dyDescent="0.25">
      <c r="A472" t="s">
        <v>2245</v>
      </c>
      <c r="B472" t="s">
        <v>38</v>
      </c>
      <c r="C472" t="s">
        <v>2246</v>
      </c>
      <c r="E472" t="s">
        <v>2247</v>
      </c>
      <c r="F472" t="s">
        <v>2049</v>
      </c>
      <c r="G472" t="s">
        <v>2050</v>
      </c>
      <c r="H472">
        <v>115.670176999999</v>
      </c>
      <c r="I472">
        <v>37.73892</v>
      </c>
      <c r="J472">
        <v>210</v>
      </c>
      <c r="K472" t="s">
        <v>27</v>
      </c>
      <c r="L472" t="s">
        <v>27</v>
      </c>
      <c r="M472" t="s">
        <v>27</v>
      </c>
      <c r="N472" t="s">
        <v>27</v>
      </c>
      <c r="O472" t="s">
        <v>27</v>
      </c>
      <c r="P472" t="s">
        <v>27</v>
      </c>
      <c r="Q472" t="s">
        <v>27</v>
      </c>
      <c r="R472" t="s">
        <v>2248</v>
      </c>
      <c r="T472" t="s">
        <v>2128</v>
      </c>
      <c r="U472" t="s">
        <v>2249</v>
      </c>
    </row>
    <row r="473" spans="1:21" x14ac:dyDescent="0.25">
      <c r="A473" t="s">
        <v>2250</v>
      </c>
      <c r="B473" t="s">
        <v>22</v>
      </c>
      <c r="C473" t="s">
        <v>2251</v>
      </c>
      <c r="D473">
        <f>86-400-821-5500</f>
        <v>-6635</v>
      </c>
      <c r="E473" t="s">
        <v>2252</v>
      </c>
      <c r="F473" t="s">
        <v>2049</v>
      </c>
      <c r="G473" t="s">
        <v>2050</v>
      </c>
      <c r="H473">
        <v>126.494133049957</v>
      </c>
      <c r="I473">
        <v>45.799107744207397</v>
      </c>
      <c r="J473">
        <v>210</v>
      </c>
      <c r="K473" t="s">
        <v>2068</v>
      </c>
      <c r="L473" t="s">
        <v>2068</v>
      </c>
      <c r="M473" t="s">
        <v>2068</v>
      </c>
      <c r="N473" t="s">
        <v>2068</v>
      </c>
      <c r="O473" t="s">
        <v>2068</v>
      </c>
      <c r="P473" t="s">
        <v>2068</v>
      </c>
      <c r="Q473" t="s">
        <v>2068</v>
      </c>
      <c r="R473" t="s">
        <v>2253</v>
      </c>
      <c r="T473" t="s">
        <v>2254</v>
      </c>
      <c r="U473" t="s">
        <v>2255</v>
      </c>
    </row>
    <row r="474" spans="1:21" x14ac:dyDescent="0.25">
      <c r="A474" t="s">
        <v>2256</v>
      </c>
      <c r="B474" t="s">
        <v>38</v>
      </c>
      <c r="C474" t="s">
        <v>2257</v>
      </c>
      <c r="D474">
        <f>86-2258828068</f>
        <v>-2258827982</v>
      </c>
      <c r="E474" t="s">
        <v>2110</v>
      </c>
      <c r="F474" t="s">
        <v>2049</v>
      </c>
      <c r="G474" t="s">
        <v>2050</v>
      </c>
      <c r="H474">
        <v>117.676656675537</v>
      </c>
      <c r="I474">
        <v>39.015302294226203</v>
      </c>
      <c r="J474">
        <v>210</v>
      </c>
      <c r="K474" t="s">
        <v>27</v>
      </c>
      <c r="L474" t="s">
        <v>27</v>
      </c>
      <c r="M474" t="s">
        <v>27</v>
      </c>
      <c r="N474" t="s">
        <v>27</v>
      </c>
      <c r="O474" t="s">
        <v>27</v>
      </c>
      <c r="P474" t="s">
        <v>27</v>
      </c>
      <c r="Q474" t="s">
        <v>27</v>
      </c>
      <c r="R474" t="s">
        <v>2258</v>
      </c>
      <c r="T474" t="s">
        <v>2112</v>
      </c>
      <c r="U474" t="s">
        <v>2259</v>
      </c>
    </row>
    <row r="475" spans="1:21" x14ac:dyDescent="0.25">
      <c r="A475" t="s">
        <v>2260</v>
      </c>
      <c r="B475" t="s">
        <v>38</v>
      </c>
      <c r="C475" t="s">
        <v>2261</v>
      </c>
      <c r="D475">
        <f>86-400-821-5500</f>
        <v>-6635</v>
      </c>
      <c r="E475" t="s">
        <v>2262</v>
      </c>
      <c r="F475" t="s">
        <v>2049</v>
      </c>
      <c r="G475" t="s">
        <v>2050</v>
      </c>
      <c r="H475">
        <v>121.12650267724599</v>
      </c>
      <c r="I475">
        <v>41.090348426355902</v>
      </c>
      <c r="J475">
        <v>210</v>
      </c>
      <c r="K475" t="s">
        <v>27</v>
      </c>
      <c r="L475" t="s">
        <v>27</v>
      </c>
      <c r="M475" t="s">
        <v>27</v>
      </c>
      <c r="N475" t="s">
        <v>27</v>
      </c>
      <c r="O475" t="s">
        <v>27</v>
      </c>
      <c r="P475" t="s">
        <v>27</v>
      </c>
      <c r="Q475" t="s">
        <v>27</v>
      </c>
      <c r="R475" t="s">
        <v>2263</v>
      </c>
      <c r="T475" t="s">
        <v>2083</v>
      </c>
      <c r="U475" t="s">
        <v>2264</v>
      </c>
    </row>
    <row r="476" spans="1:21" x14ac:dyDescent="0.25">
      <c r="A476" t="s">
        <v>2265</v>
      </c>
      <c r="B476" t="s">
        <v>38</v>
      </c>
      <c r="C476" t="s">
        <v>2266</v>
      </c>
      <c r="D476">
        <f>86-400-821-5500</f>
        <v>-6635</v>
      </c>
      <c r="E476" t="s">
        <v>2267</v>
      </c>
      <c r="F476" t="s">
        <v>2049</v>
      </c>
      <c r="G476" t="s">
        <v>2050</v>
      </c>
      <c r="H476">
        <v>112.738576767089</v>
      </c>
      <c r="I476">
        <v>37.717849084282001</v>
      </c>
      <c r="J476">
        <v>210</v>
      </c>
      <c r="K476" t="s">
        <v>27</v>
      </c>
      <c r="L476" t="s">
        <v>27</v>
      </c>
      <c r="M476" t="s">
        <v>27</v>
      </c>
      <c r="N476" t="s">
        <v>27</v>
      </c>
      <c r="O476" t="s">
        <v>27</v>
      </c>
      <c r="P476" t="s">
        <v>27</v>
      </c>
      <c r="Q476" t="s">
        <v>27</v>
      </c>
      <c r="R476" t="s">
        <v>2268</v>
      </c>
      <c r="T476" t="s">
        <v>2269</v>
      </c>
      <c r="U476" t="s">
        <v>2270</v>
      </c>
    </row>
    <row r="477" spans="1:21" x14ac:dyDescent="0.25">
      <c r="A477" t="s">
        <v>2271</v>
      </c>
      <c r="B477" t="s">
        <v>38</v>
      </c>
      <c r="C477" t="s">
        <v>2272</v>
      </c>
      <c r="D477">
        <f>86-471-3295668</f>
        <v>-3296053</v>
      </c>
      <c r="E477" t="s">
        <v>2273</v>
      </c>
      <c r="F477" t="s">
        <v>2049</v>
      </c>
      <c r="G477" t="s">
        <v>2050</v>
      </c>
      <c r="H477">
        <v>111.618031708007</v>
      </c>
      <c r="I477">
        <v>40.825960399158497</v>
      </c>
      <c r="J477">
        <v>210</v>
      </c>
      <c r="K477" t="s">
        <v>27</v>
      </c>
      <c r="L477" t="s">
        <v>27</v>
      </c>
      <c r="M477" t="s">
        <v>27</v>
      </c>
      <c r="N477" t="s">
        <v>27</v>
      </c>
      <c r="O477" t="s">
        <v>27</v>
      </c>
      <c r="P477" t="s">
        <v>27</v>
      </c>
      <c r="Q477" t="s">
        <v>27</v>
      </c>
      <c r="R477" t="s">
        <v>2274</v>
      </c>
      <c r="T477" t="s">
        <v>2275</v>
      </c>
      <c r="U477" t="s">
        <v>2276</v>
      </c>
    </row>
    <row r="478" spans="1:21" x14ac:dyDescent="0.25">
      <c r="A478" t="s">
        <v>2277</v>
      </c>
      <c r="B478" t="s">
        <v>38</v>
      </c>
      <c r="C478" t="s">
        <v>2278</v>
      </c>
      <c r="D478">
        <f>86-400-821-5500</f>
        <v>-6635</v>
      </c>
      <c r="E478" t="s">
        <v>2279</v>
      </c>
      <c r="F478" t="s">
        <v>2049</v>
      </c>
      <c r="G478" t="s">
        <v>2050</v>
      </c>
      <c r="H478">
        <v>121.5401539288</v>
      </c>
      <c r="I478">
        <v>38.949199101378902</v>
      </c>
      <c r="J478">
        <v>210</v>
      </c>
      <c r="K478" t="s">
        <v>2068</v>
      </c>
      <c r="L478" t="s">
        <v>2068</v>
      </c>
      <c r="M478" t="s">
        <v>2068</v>
      </c>
      <c r="N478" t="s">
        <v>2068</v>
      </c>
      <c r="O478" t="s">
        <v>2068</v>
      </c>
      <c r="P478" t="s">
        <v>2068</v>
      </c>
      <c r="Q478" t="s">
        <v>2068</v>
      </c>
      <c r="R478" t="s">
        <v>2280</v>
      </c>
      <c r="T478" t="s">
        <v>2083</v>
      </c>
      <c r="U478" t="s">
        <v>2281</v>
      </c>
    </row>
    <row r="479" spans="1:21" x14ac:dyDescent="0.25">
      <c r="A479" t="s">
        <v>2282</v>
      </c>
      <c r="B479" t="s">
        <v>22</v>
      </c>
      <c r="C479" t="s">
        <v>2283</v>
      </c>
      <c r="E479" t="s">
        <v>2087</v>
      </c>
      <c r="F479" t="s">
        <v>2049</v>
      </c>
      <c r="G479" t="s">
        <v>2050</v>
      </c>
      <c r="H479">
        <v>116.450868243713</v>
      </c>
      <c r="I479">
        <v>39.916818633820398</v>
      </c>
      <c r="J479">
        <v>210</v>
      </c>
      <c r="K479" t="s">
        <v>27</v>
      </c>
      <c r="L479" t="s">
        <v>27</v>
      </c>
      <c r="M479" t="s">
        <v>27</v>
      </c>
      <c r="N479" t="s">
        <v>27</v>
      </c>
      <c r="O479" t="s">
        <v>27</v>
      </c>
      <c r="P479" t="s">
        <v>27</v>
      </c>
      <c r="Q479" t="s">
        <v>27</v>
      </c>
      <c r="R479" t="s">
        <v>2284</v>
      </c>
      <c r="T479" t="s">
        <v>2089</v>
      </c>
      <c r="U479" t="s">
        <v>2285</v>
      </c>
    </row>
    <row r="480" spans="1:21" x14ac:dyDescent="0.25">
      <c r="A480" t="s">
        <v>2286</v>
      </c>
      <c r="B480" t="s">
        <v>22</v>
      </c>
      <c r="C480" t="s">
        <v>2287</v>
      </c>
      <c r="E480" t="s">
        <v>2288</v>
      </c>
      <c r="F480" t="s">
        <v>2049</v>
      </c>
      <c r="G480" t="s">
        <v>2050</v>
      </c>
      <c r="H480">
        <v>112.534459444335</v>
      </c>
      <c r="I480">
        <v>37.809043065490499</v>
      </c>
      <c r="J480">
        <v>210</v>
      </c>
      <c r="K480" t="s">
        <v>27</v>
      </c>
      <c r="L480" t="s">
        <v>27</v>
      </c>
      <c r="M480" t="s">
        <v>27</v>
      </c>
      <c r="N480" t="s">
        <v>27</v>
      </c>
      <c r="O480" t="s">
        <v>27</v>
      </c>
      <c r="P480" t="s">
        <v>27</v>
      </c>
      <c r="Q480" t="s">
        <v>27</v>
      </c>
      <c r="R480" t="s">
        <v>2289</v>
      </c>
      <c r="T480" t="s">
        <v>2269</v>
      </c>
      <c r="U480" t="s">
        <v>2290</v>
      </c>
    </row>
    <row r="481" spans="1:21" x14ac:dyDescent="0.25">
      <c r="A481" t="s">
        <v>2291</v>
      </c>
      <c r="B481" t="s">
        <v>38</v>
      </c>
      <c r="C481" t="s">
        <v>2292</v>
      </c>
      <c r="E481" t="s">
        <v>2116</v>
      </c>
      <c r="F481" t="s">
        <v>2049</v>
      </c>
      <c r="G481" t="s">
        <v>2050</v>
      </c>
      <c r="H481">
        <v>114.13228364021499</v>
      </c>
      <c r="I481">
        <v>22.5924842208378</v>
      </c>
      <c r="J481">
        <v>210</v>
      </c>
      <c r="K481" t="s">
        <v>27</v>
      </c>
      <c r="L481" t="s">
        <v>27</v>
      </c>
      <c r="M481" t="s">
        <v>27</v>
      </c>
      <c r="N481" t="s">
        <v>27</v>
      </c>
      <c r="O481" t="s">
        <v>77</v>
      </c>
      <c r="P481" t="s">
        <v>77</v>
      </c>
      <c r="Q481" t="s">
        <v>27</v>
      </c>
      <c r="R481" t="s">
        <v>2293</v>
      </c>
      <c r="T481" t="s">
        <v>2095</v>
      </c>
      <c r="U481" t="s">
        <v>2294</v>
      </c>
    </row>
    <row r="482" spans="1:21" x14ac:dyDescent="0.25">
      <c r="A482" t="s">
        <v>2295</v>
      </c>
      <c r="B482" t="s">
        <v>38</v>
      </c>
      <c r="C482" t="s">
        <v>2296</v>
      </c>
      <c r="D482">
        <f>86-519-85382570</f>
        <v>-85383003</v>
      </c>
      <c r="E482" t="s">
        <v>2297</v>
      </c>
      <c r="F482" t="s">
        <v>2049</v>
      </c>
      <c r="G482" t="s">
        <v>2050</v>
      </c>
      <c r="H482">
        <v>119.953505550109</v>
      </c>
      <c r="I482">
        <v>31.765208895114199</v>
      </c>
      <c r="J482">
        <v>210</v>
      </c>
      <c r="K482" t="s">
        <v>27</v>
      </c>
      <c r="L482" t="s">
        <v>27</v>
      </c>
      <c r="M482" t="s">
        <v>27</v>
      </c>
      <c r="N482" t="s">
        <v>27</v>
      </c>
      <c r="O482" t="s">
        <v>77</v>
      </c>
      <c r="P482" t="s">
        <v>77</v>
      </c>
      <c r="Q482" t="s">
        <v>27</v>
      </c>
      <c r="R482" t="s">
        <v>2298</v>
      </c>
      <c r="T482" t="s">
        <v>2063</v>
      </c>
      <c r="U482" t="s">
        <v>2299</v>
      </c>
    </row>
    <row r="483" spans="1:21" x14ac:dyDescent="0.25">
      <c r="A483" t="s">
        <v>2300</v>
      </c>
      <c r="B483" t="s">
        <v>22</v>
      </c>
      <c r="C483" t="s">
        <v>2301</v>
      </c>
      <c r="E483" t="s">
        <v>2104</v>
      </c>
      <c r="F483" t="s">
        <v>2049</v>
      </c>
      <c r="G483" t="s">
        <v>2050</v>
      </c>
      <c r="H483">
        <v>121.52588715859299</v>
      </c>
      <c r="I483">
        <v>31.228922530409399</v>
      </c>
      <c r="J483">
        <v>210</v>
      </c>
      <c r="K483" t="s">
        <v>27</v>
      </c>
      <c r="L483" t="s">
        <v>27</v>
      </c>
      <c r="M483" t="s">
        <v>27</v>
      </c>
      <c r="N483" t="s">
        <v>27</v>
      </c>
      <c r="O483" t="s">
        <v>27</v>
      </c>
      <c r="P483" t="s">
        <v>27</v>
      </c>
      <c r="Q483" t="s">
        <v>27</v>
      </c>
      <c r="R483" t="s">
        <v>2302</v>
      </c>
      <c r="T483" t="s">
        <v>2106</v>
      </c>
      <c r="U483" t="s">
        <v>2303</v>
      </c>
    </row>
    <row r="484" spans="1:21" x14ac:dyDescent="0.25">
      <c r="A484" t="s">
        <v>2304</v>
      </c>
      <c r="B484" t="s">
        <v>22</v>
      </c>
      <c r="C484" t="s">
        <v>2305</v>
      </c>
      <c r="E484" t="s">
        <v>2306</v>
      </c>
      <c r="F484" t="s">
        <v>2049</v>
      </c>
      <c r="G484" t="s">
        <v>2050</v>
      </c>
      <c r="H484">
        <v>112.986020878662</v>
      </c>
      <c r="I484">
        <v>28.203553086624201</v>
      </c>
      <c r="J484">
        <v>210</v>
      </c>
      <c r="K484" t="s">
        <v>27</v>
      </c>
      <c r="L484" t="s">
        <v>27</v>
      </c>
      <c r="M484" t="s">
        <v>27</v>
      </c>
      <c r="N484" t="s">
        <v>27</v>
      </c>
      <c r="O484" t="s">
        <v>27</v>
      </c>
      <c r="P484" t="s">
        <v>27</v>
      </c>
      <c r="Q484" t="s">
        <v>27</v>
      </c>
      <c r="R484" t="s">
        <v>2307</v>
      </c>
      <c r="T484" t="s">
        <v>2308</v>
      </c>
      <c r="U484" t="s">
        <v>2309</v>
      </c>
    </row>
    <row r="485" spans="1:21" x14ac:dyDescent="0.25">
      <c r="A485" t="s">
        <v>2310</v>
      </c>
      <c r="B485" t="s">
        <v>38</v>
      </c>
      <c r="C485" t="s">
        <v>2311</v>
      </c>
      <c r="D485">
        <f>86-400-821-5500</f>
        <v>-6635</v>
      </c>
      <c r="E485" t="s">
        <v>2312</v>
      </c>
      <c r="F485" t="s">
        <v>2049</v>
      </c>
      <c r="G485" t="s">
        <v>2050</v>
      </c>
      <c r="H485">
        <v>120.30348499999999</v>
      </c>
      <c r="I485">
        <v>30.405056999999999</v>
      </c>
      <c r="J485">
        <v>210</v>
      </c>
      <c r="K485" t="s">
        <v>27</v>
      </c>
      <c r="L485" t="s">
        <v>27</v>
      </c>
      <c r="M485" t="s">
        <v>27</v>
      </c>
      <c r="N485" t="s">
        <v>27</v>
      </c>
      <c r="O485" t="s">
        <v>27</v>
      </c>
      <c r="P485" t="s">
        <v>27</v>
      </c>
      <c r="Q485" t="s">
        <v>27</v>
      </c>
      <c r="R485" t="s">
        <v>2313</v>
      </c>
      <c r="T485" t="s">
        <v>2052</v>
      </c>
      <c r="U485" t="s">
        <v>2314</v>
      </c>
    </row>
    <row r="486" spans="1:21" x14ac:dyDescent="0.25">
      <c r="A486" t="s">
        <v>2315</v>
      </c>
      <c r="B486" t="s">
        <v>38</v>
      </c>
      <c r="C486" t="s">
        <v>2316</v>
      </c>
      <c r="E486" t="s">
        <v>2317</v>
      </c>
      <c r="F486" t="s">
        <v>2049</v>
      </c>
      <c r="G486" t="s">
        <v>2050</v>
      </c>
      <c r="H486">
        <v>126.57446760156201</v>
      </c>
      <c r="I486">
        <v>43.8453343701904</v>
      </c>
      <c r="J486">
        <v>210</v>
      </c>
      <c r="K486" t="s">
        <v>1434</v>
      </c>
      <c r="L486" t="s">
        <v>1434</v>
      </c>
      <c r="M486" t="s">
        <v>1434</v>
      </c>
      <c r="N486" t="s">
        <v>1434</v>
      </c>
      <c r="O486" t="s">
        <v>1434</v>
      </c>
      <c r="P486" t="s">
        <v>1434</v>
      </c>
      <c r="Q486" t="s">
        <v>1434</v>
      </c>
      <c r="R486" t="s">
        <v>2318</v>
      </c>
      <c r="T486" t="s">
        <v>2319</v>
      </c>
      <c r="U486" t="s">
        <v>2320</v>
      </c>
    </row>
    <row r="487" spans="1:21" x14ac:dyDescent="0.25">
      <c r="A487" t="s">
        <v>2321</v>
      </c>
      <c r="B487" t="s">
        <v>2322</v>
      </c>
      <c r="C487" t="s">
        <v>2323</v>
      </c>
      <c r="D487">
        <f>86-400-821-5500</f>
        <v>-6635</v>
      </c>
      <c r="E487" t="s">
        <v>2104</v>
      </c>
      <c r="F487" t="s">
        <v>2049</v>
      </c>
      <c r="G487" t="s">
        <v>2050</v>
      </c>
      <c r="H487">
        <v>121.46606683731</v>
      </c>
      <c r="I487">
        <v>31.219563796524898</v>
      </c>
      <c r="J487">
        <v>210</v>
      </c>
      <c r="K487" t="s">
        <v>27</v>
      </c>
      <c r="L487" t="s">
        <v>27</v>
      </c>
      <c r="M487" t="s">
        <v>27</v>
      </c>
      <c r="N487" t="s">
        <v>27</v>
      </c>
      <c r="O487" t="s">
        <v>27</v>
      </c>
      <c r="P487" t="s">
        <v>27</v>
      </c>
      <c r="Q487" t="s">
        <v>27</v>
      </c>
      <c r="R487" t="s">
        <v>2324</v>
      </c>
      <c r="T487" t="s">
        <v>2106</v>
      </c>
      <c r="U487" t="s">
        <v>2325</v>
      </c>
    </row>
    <row r="488" spans="1:21" x14ac:dyDescent="0.25">
      <c r="A488" t="s">
        <v>2326</v>
      </c>
      <c r="B488" t="s">
        <v>22</v>
      </c>
      <c r="C488" t="s">
        <v>2327</v>
      </c>
      <c r="D488">
        <f>86-400-821-5500</f>
        <v>-6635</v>
      </c>
      <c r="E488" t="s">
        <v>2160</v>
      </c>
      <c r="F488" t="s">
        <v>2049</v>
      </c>
      <c r="G488" t="s">
        <v>2050</v>
      </c>
      <c r="H488">
        <v>118.78576755523601</v>
      </c>
      <c r="I488">
        <v>32.023431704340503</v>
      </c>
      <c r="J488">
        <v>210</v>
      </c>
      <c r="K488" t="s">
        <v>27</v>
      </c>
      <c r="L488" t="s">
        <v>27</v>
      </c>
      <c r="M488" t="s">
        <v>27</v>
      </c>
      <c r="N488" t="s">
        <v>27</v>
      </c>
      <c r="O488" t="s">
        <v>27</v>
      </c>
      <c r="P488" t="s">
        <v>27</v>
      </c>
      <c r="Q488" t="s">
        <v>27</v>
      </c>
      <c r="R488" t="s">
        <v>2328</v>
      </c>
      <c r="T488" t="s">
        <v>2063</v>
      </c>
      <c r="U488" t="s">
        <v>2329</v>
      </c>
    </row>
    <row r="489" spans="1:21" x14ac:dyDescent="0.25">
      <c r="A489" t="s">
        <v>2330</v>
      </c>
      <c r="B489" t="s">
        <v>22</v>
      </c>
      <c r="C489" t="s">
        <v>2331</v>
      </c>
      <c r="D489">
        <f>400-821-5500</f>
        <v>-5921</v>
      </c>
      <c r="E489" t="s">
        <v>2116</v>
      </c>
      <c r="F489" t="s">
        <v>2049</v>
      </c>
      <c r="G489" t="s">
        <v>2050</v>
      </c>
      <c r="H489">
        <v>113.975688153213</v>
      </c>
      <c r="I489">
        <v>22.537437903197201</v>
      </c>
      <c r="J489">
        <v>210</v>
      </c>
      <c r="K489" t="s">
        <v>27</v>
      </c>
      <c r="L489" t="s">
        <v>27</v>
      </c>
      <c r="M489" t="s">
        <v>27</v>
      </c>
      <c r="N489" t="s">
        <v>27</v>
      </c>
      <c r="O489" t="s">
        <v>77</v>
      </c>
      <c r="P489" t="s">
        <v>77</v>
      </c>
      <c r="Q489" t="s">
        <v>27</v>
      </c>
      <c r="R489" t="s">
        <v>2332</v>
      </c>
      <c r="T489" t="s">
        <v>2095</v>
      </c>
      <c r="U489" t="s">
        <v>2333</v>
      </c>
    </row>
    <row r="490" spans="1:21" x14ac:dyDescent="0.25">
      <c r="A490" t="s">
        <v>2334</v>
      </c>
      <c r="B490" t="s">
        <v>22</v>
      </c>
      <c r="C490" t="s">
        <v>2335</v>
      </c>
      <c r="D490">
        <f>86-400-821-5500</f>
        <v>-6635</v>
      </c>
      <c r="E490" t="s">
        <v>2336</v>
      </c>
      <c r="F490" t="s">
        <v>2049</v>
      </c>
      <c r="G490" t="s">
        <v>2050</v>
      </c>
      <c r="H490">
        <v>116.97984158992701</v>
      </c>
      <c r="I490">
        <v>36.648950471691897</v>
      </c>
      <c r="J490">
        <v>210</v>
      </c>
      <c r="K490" t="s">
        <v>2068</v>
      </c>
      <c r="L490" t="s">
        <v>2068</v>
      </c>
      <c r="M490" t="s">
        <v>2068</v>
      </c>
      <c r="N490" t="s">
        <v>2068</v>
      </c>
      <c r="O490" t="s">
        <v>2069</v>
      </c>
      <c r="P490" t="s">
        <v>2069</v>
      </c>
      <c r="Q490" t="s">
        <v>2068</v>
      </c>
      <c r="R490" t="s">
        <v>2337</v>
      </c>
      <c r="T490" t="s">
        <v>2071</v>
      </c>
      <c r="U490" t="s">
        <v>2338</v>
      </c>
    </row>
    <row r="491" spans="1:21" x14ac:dyDescent="0.25">
      <c r="A491" t="s">
        <v>2339</v>
      </c>
      <c r="B491" t="s">
        <v>22</v>
      </c>
      <c r="C491" t="s">
        <v>2340</v>
      </c>
      <c r="D491">
        <f>86-400-821-5500</f>
        <v>-6635</v>
      </c>
      <c r="E491" t="s">
        <v>2061</v>
      </c>
      <c r="F491" t="s">
        <v>2049</v>
      </c>
      <c r="G491" t="s">
        <v>2050</v>
      </c>
      <c r="H491">
        <v>120.652413368225</v>
      </c>
      <c r="I491">
        <v>31.320024256471999</v>
      </c>
      <c r="J491">
        <v>210</v>
      </c>
      <c r="K491" t="s">
        <v>27</v>
      </c>
      <c r="L491" t="s">
        <v>27</v>
      </c>
      <c r="M491" t="s">
        <v>27</v>
      </c>
      <c r="N491" t="s">
        <v>27</v>
      </c>
      <c r="O491" t="s">
        <v>27</v>
      </c>
      <c r="P491" t="s">
        <v>27</v>
      </c>
      <c r="Q491" t="s">
        <v>27</v>
      </c>
      <c r="R491" t="s">
        <v>2341</v>
      </c>
      <c r="T491" t="s">
        <v>2063</v>
      </c>
      <c r="U491" t="s">
        <v>2342</v>
      </c>
    </row>
    <row r="492" spans="1:21" x14ac:dyDescent="0.25">
      <c r="A492" t="s">
        <v>2343</v>
      </c>
      <c r="B492" t="s">
        <v>22</v>
      </c>
      <c r="C492" t="s">
        <v>2344</v>
      </c>
      <c r="D492">
        <f>86-400-821-5500</f>
        <v>-6635</v>
      </c>
      <c r="E492" t="s">
        <v>2087</v>
      </c>
      <c r="F492" t="s">
        <v>2049</v>
      </c>
      <c r="G492" t="s">
        <v>2050</v>
      </c>
      <c r="H492">
        <v>116.419187486171</v>
      </c>
      <c r="I492">
        <v>39.898936065012101</v>
      </c>
      <c r="J492">
        <v>210</v>
      </c>
      <c r="K492" t="s">
        <v>27</v>
      </c>
      <c r="L492" t="s">
        <v>27</v>
      </c>
      <c r="M492" t="s">
        <v>27</v>
      </c>
      <c r="N492" t="s">
        <v>27</v>
      </c>
      <c r="O492" t="s">
        <v>27</v>
      </c>
      <c r="P492" t="s">
        <v>27</v>
      </c>
      <c r="Q492" t="s">
        <v>27</v>
      </c>
      <c r="R492" t="s">
        <v>2345</v>
      </c>
      <c r="T492" t="s">
        <v>2089</v>
      </c>
      <c r="U492" t="s">
        <v>2346</v>
      </c>
    </row>
    <row r="493" spans="1:21" x14ac:dyDescent="0.25">
      <c r="A493" t="s">
        <v>2347</v>
      </c>
      <c r="B493" t="s">
        <v>22</v>
      </c>
      <c r="C493" t="s">
        <v>2348</v>
      </c>
      <c r="D493">
        <f>86-400-821-5500</f>
        <v>-6635</v>
      </c>
      <c r="E493" t="s">
        <v>2104</v>
      </c>
      <c r="F493" t="s">
        <v>2049</v>
      </c>
      <c r="G493" t="s">
        <v>2050</v>
      </c>
      <c r="H493">
        <v>121.44136905670101</v>
      </c>
      <c r="I493">
        <v>31.243397868537301</v>
      </c>
      <c r="J493">
        <v>210</v>
      </c>
      <c r="K493" t="s">
        <v>27</v>
      </c>
      <c r="L493" t="s">
        <v>27</v>
      </c>
      <c r="M493" t="s">
        <v>27</v>
      </c>
      <c r="N493" t="s">
        <v>27</v>
      </c>
      <c r="O493" t="s">
        <v>27</v>
      </c>
      <c r="P493" t="s">
        <v>27</v>
      </c>
      <c r="Q493" t="s">
        <v>27</v>
      </c>
      <c r="R493" t="s">
        <v>2349</v>
      </c>
      <c r="T493" t="s">
        <v>2106</v>
      </c>
      <c r="U493" t="s">
        <v>2350</v>
      </c>
    </row>
    <row r="494" spans="1:21" x14ac:dyDescent="0.25">
      <c r="A494" t="s">
        <v>2351</v>
      </c>
      <c r="B494" t="s">
        <v>22</v>
      </c>
      <c r="C494" t="s">
        <v>2352</v>
      </c>
      <c r="D494">
        <f>400-821-5500</f>
        <v>-5921</v>
      </c>
      <c r="E494" t="s">
        <v>2048</v>
      </c>
      <c r="F494" t="s">
        <v>2049</v>
      </c>
      <c r="G494" t="s">
        <v>2050</v>
      </c>
      <c r="H494">
        <v>121.553673148155</v>
      </c>
      <c r="I494">
        <v>29.8696568165965</v>
      </c>
      <c r="J494">
        <v>210</v>
      </c>
      <c r="K494" t="s">
        <v>27</v>
      </c>
      <c r="L494" t="s">
        <v>27</v>
      </c>
      <c r="M494" t="s">
        <v>27</v>
      </c>
      <c r="N494" t="s">
        <v>27</v>
      </c>
      <c r="O494" t="s">
        <v>27</v>
      </c>
      <c r="P494" t="s">
        <v>27</v>
      </c>
      <c r="Q494" t="s">
        <v>27</v>
      </c>
      <c r="R494" t="s">
        <v>2353</v>
      </c>
      <c r="T494" t="s">
        <v>2052</v>
      </c>
      <c r="U494" t="s">
        <v>2354</v>
      </c>
    </row>
    <row r="495" spans="1:21" x14ac:dyDescent="0.25">
      <c r="A495" t="s">
        <v>2355</v>
      </c>
      <c r="B495" t="s">
        <v>22</v>
      </c>
      <c r="C495" t="s">
        <v>2356</v>
      </c>
      <c r="D495">
        <f t="shared" ref="D495:D500" si="14">86-400-821-5500</f>
        <v>-6635</v>
      </c>
      <c r="E495" t="s">
        <v>2104</v>
      </c>
      <c r="F495" t="s">
        <v>2049</v>
      </c>
      <c r="G495" t="s">
        <v>2050</v>
      </c>
      <c r="H495">
        <v>121.38789653777999</v>
      </c>
      <c r="I495">
        <v>31.107955558810701</v>
      </c>
      <c r="J495">
        <v>210</v>
      </c>
      <c r="K495" t="s">
        <v>27</v>
      </c>
      <c r="L495" t="s">
        <v>27</v>
      </c>
      <c r="M495" t="s">
        <v>27</v>
      </c>
      <c r="N495" t="s">
        <v>27</v>
      </c>
      <c r="O495" t="s">
        <v>27</v>
      </c>
      <c r="P495" t="s">
        <v>27</v>
      </c>
      <c r="Q495" t="s">
        <v>27</v>
      </c>
      <c r="R495" t="s">
        <v>2357</v>
      </c>
      <c r="T495" t="s">
        <v>2106</v>
      </c>
      <c r="U495" t="s">
        <v>2358</v>
      </c>
    </row>
    <row r="496" spans="1:21" x14ac:dyDescent="0.25">
      <c r="A496" t="s">
        <v>2359</v>
      </c>
      <c r="B496" t="s">
        <v>22</v>
      </c>
      <c r="C496" t="s">
        <v>2360</v>
      </c>
      <c r="D496">
        <f t="shared" si="14"/>
        <v>-6635</v>
      </c>
      <c r="E496" t="s">
        <v>2093</v>
      </c>
      <c r="F496" t="s">
        <v>2049</v>
      </c>
      <c r="G496" t="s">
        <v>2050</v>
      </c>
      <c r="H496">
        <v>113.282950527976</v>
      </c>
      <c r="I496">
        <v>23.1267983086253</v>
      </c>
      <c r="J496">
        <v>210</v>
      </c>
      <c r="K496" t="s">
        <v>27</v>
      </c>
      <c r="L496" t="s">
        <v>27</v>
      </c>
      <c r="M496" t="s">
        <v>27</v>
      </c>
      <c r="N496" t="s">
        <v>27</v>
      </c>
      <c r="O496" t="s">
        <v>27</v>
      </c>
      <c r="P496" t="s">
        <v>27</v>
      </c>
      <c r="Q496" t="s">
        <v>27</v>
      </c>
      <c r="R496" t="s">
        <v>2361</v>
      </c>
      <c r="T496" t="s">
        <v>2095</v>
      </c>
      <c r="U496" t="s">
        <v>2362</v>
      </c>
    </row>
    <row r="497" spans="1:21" x14ac:dyDescent="0.25">
      <c r="A497" t="s">
        <v>2363</v>
      </c>
      <c r="B497" t="s">
        <v>22</v>
      </c>
      <c r="C497" t="s">
        <v>2364</v>
      </c>
      <c r="D497">
        <f t="shared" si="14"/>
        <v>-6635</v>
      </c>
      <c r="E497" t="s">
        <v>2087</v>
      </c>
      <c r="F497" t="s">
        <v>2049</v>
      </c>
      <c r="G497" t="s">
        <v>2050</v>
      </c>
      <c r="H497">
        <v>116.440272331237</v>
      </c>
      <c r="I497">
        <v>39.922087779722901</v>
      </c>
      <c r="J497">
        <v>210</v>
      </c>
      <c r="K497" t="s">
        <v>27</v>
      </c>
      <c r="L497" t="s">
        <v>27</v>
      </c>
      <c r="M497" t="s">
        <v>27</v>
      </c>
      <c r="N497" t="s">
        <v>27</v>
      </c>
      <c r="O497" t="s">
        <v>27</v>
      </c>
      <c r="P497" t="s">
        <v>27</v>
      </c>
      <c r="Q497" t="s">
        <v>27</v>
      </c>
      <c r="R497" t="s">
        <v>2365</v>
      </c>
      <c r="T497" t="s">
        <v>2089</v>
      </c>
      <c r="U497" t="s">
        <v>2366</v>
      </c>
    </row>
    <row r="498" spans="1:21" x14ac:dyDescent="0.25">
      <c r="A498" t="s">
        <v>2367</v>
      </c>
      <c r="B498" t="s">
        <v>22</v>
      </c>
      <c r="C498" t="s">
        <v>2368</v>
      </c>
      <c r="D498">
        <f t="shared" si="14"/>
        <v>-6635</v>
      </c>
      <c r="E498" t="s">
        <v>2087</v>
      </c>
      <c r="F498" t="s">
        <v>2049</v>
      </c>
      <c r="G498" t="s">
        <v>2050</v>
      </c>
      <c r="H498">
        <v>116.293737888336</v>
      </c>
      <c r="I498">
        <v>39.974004071886299</v>
      </c>
      <c r="J498">
        <v>210</v>
      </c>
      <c r="K498" t="s">
        <v>2068</v>
      </c>
      <c r="L498" t="s">
        <v>2068</v>
      </c>
      <c r="M498" t="s">
        <v>2068</v>
      </c>
      <c r="N498" t="s">
        <v>2068</v>
      </c>
      <c r="O498" t="s">
        <v>2068</v>
      </c>
      <c r="P498" t="s">
        <v>2068</v>
      </c>
      <c r="Q498" t="s">
        <v>2068</v>
      </c>
      <c r="R498" t="s">
        <v>2369</v>
      </c>
      <c r="T498" t="s">
        <v>2089</v>
      </c>
      <c r="U498" t="s">
        <v>2370</v>
      </c>
    </row>
    <row r="499" spans="1:21" x14ac:dyDescent="0.25">
      <c r="A499" t="s">
        <v>2371</v>
      </c>
      <c r="B499" t="s">
        <v>38</v>
      </c>
      <c r="C499" t="s">
        <v>2372</v>
      </c>
      <c r="D499">
        <f t="shared" si="14"/>
        <v>-6635</v>
      </c>
      <c r="E499" t="s">
        <v>2104</v>
      </c>
      <c r="F499" t="s">
        <v>2049</v>
      </c>
      <c r="G499" t="s">
        <v>2050</v>
      </c>
      <c r="H499">
        <v>121.3973845</v>
      </c>
      <c r="I499">
        <v>31.232090100000001</v>
      </c>
      <c r="J499">
        <v>210</v>
      </c>
      <c r="K499" t="s">
        <v>27</v>
      </c>
      <c r="L499" t="s">
        <v>27</v>
      </c>
      <c r="M499" t="s">
        <v>27</v>
      </c>
      <c r="N499" t="s">
        <v>27</v>
      </c>
      <c r="O499" t="s">
        <v>27</v>
      </c>
      <c r="P499" t="s">
        <v>27</v>
      </c>
      <c r="Q499" t="s">
        <v>27</v>
      </c>
      <c r="R499" t="s">
        <v>2373</v>
      </c>
      <c r="T499" t="s">
        <v>2106</v>
      </c>
      <c r="U499" t="s">
        <v>2374</v>
      </c>
    </row>
    <row r="500" spans="1:21" x14ac:dyDescent="0.25">
      <c r="A500" t="s">
        <v>2375</v>
      </c>
      <c r="B500" t="s">
        <v>22</v>
      </c>
      <c r="C500" t="s">
        <v>2376</v>
      </c>
      <c r="D500">
        <f t="shared" si="14"/>
        <v>-6635</v>
      </c>
      <c r="E500" t="s">
        <v>2143</v>
      </c>
      <c r="F500" t="s">
        <v>2049</v>
      </c>
      <c r="G500" t="s">
        <v>2050</v>
      </c>
      <c r="H500">
        <v>113.681480884552</v>
      </c>
      <c r="I500">
        <v>34.785029734907397</v>
      </c>
      <c r="J500">
        <v>210</v>
      </c>
      <c r="K500" t="s">
        <v>2137</v>
      </c>
      <c r="L500" t="s">
        <v>2137</v>
      </c>
      <c r="M500" t="s">
        <v>2137</v>
      </c>
      <c r="N500" t="s">
        <v>2137</v>
      </c>
      <c r="O500" t="s">
        <v>2137</v>
      </c>
      <c r="P500" t="s">
        <v>27</v>
      </c>
      <c r="Q500" t="s">
        <v>27</v>
      </c>
      <c r="R500" t="s">
        <v>2377</v>
      </c>
      <c r="T500" t="s">
        <v>2378</v>
      </c>
      <c r="U500" t="s">
        <v>2379</v>
      </c>
    </row>
    <row r="501" spans="1:21" x14ac:dyDescent="0.25">
      <c r="A501" t="s">
        <v>2380</v>
      </c>
      <c r="B501" t="s">
        <v>22</v>
      </c>
      <c r="C501" t="s">
        <v>2381</v>
      </c>
      <c r="D501">
        <f>400-821-5500</f>
        <v>-5921</v>
      </c>
      <c r="E501" t="s">
        <v>2093</v>
      </c>
      <c r="F501" t="s">
        <v>2049</v>
      </c>
      <c r="G501" t="s">
        <v>2050</v>
      </c>
      <c r="H501">
        <v>113.326660358761</v>
      </c>
      <c r="I501">
        <v>23.132891485342899</v>
      </c>
      <c r="J501">
        <v>210</v>
      </c>
      <c r="K501" t="s">
        <v>27</v>
      </c>
      <c r="L501" t="s">
        <v>27</v>
      </c>
      <c r="M501" t="s">
        <v>27</v>
      </c>
      <c r="N501" t="s">
        <v>27</v>
      </c>
      <c r="O501" t="s">
        <v>77</v>
      </c>
      <c r="P501" t="s">
        <v>2382</v>
      </c>
      <c r="Q501" t="s">
        <v>2383</v>
      </c>
      <c r="R501" t="s">
        <v>2384</v>
      </c>
      <c r="T501" t="s">
        <v>2095</v>
      </c>
      <c r="U501" t="s">
        <v>2385</v>
      </c>
    </row>
    <row r="502" spans="1:21" x14ac:dyDescent="0.25">
      <c r="A502" t="s">
        <v>2386</v>
      </c>
      <c r="B502" t="s">
        <v>22</v>
      </c>
      <c r="C502" t="s">
        <v>2387</v>
      </c>
      <c r="D502">
        <f>86-400-821-5500</f>
        <v>-6635</v>
      </c>
      <c r="E502" t="s">
        <v>2087</v>
      </c>
      <c r="F502" t="s">
        <v>2049</v>
      </c>
      <c r="G502" t="s">
        <v>2050</v>
      </c>
      <c r="H502">
        <v>116.3671875</v>
      </c>
      <c r="I502">
        <v>39.855069767591303</v>
      </c>
      <c r="J502">
        <v>210</v>
      </c>
      <c r="K502" t="s">
        <v>27</v>
      </c>
      <c r="L502" t="s">
        <v>27</v>
      </c>
      <c r="M502" t="s">
        <v>27</v>
      </c>
      <c r="N502" t="s">
        <v>27</v>
      </c>
      <c r="O502" t="s">
        <v>27</v>
      </c>
      <c r="P502" t="s">
        <v>27</v>
      </c>
      <c r="Q502" t="s">
        <v>27</v>
      </c>
      <c r="R502" t="s">
        <v>2388</v>
      </c>
      <c r="T502" t="s">
        <v>2089</v>
      </c>
      <c r="U502" t="s">
        <v>2389</v>
      </c>
    </row>
    <row r="503" spans="1:21" x14ac:dyDescent="0.25">
      <c r="A503" t="s">
        <v>2390</v>
      </c>
      <c r="B503" t="s">
        <v>38</v>
      </c>
      <c r="C503" t="s">
        <v>2391</v>
      </c>
      <c r="D503">
        <f>400-821-5500</f>
        <v>-5921</v>
      </c>
      <c r="E503" t="s">
        <v>2048</v>
      </c>
      <c r="F503" t="s">
        <v>2049</v>
      </c>
      <c r="G503" t="s">
        <v>2050</v>
      </c>
      <c r="H503">
        <v>121.59391164779601</v>
      </c>
      <c r="I503">
        <v>29.861487900200402</v>
      </c>
      <c r="J503">
        <v>210</v>
      </c>
      <c r="K503" t="s">
        <v>27</v>
      </c>
      <c r="L503" t="s">
        <v>27</v>
      </c>
      <c r="M503" t="s">
        <v>27</v>
      </c>
      <c r="N503" t="s">
        <v>27</v>
      </c>
      <c r="O503" t="s">
        <v>27</v>
      </c>
      <c r="P503" t="s">
        <v>27</v>
      </c>
      <c r="Q503" t="s">
        <v>27</v>
      </c>
      <c r="R503" t="s">
        <v>2392</v>
      </c>
      <c r="T503" t="s">
        <v>2052</v>
      </c>
      <c r="U503" t="s">
        <v>2393</v>
      </c>
    </row>
    <row r="504" spans="1:21" x14ac:dyDescent="0.25">
      <c r="A504" t="s">
        <v>2394</v>
      </c>
      <c r="B504" t="s">
        <v>22</v>
      </c>
      <c r="C504" t="s">
        <v>2395</v>
      </c>
      <c r="D504">
        <f>86-23-67614007</f>
        <v>-67613944</v>
      </c>
      <c r="E504" t="s">
        <v>2396</v>
      </c>
      <c r="F504" t="s">
        <v>2049</v>
      </c>
      <c r="G504" t="s">
        <v>2050</v>
      </c>
      <c r="H504">
        <v>106.529155969619</v>
      </c>
      <c r="I504">
        <v>29.5799140033516</v>
      </c>
      <c r="J504">
        <v>210</v>
      </c>
      <c r="K504" t="s">
        <v>27</v>
      </c>
      <c r="L504" t="s">
        <v>27</v>
      </c>
      <c r="M504" t="s">
        <v>27</v>
      </c>
      <c r="N504" t="s">
        <v>27</v>
      </c>
      <c r="O504" t="s">
        <v>27</v>
      </c>
      <c r="P504" t="s">
        <v>27</v>
      </c>
      <c r="Q504" t="s">
        <v>27</v>
      </c>
      <c r="R504" t="s">
        <v>2397</v>
      </c>
      <c r="T504" t="s">
        <v>2398</v>
      </c>
      <c r="U504" t="s">
        <v>2399</v>
      </c>
    </row>
    <row r="505" spans="1:21" x14ac:dyDescent="0.25">
      <c r="A505" t="s">
        <v>2400</v>
      </c>
      <c r="B505" t="s">
        <v>22</v>
      </c>
      <c r="C505" t="s">
        <v>2401</v>
      </c>
      <c r="D505">
        <f>400-821-5500</f>
        <v>-5921</v>
      </c>
      <c r="E505" t="s">
        <v>2402</v>
      </c>
      <c r="F505" t="s">
        <v>2049</v>
      </c>
      <c r="G505" t="s">
        <v>2050</v>
      </c>
      <c r="H505">
        <v>104.06030869999999</v>
      </c>
      <c r="I505">
        <v>30.602934999999999</v>
      </c>
      <c r="J505">
        <v>210</v>
      </c>
      <c r="K505" t="s">
        <v>27</v>
      </c>
      <c r="L505" t="s">
        <v>27</v>
      </c>
      <c r="M505" t="s">
        <v>27</v>
      </c>
      <c r="N505" t="s">
        <v>27</v>
      </c>
      <c r="O505" t="s">
        <v>27</v>
      </c>
      <c r="P505" t="s">
        <v>27</v>
      </c>
      <c r="Q505" t="s">
        <v>27</v>
      </c>
      <c r="R505" t="s">
        <v>2403</v>
      </c>
      <c r="T505" t="s">
        <v>2150</v>
      </c>
      <c r="U505" t="s">
        <v>2404</v>
      </c>
    </row>
    <row r="506" spans="1:21" x14ac:dyDescent="0.25">
      <c r="A506" t="s">
        <v>2405</v>
      </c>
      <c r="B506" t="s">
        <v>22</v>
      </c>
      <c r="C506" t="s">
        <v>2406</v>
      </c>
      <c r="D506">
        <f>86-400-821-5500</f>
        <v>-6635</v>
      </c>
      <c r="E506" t="s">
        <v>2081</v>
      </c>
      <c r="F506" t="s">
        <v>2049</v>
      </c>
      <c r="G506" t="s">
        <v>2050</v>
      </c>
      <c r="H506">
        <v>123.470352888107</v>
      </c>
      <c r="I506">
        <v>41.803066442317501</v>
      </c>
      <c r="J506">
        <v>210</v>
      </c>
      <c r="K506" t="s">
        <v>27</v>
      </c>
      <c r="L506" t="s">
        <v>27</v>
      </c>
      <c r="M506" t="s">
        <v>27</v>
      </c>
      <c r="N506" t="s">
        <v>27</v>
      </c>
      <c r="O506" t="s">
        <v>27</v>
      </c>
      <c r="P506" t="s">
        <v>27</v>
      </c>
      <c r="Q506" t="s">
        <v>27</v>
      </c>
      <c r="R506" t="s">
        <v>2407</v>
      </c>
      <c r="T506" t="s">
        <v>2083</v>
      </c>
      <c r="U506" t="s">
        <v>2408</v>
      </c>
    </row>
    <row r="507" spans="1:21" x14ac:dyDescent="0.25">
      <c r="A507" t="s">
        <v>2409</v>
      </c>
      <c r="B507" t="s">
        <v>22</v>
      </c>
      <c r="C507" t="s">
        <v>2410</v>
      </c>
      <c r="D507">
        <f>86-400-821-5500</f>
        <v>-6635</v>
      </c>
      <c r="E507" t="s">
        <v>2081</v>
      </c>
      <c r="F507" t="s">
        <v>2049</v>
      </c>
      <c r="G507" t="s">
        <v>2050</v>
      </c>
      <c r="H507">
        <v>123.37502310000001</v>
      </c>
      <c r="I507">
        <v>41.807542499999997</v>
      </c>
      <c r="J507">
        <v>210</v>
      </c>
      <c r="K507" t="s">
        <v>2137</v>
      </c>
      <c r="L507" t="s">
        <v>2137</v>
      </c>
      <c r="M507" t="s">
        <v>2137</v>
      </c>
      <c r="N507" t="s">
        <v>2137</v>
      </c>
      <c r="O507" t="s">
        <v>2137</v>
      </c>
      <c r="P507" t="s">
        <v>2137</v>
      </c>
      <c r="Q507" t="s">
        <v>2137</v>
      </c>
      <c r="R507" t="s">
        <v>2411</v>
      </c>
      <c r="T507" t="s">
        <v>2083</v>
      </c>
      <c r="U507" t="s">
        <v>2412</v>
      </c>
    </row>
    <row r="508" spans="1:21" x14ac:dyDescent="0.25">
      <c r="A508" t="s">
        <v>2413</v>
      </c>
      <c r="B508" t="s">
        <v>38</v>
      </c>
      <c r="C508" t="s">
        <v>2414</v>
      </c>
      <c r="D508">
        <f>400-821-5500</f>
        <v>-5921</v>
      </c>
      <c r="E508" t="s">
        <v>2402</v>
      </c>
      <c r="F508" t="s">
        <v>2049</v>
      </c>
      <c r="G508" t="s">
        <v>2050</v>
      </c>
      <c r="H508">
        <v>104.069868</v>
      </c>
      <c r="I508">
        <v>30.665565999999998</v>
      </c>
      <c r="J508">
        <v>210</v>
      </c>
      <c r="K508" t="s">
        <v>27</v>
      </c>
      <c r="L508" t="s">
        <v>27</v>
      </c>
      <c r="M508" t="s">
        <v>27</v>
      </c>
      <c r="N508" t="s">
        <v>27</v>
      </c>
      <c r="O508" t="s">
        <v>27</v>
      </c>
      <c r="P508" t="s">
        <v>27</v>
      </c>
      <c r="Q508" t="s">
        <v>27</v>
      </c>
      <c r="R508" t="s">
        <v>2415</v>
      </c>
      <c r="T508" t="s">
        <v>2150</v>
      </c>
      <c r="U508" t="s">
        <v>2416</v>
      </c>
    </row>
    <row r="509" spans="1:21" x14ac:dyDescent="0.25">
      <c r="A509" t="s">
        <v>2417</v>
      </c>
      <c r="B509" t="s">
        <v>22</v>
      </c>
      <c r="C509" t="s">
        <v>2418</v>
      </c>
      <c r="D509">
        <f>86-400-821-5500</f>
        <v>-6635</v>
      </c>
      <c r="E509" t="s">
        <v>2306</v>
      </c>
      <c r="F509" t="s">
        <v>2049</v>
      </c>
      <c r="G509" t="s">
        <v>2050</v>
      </c>
      <c r="H509">
        <v>112.971167564392</v>
      </c>
      <c r="I509">
        <v>28.203070249210899</v>
      </c>
      <c r="J509">
        <v>210</v>
      </c>
      <c r="K509" t="s">
        <v>27</v>
      </c>
      <c r="L509" t="s">
        <v>27</v>
      </c>
      <c r="M509" t="s">
        <v>27</v>
      </c>
      <c r="N509" t="s">
        <v>27</v>
      </c>
      <c r="O509" t="s">
        <v>27</v>
      </c>
      <c r="P509" t="s">
        <v>27</v>
      </c>
      <c r="Q509" t="s">
        <v>27</v>
      </c>
      <c r="R509" t="s">
        <v>2419</v>
      </c>
      <c r="T509" t="s">
        <v>2308</v>
      </c>
      <c r="U509" t="s">
        <v>2420</v>
      </c>
    </row>
    <row r="510" spans="1:21" x14ac:dyDescent="0.25">
      <c r="A510" t="s">
        <v>2421</v>
      </c>
      <c r="B510" t="s">
        <v>22</v>
      </c>
      <c r="C510" t="s">
        <v>2422</v>
      </c>
      <c r="D510">
        <f>400-821-5500</f>
        <v>-5921</v>
      </c>
      <c r="E510" t="s">
        <v>2402</v>
      </c>
      <c r="F510" t="s">
        <v>2049</v>
      </c>
      <c r="G510" t="s">
        <v>2050</v>
      </c>
      <c r="H510">
        <v>104.076322</v>
      </c>
      <c r="I510">
        <v>30.655452</v>
      </c>
      <c r="J510">
        <v>210</v>
      </c>
      <c r="K510" t="s">
        <v>27</v>
      </c>
      <c r="L510" t="s">
        <v>27</v>
      </c>
      <c r="M510" t="s">
        <v>27</v>
      </c>
      <c r="N510" t="s">
        <v>27</v>
      </c>
      <c r="O510" t="s">
        <v>27</v>
      </c>
      <c r="P510" t="s">
        <v>27</v>
      </c>
      <c r="Q510" t="s">
        <v>27</v>
      </c>
      <c r="R510" t="s">
        <v>2423</v>
      </c>
      <c r="T510" t="s">
        <v>2150</v>
      </c>
      <c r="U510" t="s">
        <v>2424</v>
      </c>
    </row>
    <row r="511" spans="1:21" x14ac:dyDescent="0.25">
      <c r="A511" t="s">
        <v>2425</v>
      </c>
      <c r="B511" t="s">
        <v>22</v>
      </c>
      <c r="C511" t="s">
        <v>2125</v>
      </c>
      <c r="D511">
        <f>86-400-821-5500</f>
        <v>-6635</v>
      </c>
      <c r="E511" t="s">
        <v>2185</v>
      </c>
      <c r="F511" t="s">
        <v>2049</v>
      </c>
      <c r="G511" t="s">
        <v>2050</v>
      </c>
      <c r="H511">
        <v>114.49782729148799</v>
      </c>
      <c r="I511">
        <v>38.044103082270503</v>
      </c>
      <c r="J511">
        <v>210</v>
      </c>
      <c r="K511" t="s">
        <v>2137</v>
      </c>
      <c r="L511" t="s">
        <v>2137</v>
      </c>
      <c r="M511" t="s">
        <v>2137</v>
      </c>
      <c r="N511" t="s">
        <v>2137</v>
      </c>
      <c r="O511" t="s">
        <v>27</v>
      </c>
      <c r="P511" t="s">
        <v>27</v>
      </c>
      <c r="Q511" t="s">
        <v>27</v>
      </c>
      <c r="R511" t="s">
        <v>2426</v>
      </c>
      <c r="T511" t="s">
        <v>2128</v>
      </c>
      <c r="U511" t="s">
        <v>2427</v>
      </c>
    </row>
    <row r="512" spans="1:21" x14ac:dyDescent="0.25">
      <c r="A512" t="s">
        <v>2428</v>
      </c>
      <c r="B512" t="s">
        <v>22</v>
      </c>
      <c r="C512" t="s">
        <v>2429</v>
      </c>
      <c r="D512">
        <f>86-400-821-5500</f>
        <v>-6635</v>
      </c>
      <c r="E512" t="s">
        <v>2203</v>
      </c>
      <c r="F512" t="s">
        <v>2049</v>
      </c>
      <c r="G512" t="s">
        <v>2050</v>
      </c>
      <c r="H512">
        <v>114.269485473632</v>
      </c>
      <c r="I512">
        <v>30.615163815063799</v>
      </c>
      <c r="J512">
        <v>210</v>
      </c>
      <c r="K512" t="s">
        <v>27</v>
      </c>
      <c r="L512" t="s">
        <v>27</v>
      </c>
      <c r="M512" t="s">
        <v>27</v>
      </c>
      <c r="N512" t="s">
        <v>27</v>
      </c>
      <c r="O512" t="s">
        <v>27</v>
      </c>
      <c r="P512" t="s">
        <v>27</v>
      </c>
      <c r="Q512" t="s">
        <v>27</v>
      </c>
      <c r="R512" t="s">
        <v>2430</v>
      </c>
      <c r="T512" t="s">
        <v>2431</v>
      </c>
      <c r="U512" t="s">
        <v>2432</v>
      </c>
    </row>
    <row r="513" spans="1:21" x14ac:dyDescent="0.25">
      <c r="A513" t="s">
        <v>2433</v>
      </c>
      <c r="B513" t="s">
        <v>22</v>
      </c>
      <c r="C513" t="s">
        <v>2434</v>
      </c>
      <c r="D513">
        <f>400-821-5500</f>
        <v>-5921</v>
      </c>
      <c r="E513" t="s">
        <v>2075</v>
      </c>
      <c r="F513" t="s">
        <v>2049</v>
      </c>
      <c r="G513" t="s">
        <v>2050</v>
      </c>
      <c r="H513">
        <v>102.714421749114</v>
      </c>
      <c r="I513">
        <v>25.040271155610199</v>
      </c>
      <c r="J513">
        <v>210</v>
      </c>
      <c r="K513" t="s">
        <v>27</v>
      </c>
      <c r="L513" t="s">
        <v>27</v>
      </c>
      <c r="M513" t="s">
        <v>27</v>
      </c>
      <c r="N513" t="s">
        <v>27</v>
      </c>
      <c r="O513" t="s">
        <v>77</v>
      </c>
      <c r="P513" t="s">
        <v>77</v>
      </c>
      <c r="Q513" t="s">
        <v>27</v>
      </c>
      <c r="R513" t="s">
        <v>2435</v>
      </c>
      <c r="T513" t="s">
        <v>2077</v>
      </c>
      <c r="U513" t="s">
        <v>2436</v>
      </c>
    </row>
    <row r="514" spans="1:21" x14ac:dyDescent="0.25">
      <c r="A514" t="s">
        <v>2437</v>
      </c>
      <c r="B514" t="s">
        <v>22</v>
      </c>
      <c r="C514" t="s">
        <v>2438</v>
      </c>
      <c r="D514">
        <f>86-400-821-5500</f>
        <v>-6635</v>
      </c>
      <c r="E514" t="s">
        <v>2439</v>
      </c>
      <c r="F514" t="s">
        <v>2049</v>
      </c>
      <c r="G514" t="s">
        <v>2050</v>
      </c>
      <c r="H514">
        <v>108.91974449157701</v>
      </c>
      <c r="I514">
        <v>34.238237670621601</v>
      </c>
      <c r="J514">
        <v>210</v>
      </c>
      <c r="K514" t="s">
        <v>27</v>
      </c>
      <c r="L514" t="s">
        <v>27</v>
      </c>
      <c r="M514" t="s">
        <v>27</v>
      </c>
      <c r="N514" t="s">
        <v>27</v>
      </c>
      <c r="O514" t="s">
        <v>27</v>
      </c>
      <c r="P514" t="s">
        <v>27</v>
      </c>
      <c r="Q514" t="s">
        <v>27</v>
      </c>
      <c r="R514" t="s">
        <v>2440</v>
      </c>
      <c r="T514" t="s">
        <v>2441</v>
      </c>
      <c r="U514" t="s">
        <v>2442</v>
      </c>
    </row>
    <row r="515" spans="1:21" x14ac:dyDescent="0.25">
      <c r="A515" t="s">
        <v>2443</v>
      </c>
      <c r="B515" t="s">
        <v>22</v>
      </c>
      <c r="C515" t="s">
        <v>2444</v>
      </c>
      <c r="D515">
        <f>86-400-821-5500</f>
        <v>-6635</v>
      </c>
      <c r="E515" t="s">
        <v>2279</v>
      </c>
      <c r="F515" t="s">
        <v>2049</v>
      </c>
      <c r="G515" t="s">
        <v>2050</v>
      </c>
      <c r="H515">
        <v>121.586680412292</v>
      </c>
      <c r="I515">
        <v>38.9121903417564</v>
      </c>
      <c r="J515">
        <v>210</v>
      </c>
      <c r="K515" t="s">
        <v>312</v>
      </c>
      <c r="L515" t="s">
        <v>312</v>
      </c>
      <c r="M515" t="s">
        <v>312</v>
      </c>
      <c r="N515" t="s">
        <v>312</v>
      </c>
      <c r="O515" t="s">
        <v>312</v>
      </c>
      <c r="P515" t="s">
        <v>312</v>
      </c>
      <c r="Q515" t="s">
        <v>312</v>
      </c>
      <c r="R515" t="s">
        <v>2445</v>
      </c>
      <c r="T515" t="s">
        <v>2083</v>
      </c>
      <c r="U515" t="s">
        <v>2446</v>
      </c>
    </row>
    <row r="516" spans="1:21" x14ac:dyDescent="0.25">
      <c r="A516" t="s">
        <v>2447</v>
      </c>
      <c r="B516" t="s">
        <v>22</v>
      </c>
      <c r="C516" t="s">
        <v>2340</v>
      </c>
      <c r="D516">
        <f>400-821-5500</f>
        <v>-5921</v>
      </c>
      <c r="E516" t="s">
        <v>2198</v>
      </c>
      <c r="F516" t="s">
        <v>2049</v>
      </c>
      <c r="G516" t="s">
        <v>2050</v>
      </c>
      <c r="H516">
        <v>113.12176899999901</v>
      </c>
      <c r="I516">
        <v>23.010801000000001</v>
      </c>
      <c r="J516">
        <v>210</v>
      </c>
      <c r="K516" t="s">
        <v>27</v>
      </c>
      <c r="L516" t="s">
        <v>27</v>
      </c>
      <c r="M516" t="s">
        <v>27</v>
      </c>
      <c r="N516" t="s">
        <v>27</v>
      </c>
      <c r="O516" t="s">
        <v>77</v>
      </c>
      <c r="P516" t="s">
        <v>77</v>
      </c>
      <c r="Q516" t="s">
        <v>27</v>
      </c>
      <c r="R516" t="s">
        <v>2448</v>
      </c>
      <c r="T516" t="s">
        <v>2095</v>
      </c>
      <c r="U516" t="s">
        <v>2449</v>
      </c>
    </row>
    <row r="517" spans="1:21" x14ac:dyDescent="0.25">
      <c r="A517" t="s">
        <v>2450</v>
      </c>
      <c r="B517" t="s">
        <v>22</v>
      </c>
      <c r="C517" t="s">
        <v>2451</v>
      </c>
      <c r="D517">
        <f>86-400-821-5500</f>
        <v>-6635</v>
      </c>
      <c r="E517" t="s">
        <v>2252</v>
      </c>
      <c r="F517" t="s">
        <v>2049</v>
      </c>
      <c r="G517" t="s">
        <v>2050</v>
      </c>
      <c r="H517">
        <v>126.70287225507801</v>
      </c>
      <c r="I517">
        <v>45.755672471663303</v>
      </c>
      <c r="J517">
        <v>210</v>
      </c>
      <c r="K517" t="s">
        <v>290</v>
      </c>
      <c r="L517" t="s">
        <v>290</v>
      </c>
      <c r="M517" t="s">
        <v>290</v>
      </c>
      <c r="N517" t="s">
        <v>290</v>
      </c>
      <c r="O517" t="s">
        <v>290</v>
      </c>
      <c r="P517" t="s">
        <v>290</v>
      </c>
      <c r="Q517" t="s">
        <v>290</v>
      </c>
      <c r="R517" t="s">
        <v>2452</v>
      </c>
      <c r="T517" t="s">
        <v>2254</v>
      </c>
      <c r="U517" t="s">
        <v>2453</v>
      </c>
    </row>
    <row r="518" spans="1:21" x14ac:dyDescent="0.25">
      <c r="A518" t="s">
        <v>2454</v>
      </c>
      <c r="B518" t="s">
        <v>22</v>
      </c>
      <c r="C518" t="s">
        <v>2455</v>
      </c>
      <c r="D518">
        <f>86-400-821-5500</f>
        <v>-6635</v>
      </c>
      <c r="E518" t="s">
        <v>2104</v>
      </c>
      <c r="F518" t="s">
        <v>2049</v>
      </c>
      <c r="G518" t="s">
        <v>2050</v>
      </c>
      <c r="H518">
        <v>121.563034057617</v>
      </c>
      <c r="I518">
        <v>31.212654645090101</v>
      </c>
      <c r="J518">
        <v>210</v>
      </c>
      <c r="K518" t="s">
        <v>27</v>
      </c>
      <c r="L518" t="s">
        <v>27</v>
      </c>
      <c r="M518" t="s">
        <v>27</v>
      </c>
      <c r="N518" t="s">
        <v>27</v>
      </c>
      <c r="O518" t="s">
        <v>27</v>
      </c>
      <c r="P518" t="s">
        <v>27</v>
      </c>
      <c r="Q518" t="s">
        <v>27</v>
      </c>
      <c r="R518" t="s">
        <v>2456</v>
      </c>
      <c r="T518" t="s">
        <v>2106</v>
      </c>
      <c r="U518" t="s">
        <v>2457</v>
      </c>
    </row>
    <row r="519" spans="1:21" x14ac:dyDescent="0.25">
      <c r="A519" t="s">
        <v>2458</v>
      </c>
      <c r="B519" t="s">
        <v>22</v>
      </c>
      <c r="C519" t="s">
        <v>2459</v>
      </c>
      <c r="D519">
        <f>86-400-821-5500</f>
        <v>-6635</v>
      </c>
      <c r="E519" t="s">
        <v>2087</v>
      </c>
      <c r="F519" t="s">
        <v>2049</v>
      </c>
      <c r="G519" t="s">
        <v>2050</v>
      </c>
      <c r="H519">
        <v>116.490912437438</v>
      </c>
      <c r="I519">
        <v>39.969670996727899</v>
      </c>
      <c r="J519">
        <v>210</v>
      </c>
      <c r="K519" t="s">
        <v>27</v>
      </c>
      <c r="L519" t="s">
        <v>27</v>
      </c>
      <c r="M519" t="s">
        <v>27</v>
      </c>
      <c r="N519" t="s">
        <v>27</v>
      </c>
      <c r="O519" t="s">
        <v>27</v>
      </c>
      <c r="P519" t="s">
        <v>27</v>
      </c>
      <c r="Q519" t="s">
        <v>27</v>
      </c>
      <c r="R519" t="s">
        <v>2460</v>
      </c>
      <c r="T519" t="s">
        <v>2089</v>
      </c>
      <c r="U519" t="s">
        <v>2461</v>
      </c>
    </row>
    <row r="520" spans="1:21" x14ac:dyDescent="0.25">
      <c r="A520" t="s">
        <v>2462</v>
      </c>
      <c r="B520" t="s">
        <v>38</v>
      </c>
      <c r="C520" t="s">
        <v>2463</v>
      </c>
      <c r="D520">
        <f>86-400-821-5500</f>
        <v>-6635</v>
      </c>
      <c r="E520" t="s">
        <v>2087</v>
      </c>
      <c r="F520" t="s">
        <v>2049</v>
      </c>
      <c r="G520" t="s">
        <v>2050</v>
      </c>
      <c r="H520">
        <v>116.456730365753</v>
      </c>
      <c r="I520">
        <v>39.962188189909398</v>
      </c>
      <c r="J520">
        <v>210</v>
      </c>
      <c r="K520" t="s">
        <v>27</v>
      </c>
      <c r="L520" t="s">
        <v>27</v>
      </c>
      <c r="M520" t="s">
        <v>27</v>
      </c>
      <c r="N520" t="s">
        <v>27</v>
      </c>
      <c r="O520" t="s">
        <v>27</v>
      </c>
      <c r="P520" t="s">
        <v>27</v>
      </c>
      <c r="Q520" t="s">
        <v>27</v>
      </c>
      <c r="R520" t="s">
        <v>2464</v>
      </c>
      <c r="T520" t="s">
        <v>2089</v>
      </c>
      <c r="U520" t="s">
        <v>2465</v>
      </c>
    </row>
    <row r="521" spans="1:21" x14ac:dyDescent="0.25">
      <c r="A521" t="s">
        <v>2466</v>
      </c>
      <c r="B521" t="s">
        <v>22</v>
      </c>
      <c r="C521" t="s">
        <v>2467</v>
      </c>
      <c r="D521">
        <f>86-400-821-5500</f>
        <v>-6635</v>
      </c>
      <c r="E521" t="s">
        <v>2468</v>
      </c>
      <c r="F521" t="s">
        <v>2049</v>
      </c>
      <c r="G521" t="s">
        <v>2050</v>
      </c>
      <c r="H521">
        <v>125.32352328300399</v>
      </c>
      <c r="I521">
        <v>43.891537212560401</v>
      </c>
      <c r="J521">
        <v>210</v>
      </c>
      <c r="K521" t="s">
        <v>290</v>
      </c>
      <c r="L521" t="s">
        <v>290</v>
      </c>
      <c r="M521" t="s">
        <v>290</v>
      </c>
      <c r="N521" t="s">
        <v>290</v>
      </c>
      <c r="O521" t="s">
        <v>290</v>
      </c>
      <c r="P521" t="s">
        <v>290</v>
      </c>
      <c r="Q521" t="s">
        <v>290</v>
      </c>
      <c r="R521" t="s">
        <v>2469</v>
      </c>
      <c r="U521" t="s">
        <v>2470</v>
      </c>
    </row>
    <row r="522" spans="1:21" x14ac:dyDescent="0.25">
      <c r="A522" t="s">
        <v>2471</v>
      </c>
      <c r="B522" t="s">
        <v>22</v>
      </c>
      <c r="C522" t="s">
        <v>2472</v>
      </c>
      <c r="D522">
        <f>400-821-5500</f>
        <v>-5921</v>
      </c>
      <c r="E522" t="s">
        <v>2473</v>
      </c>
      <c r="F522" t="s">
        <v>2049</v>
      </c>
      <c r="G522" t="s">
        <v>2050</v>
      </c>
      <c r="H522">
        <v>113.7859582901</v>
      </c>
      <c r="I522">
        <v>23.024408338539001</v>
      </c>
      <c r="J522">
        <v>210</v>
      </c>
      <c r="K522" t="s">
        <v>27</v>
      </c>
      <c r="L522" t="s">
        <v>27</v>
      </c>
      <c r="M522" t="s">
        <v>27</v>
      </c>
      <c r="N522" t="s">
        <v>27</v>
      </c>
      <c r="O522" t="s">
        <v>77</v>
      </c>
      <c r="P522" t="s">
        <v>77</v>
      </c>
      <c r="Q522" t="s">
        <v>77</v>
      </c>
      <c r="R522" t="s">
        <v>2474</v>
      </c>
      <c r="T522" t="s">
        <v>2095</v>
      </c>
      <c r="U522" t="s">
        <v>2475</v>
      </c>
    </row>
    <row r="523" spans="1:21" x14ac:dyDescent="0.25">
      <c r="A523" t="s">
        <v>2476</v>
      </c>
      <c r="B523" t="s">
        <v>38</v>
      </c>
      <c r="C523" t="s">
        <v>2477</v>
      </c>
      <c r="D523">
        <f>86-400-821-5500</f>
        <v>-6635</v>
      </c>
      <c r="E523" t="s">
        <v>2478</v>
      </c>
      <c r="F523" t="s">
        <v>2049</v>
      </c>
      <c r="G523" t="s">
        <v>2050</v>
      </c>
      <c r="H523">
        <v>120.892310142517</v>
      </c>
      <c r="I523">
        <v>31.968437519054099</v>
      </c>
      <c r="J523">
        <v>210</v>
      </c>
      <c r="K523" t="s">
        <v>27</v>
      </c>
      <c r="L523" t="s">
        <v>27</v>
      </c>
      <c r="M523" t="s">
        <v>27</v>
      </c>
      <c r="N523" t="s">
        <v>27</v>
      </c>
      <c r="O523" t="s">
        <v>27</v>
      </c>
      <c r="P523" t="s">
        <v>27</v>
      </c>
      <c r="Q523" t="s">
        <v>27</v>
      </c>
      <c r="R523" t="s">
        <v>2479</v>
      </c>
      <c r="T523" t="s">
        <v>2063</v>
      </c>
      <c r="U523" t="s">
        <v>2480</v>
      </c>
    </row>
    <row r="524" spans="1:21" x14ac:dyDescent="0.25">
      <c r="A524" t="s">
        <v>2481</v>
      </c>
      <c r="B524" t="s">
        <v>22</v>
      </c>
      <c r="C524" t="s">
        <v>2482</v>
      </c>
      <c r="D524">
        <f>400-821-5500</f>
        <v>-5921</v>
      </c>
      <c r="E524" t="s">
        <v>2483</v>
      </c>
      <c r="F524" t="s">
        <v>2049</v>
      </c>
      <c r="G524" t="s">
        <v>2050</v>
      </c>
      <c r="H524">
        <v>118.176755905151</v>
      </c>
      <c r="I524">
        <v>24.505561785327899</v>
      </c>
      <c r="J524">
        <v>210</v>
      </c>
      <c r="K524" t="s">
        <v>27</v>
      </c>
      <c r="L524" t="s">
        <v>27</v>
      </c>
      <c r="M524" t="s">
        <v>27</v>
      </c>
      <c r="N524" t="s">
        <v>27</v>
      </c>
      <c r="O524" t="s">
        <v>77</v>
      </c>
      <c r="P524" t="s">
        <v>77</v>
      </c>
      <c r="Q524" t="s">
        <v>77</v>
      </c>
      <c r="R524" t="s">
        <v>2484</v>
      </c>
      <c r="T524" t="s">
        <v>2209</v>
      </c>
      <c r="U524" t="s">
        <v>2485</v>
      </c>
    </row>
    <row r="525" spans="1:21" x14ac:dyDescent="0.25">
      <c r="A525" t="s">
        <v>2486</v>
      </c>
      <c r="B525" t="s">
        <v>22</v>
      </c>
      <c r="C525" t="s">
        <v>2487</v>
      </c>
      <c r="D525">
        <f>400-821-5500</f>
        <v>-5921</v>
      </c>
      <c r="E525" t="s">
        <v>2075</v>
      </c>
      <c r="F525" t="s">
        <v>2049</v>
      </c>
      <c r="G525" t="s">
        <v>2050</v>
      </c>
      <c r="H525">
        <v>102.683550501724</v>
      </c>
      <c r="I525">
        <v>25.009822965254699</v>
      </c>
      <c r="J525">
        <v>210</v>
      </c>
      <c r="K525" t="s">
        <v>27</v>
      </c>
      <c r="L525" t="s">
        <v>27</v>
      </c>
      <c r="M525" t="s">
        <v>27</v>
      </c>
      <c r="N525" t="s">
        <v>27</v>
      </c>
      <c r="O525" t="s">
        <v>77</v>
      </c>
      <c r="P525" t="s">
        <v>77</v>
      </c>
      <c r="Q525" t="s">
        <v>27</v>
      </c>
      <c r="R525" t="s">
        <v>2488</v>
      </c>
      <c r="T525" t="s">
        <v>2077</v>
      </c>
      <c r="U525" t="s">
        <v>2489</v>
      </c>
    </row>
    <row r="526" spans="1:21" x14ac:dyDescent="0.25">
      <c r="A526" t="s">
        <v>2490</v>
      </c>
      <c r="B526" t="s">
        <v>22</v>
      </c>
      <c r="C526" t="s">
        <v>2491</v>
      </c>
      <c r="D526">
        <f>86-400-821-5500</f>
        <v>-6635</v>
      </c>
      <c r="E526" t="s">
        <v>2087</v>
      </c>
      <c r="F526" t="s">
        <v>2049</v>
      </c>
      <c r="G526" t="s">
        <v>2050</v>
      </c>
      <c r="H526">
        <v>116.475055217742</v>
      </c>
      <c r="I526">
        <v>39.949152993918503</v>
      </c>
      <c r="J526">
        <v>210</v>
      </c>
      <c r="K526" t="s">
        <v>27</v>
      </c>
      <c r="L526" t="s">
        <v>27</v>
      </c>
      <c r="M526" t="s">
        <v>27</v>
      </c>
      <c r="N526" t="s">
        <v>27</v>
      </c>
      <c r="O526" t="s">
        <v>27</v>
      </c>
      <c r="P526" t="s">
        <v>27</v>
      </c>
      <c r="Q526" t="s">
        <v>27</v>
      </c>
      <c r="R526" t="s">
        <v>2492</v>
      </c>
      <c r="T526" t="s">
        <v>2089</v>
      </c>
      <c r="U526" t="s">
        <v>2493</v>
      </c>
    </row>
    <row r="527" spans="1:21" x14ac:dyDescent="0.25">
      <c r="A527" t="s">
        <v>2494</v>
      </c>
      <c r="B527" t="s">
        <v>22</v>
      </c>
      <c r="C527" t="s">
        <v>2495</v>
      </c>
      <c r="D527">
        <f>400-821-5500</f>
        <v>-5921</v>
      </c>
      <c r="E527" t="s">
        <v>2093</v>
      </c>
      <c r="F527" t="s">
        <v>2049</v>
      </c>
      <c r="G527" t="s">
        <v>2050</v>
      </c>
      <c r="H527">
        <v>113.321957588195</v>
      </c>
      <c r="I527">
        <v>23.1198576073844</v>
      </c>
      <c r="J527">
        <v>210</v>
      </c>
      <c r="K527" t="s">
        <v>27</v>
      </c>
      <c r="L527" t="s">
        <v>27</v>
      </c>
      <c r="M527" t="s">
        <v>27</v>
      </c>
      <c r="N527" t="s">
        <v>27</v>
      </c>
      <c r="O527" t="s">
        <v>27</v>
      </c>
      <c r="P527" t="s">
        <v>27</v>
      </c>
      <c r="Q527" t="s">
        <v>27</v>
      </c>
      <c r="R527" t="s">
        <v>2496</v>
      </c>
      <c r="T527" t="s">
        <v>2095</v>
      </c>
      <c r="U527" t="s">
        <v>2497</v>
      </c>
    </row>
    <row r="528" spans="1:21" x14ac:dyDescent="0.25">
      <c r="A528" t="s">
        <v>2498</v>
      </c>
      <c r="B528" t="s">
        <v>38</v>
      </c>
      <c r="C528" t="s">
        <v>2327</v>
      </c>
      <c r="D528">
        <f>86-400-821-5500</f>
        <v>-6635</v>
      </c>
      <c r="E528" t="s">
        <v>2110</v>
      </c>
      <c r="F528" t="s">
        <v>2049</v>
      </c>
      <c r="G528" t="s">
        <v>2050</v>
      </c>
      <c r="H528">
        <v>117.17026233673</v>
      </c>
      <c r="I528">
        <v>39.147751704426902</v>
      </c>
      <c r="J528">
        <v>210</v>
      </c>
      <c r="K528" t="s">
        <v>27</v>
      </c>
      <c r="L528" t="s">
        <v>27</v>
      </c>
      <c r="M528" t="s">
        <v>27</v>
      </c>
      <c r="N528" t="s">
        <v>27</v>
      </c>
      <c r="O528" t="s">
        <v>27</v>
      </c>
      <c r="P528" t="s">
        <v>27</v>
      </c>
      <c r="Q528" t="s">
        <v>27</v>
      </c>
      <c r="R528" t="s">
        <v>2499</v>
      </c>
      <c r="T528" t="s">
        <v>2112</v>
      </c>
      <c r="U528" t="s">
        <v>2500</v>
      </c>
    </row>
    <row r="529" spans="1:21" x14ac:dyDescent="0.25">
      <c r="A529" t="s">
        <v>2501</v>
      </c>
      <c r="B529" t="s">
        <v>38</v>
      </c>
      <c r="C529" t="s">
        <v>2502</v>
      </c>
      <c r="D529">
        <f>86-400-821-5500</f>
        <v>-6635</v>
      </c>
      <c r="E529" t="s">
        <v>2503</v>
      </c>
      <c r="F529" t="s">
        <v>2049</v>
      </c>
      <c r="G529" t="s">
        <v>2050</v>
      </c>
      <c r="H529">
        <v>119.11108732223499</v>
      </c>
      <c r="I529">
        <v>36.711916795074501</v>
      </c>
      <c r="J529">
        <v>210</v>
      </c>
      <c r="K529" t="s">
        <v>2068</v>
      </c>
      <c r="L529" t="s">
        <v>2068</v>
      </c>
      <c r="M529" t="s">
        <v>2068</v>
      </c>
      <c r="N529" t="s">
        <v>2068</v>
      </c>
      <c r="O529" t="s">
        <v>2069</v>
      </c>
      <c r="P529" t="s">
        <v>2069</v>
      </c>
      <c r="Q529" t="s">
        <v>2068</v>
      </c>
      <c r="R529" t="s">
        <v>2504</v>
      </c>
      <c r="T529" t="s">
        <v>2071</v>
      </c>
      <c r="U529" t="s">
        <v>2505</v>
      </c>
    </row>
    <row r="530" spans="1:21" x14ac:dyDescent="0.25">
      <c r="A530" t="s">
        <v>2506</v>
      </c>
      <c r="B530" t="s">
        <v>22</v>
      </c>
      <c r="C530" t="s">
        <v>2507</v>
      </c>
      <c r="D530">
        <f>86-400-821-5500</f>
        <v>-6635</v>
      </c>
      <c r="E530" t="s">
        <v>2203</v>
      </c>
      <c r="F530" t="s">
        <v>2049</v>
      </c>
      <c r="G530" t="s">
        <v>2050</v>
      </c>
      <c r="H530">
        <v>114.3471569</v>
      </c>
      <c r="I530">
        <v>30.552889199999999</v>
      </c>
      <c r="J530">
        <v>210</v>
      </c>
      <c r="K530" t="s">
        <v>27</v>
      </c>
      <c r="L530" t="s">
        <v>27</v>
      </c>
      <c r="M530" t="s">
        <v>27</v>
      </c>
      <c r="N530" t="s">
        <v>27</v>
      </c>
      <c r="O530" t="s">
        <v>27</v>
      </c>
      <c r="P530" t="s">
        <v>27</v>
      </c>
      <c r="Q530" t="s">
        <v>27</v>
      </c>
      <c r="R530" t="s">
        <v>2508</v>
      </c>
      <c r="T530" t="s">
        <v>2431</v>
      </c>
      <c r="U530" t="s">
        <v>2509</v>
      </c>
    </row>
    <row r="531" spans="1:21" x14ac:dyDescent="0.25">
      <c r="A531" t="s">
        <v>2510</v>
      </c>
      <c r="B531" t="s">
        <v>22</v>
      </c>
      <c r="C531" t="s">
        <v>2511</v>
      </c>
      <c r="D531">
        <f>400-821-5500</f>
        <v>-5921</v>
      </c>
      <c r="E531" t="s">
        <v>2483</v>
      </c>
      <c r="F531" t="s">
        <v>2049</v>
      </c>
      <c r="G531" t="s">
        <v>2050</v>
      </c>
      <c r="H531">
        <v>118.121695518493</v>
      </c>
      <c r="I531">
        <v>24.502691608911</v>
      </c>
      <c r="J531">
        <v>210</v>
      </c>
      <c r="K531" t="s">
        <v>27</v>
      </c>
      <c r="L531" t="s">
        <v>27</v>
      </c>
      <c r="M531" t="s">
        <v>27</v>
      </c>
      <c r="N531" t="s">
        <v>27</v>
      </c>
      <c r="O531" t="s">
        <v>27</v>
      </c>
      <c r="P531" t="s">
        <v>27</v>
      </c>
      <c r="Q531" t="s">
        <v>27</v>
      </c>
      <c r="R531" t="s">
        <v>2512</v>
      </c>
      <c r="T531" t="s">
        <v>2209</v>
      </c>
      <c r="U531" t="s">
        <v>2513</v>
      </c>
    </row>
    <row r="532" spans="1:21" x14ac:dyDescent="0.25">
      <c r="A532" t="s">
        <v>2514</v>
      </c>
      <c r="B532" t="s">
        <v>22</v>
      </c>
      <c r="C532" t="s">
        <v>2515</v>
      </c>
      <c r="D532">
        <f>400-821-5500</f>
        <v>-5921</v>
      </c>
      <c r="E532" t="s">
        <v>2516</v>
      </c>
      <c r="F532" t="s">
        <v>2049</v>
      </c>
      <c r="G532" t="s">
        <v>2050</v>
      </c>
      <c r="H532">
        <v>119.276449</v>
      </c>
      <c r="I532">
        <v>26.036763000000001</v>
      </c>
      <c r="J532">
        <v>210</v>
      </c>
      <c r="K532" t="s">
        <v>77</v>
      </c>
      <c r="L532" t="s">
        <v>77</v>
      </c>
      <c r="M532" t="s">
        <v>77</v>
      </c>
      <c r="N532" t="s">
        <v>77</v>
      </c>
      <c r="O532" t="s">
        <v>34</v>
      </c>
      <c r="P532" t="s">
        <v>34</v>
      </c>
      <c r="Q532" t="s">
        <v>34</v>
      </c>
      <c r="R532" t="s">
        <v>2517</v>
      </c>
      <c r="T532" t="s">
        <v>2209</v>
      </c>
      <c r="U532" t="s">
        <v>2518</v>
      </c>
    </row>
    <row r="533" spans="1:21" x14ac:dyDescent="0.25">
      <c r="A533" t="s">
        <v>2519</v>
      </c>
      <c r="B533" t="s">
        <v>38</v>
      </c>
      <c r="C533" t="s">
        <v>2520</v>
      </c>
      <c r="D533">
        <f>86-400-821-5500</f>
        <v>-6635</v>
      </c>
      <c r="E533" t="s">
        <v>2067</v>
      </c>
      <c r="F533" t="s">
        <v>2049</v>
      </c>
      <c r="G533" t="s">
        <v>2050</v>
      </c>
      <c r="H533">
        <v>120.447911024093</v>
      </c>
      <c r="I533">
        <v>36.109172281368302</v>
      </c>
      <c r="J533">
        <v>210</v>
      </c>
      <c r="K533" t="s">
        <v>2137</v>
      </c>
      <c r="L533" t="s">
        <v>2137</v>
      </c>
      <c r="M533" t="s">
        <v>2137</v>
      </c>
      <c r="N533" t="s">
        <v>2137</v>
      </c>
      <c r="O533" t="s">
        <v>2137</v>
      </c>
      <c r="P533" t="s">
        <v>2137</v>
      </c>
      <c r="Q533" t="s">
        <v>2137</v>
      </c>
      <c r="R533" t="s">
        <v>2521</v>
      </c>
      <c r="T533" t="s">
        <v>2071</v>
      </c>
      <c r="U533" t="s">
        <v>2522</v>
      </c>
    </row>
    <row r="534" spans="1:21" x14ac:dyDescent="0.25">
      <c r="A534" t="s">
        <v>2523</v>
      </c>
      <c r="B534" t="s">
        <v>22</v>
      </c>
      <c r="C534" t="s">
        <v>2524</v>
      </c>
      <c r="D534">
        <f>86-400-821-5500</f>
        <v>-6635</v>
      </c>
      <c r="E534" t="s">
        <v>2110</v>
      </c>
      <c r="F534" t="s">
        <v>2049</v>
      </c>
      <c r="G534" t="s">
        <v>2050</v>
      </c>
      <c r="H534">
        <v>117.180486917495</v>
      </c>
      <c r="I534">
        <v>39.134878818402299</v>
      </c>
      <c r="J534">
        <v>210</v>
      </c>
      <c r="K534" t="s">
        <v>27</v>
      </c>
      <c r="L534" t="s">
        <v>27</v>
      </c>
      <c r="M534" t="s">
        <v>27</v>
      </c>
      <c r="N534" t="s">
        <v>27</v>
      </c>
      <c r="O534" t="s">
        <v>27</v>
      </c>
      <c r="P534" t="s">
        <v>27</v>
      </c>
      <c r="Q534" t="s">
        <v>27</v>
      </c>
      <c r="R534" t="s">
        <v>2525</v>
      </c>
      <c r="T534" t="s">
        <v>2112</v>
      </c>
      <c r="U534" t="s">
        <v>2526</v>
      </c>
    </row>
    <row r="535" spans="1:21" x14ac:dyDescent="0.25">
      <c r="A535" t="s">
        <v>2527</v>
      </c>
      <c r="B535" t="s">
        <v>38</v>
      </c>
      <c r="C535" t="s">
        <v>2528</v>
      </c>
      <c r="D535">
        <f>86-23-88912750</f>
        <v>-88912687</v>
      </c>
      <c r="E535" t="s">
        <v>2396</v>
      </c>
      <c r="F535" t="s">
        <v>2049</v>
      </c>
      <c r="G535" t="s">
        <v>2050</v>
      </c>
      <c r="H535">
        <v>106.50803534628901</v>
      </c>
      <c r="I535">
        <v>29.609437960596299</v>
      </c>
      <c r="J535">
        <v>210</v>
      </c>
      <c r="K535" t="s">
        <v>27</v>
      </c>
      <c r="L535" t="s">
        <v>27</v>
      </c>
      <c r="M535" t="s">
        <v>27</v>
      </c>
      <c r="N535" t="s">
        <v>27</v>
      </c>
      <c r="O535" t="s">
        <v>27</v>
      </c>
      <c r="P535" t="s">
        <v>27</v>
      </c>
      <c r="Q535" t="s">
        <v>27</v>
      </c>
      <c r="R535" t="s">
        <v>2529</v>
      </c>
      <c r="T535" t="s">
        <v>2398</v>
      </c>
      <c r="U535" t="s">
        <v>2530</v>
      </c>
    </row>
    <row r="536" spans="1:21" x14ac:dyDescent="0.25">
      <c r="A536" t="s">
        <v>2531</v>
      </c>
      <c r="B536" t="s">
        <v>22</v>
      </c>
      <c r="C536" t="s">
        <v>2532</v>
      </c>
      <c r="D536">
        <f>86-400-821-5500</f>
        <v>-6635</v>
      </c>
      <c r="E536" t="s">
        <v>2104</v>
      </c>
      <c r="F536" t="s">
        <v>2049</v>
      </c>
      <c r="G536" t="s">
        <v>2050</v>
      </c>
      <c r="H536">
        <v>121.43702999999999</v>
      </c>
      <c r="I536">
        <v>31.197455999999999</v>
      </c>
      <c r="J536">
        <v>210</v>
      </c>
      <c r="K536" t="s">
        <v>27</v>
      </c>
      <c r="L536" t="s">
        <v>27</v>
      </c>
      <c r="M536" t="s">
        <v>27</v>
      </c>
      <c r="N536" t="s">
        <v>27</v>
      </c>
      <c r="O536" t="s">
        <v>27</v>
      </c>
      <c r="P536" t="s">
        <v>27</v>
      </c>
      <c r="Q536" t="s">
        <v>27</v>
      </c>
      <c r="R536" t="s">
        <v>2533</v>
      </c>
      <c r="T536" t="s">
        <v>2106</v>
      </c>
      <c r="U536" t="s">
        <v>2534</v>
      </c>
    </row>
    <row r="537" spans="1:21" x14ac:dyDescent="0.25">
      <c r="A537" t="s">
        <v>2535</v>
      </c>
      <c r="B537" t="s">
        <v>22</v>
      </c>
      <c r="C537" t="s">
        <v>2536</v>
      </c>
      <c r="D537">
        <f>400-821-5500</f>
        <v>-5921</v>
      </c>
      <c r="E537" t="s">
        <v>2165</v>
      </c>
      <c r="F537" t="s">
        <v>2049</v>
      </c>
      <c r="G537" t="s">
        <v>2050</v>
      </c>
      <c r="H537">
        <v>113.38989599999999</v>
      </c>
      <c r="I537">
        <v>22.518272</v>
      </c>
      <c r="J537">
        <v>210</v>
      </c>
      <c r="K537" t="s">
        <v>27</v>
      </c>
      <c r="L537" t="s">
        <v>27</v>
      </c>
      <c r="M537" t="s">
        <v>27</v>
      </c>
      <c r="N537" t="s">
        <v>27</v>
      </c>
      <c r="O537" t="s">
        <v>77</v>
      </c>
      <c r="P537" t="s">
        <v>77</v>
      </c>
      <c r="Q537" t="s">
        <v>27</v>
      </c>
      <c r="R537" t="s">
        <v>2537</v>
      </c>
      <c r="T537" t="s">
        <v>2095</v>
      </c>
      <c r="U537" t="s">
        <v>2538</v>
      </c>
    </row>
    <row r="538" spans="1:21" x14ac:dyDescent="0.25">
      <c r="A538" t="s">
        <v>2539</v>
      </c>
      <c r="B538" t="s">
        <v>38</v>
      </c>
      <c r="C538" t="s">
        <v>2540</v>
      </c>
      <c r="D538">
        <f>86-400-821-5500</f>
        <v>-6635</v>
      </c>
      <c r="E538" t="s">
        <v>2087</v>
      </c>
      <c r="F538" t="s">
        <v>2049</v>
      </c>
      <c r="G538" t="s">
        <v>2050</v>
      </c>
      <c r="H538">
        <v>116.413761377334</v>
      </c>
      <c r="I538">
        <v>40.0704527146465</v>
      </c>
      <c r="J538">
        <v>210</v>
      </c>
      <c r="K538" t="s">
        <v>27</v>
      </c>
      <c r="L538" t="s">
        <v>27</v>
      </c>
      <c r="M538" t="s">
        <v>27</v>
      </c>
      <c r="N538" t="s">
        <v>27</v>
      </c>
      <c r="O538" t="s">
        <v>27</v>
      </c>
      <c r="P538" t="s">
        <v>27</v>
      </c>
      <c r="Q538" t="s">
        <v>27</v>
      </c>
      <c r="R538" t="s">
        <v>2541</v>
      </c>
      <c r="T538" t="s">
        <v>2089</v>
      </c>
      <c r="U538" t="s">
        <v>2542</v>
      </c>
    </row>
    <row r="539" spans="1:21" x14ac:dyDescent="0.25">
      <c r="A539" t="s">
        <v>2543</v>
      </c>
      <c r="B539" t="s">
        <v>22</v>
      </c>
      <c r="C539" t="s">
        <v>2544</v>
      </c>
      <c r="D539">
        <f>86-400-821-5500</f>
        <v>-6635</v>
      </c>
      <c r="E539" t="s">
        <v>2252</v>
      </c>
      <c r="F539" t="s">
        <v>2049</v>
      </c>
      <c r="G539" t="s">
        <v>2050</v>
      </c>
      <c r="H539">
        <v>126.60854816436699</v>
      </c>
      <c r="I539">
        <v>45.7144801981866</v>
      </c>
      <c r="J539">
        <v>210</v>
      </c>
      <c r="K539" t="s">
        <v>2068</v>
      </c>
      <c r="L539" t="s">
        <v>2068</v>
      </c>
      <c r="M539" t="s">
        <v>2068</v>
      </c>
      <c r="N539" t="s">
        <v>2068</v>
      </c>
      <c r="O539" t="s">
        <v>2069</v>
      </c>
      <c r="P539" t="s">
        <v>2069</v>
      </c>
      <c r="Q539" t="s">
        <v>2069</v>
      </c>
      <c r="R539" t="s">
        <v>2545</v>
      </c>
      <c r="T539" t="s">
        <v>2254</v>
      </c>
      <c r="U539" t="s">
        <v>2546</v>
      </c>
    </row>
    <row r="540" spans="1:21" x14ac:dyDescent="0.25">
      <c r="A540" t="s">
        <v>2547</v>
      </c>
      <c r="B540" t="s">
        <v>22</v>
      </c>
      <c r="C540" t="s">
        <v>2548</v>
      </c>
      <c r="D540">
        <f>86-400-821-5500</f>
        <v>-6635</v>
      </c>
      <c r="E540" t="s">
        <v>2104</v>
      </c>
      <c r="F540" t="s">
        <v>2049</v>
      </c>
      <c r="G540" t="s">
        <v>2050</v>
      </c>
      <c r="H540">
        <v>121.44600562149</v>
      </c>
      <c r="I540">
        <v>31.323990264584101</v>
      </c>
      <c r="J540">
        <v>210</v>
      </c>
      <c r="K540" t="s">
        <v>27</v>
      </c>
      <c r="L540" t="s">
        <v>27</v>
      </c>
      <c r="M540" t="s">
        <v>27</v>
      </c>
      <c r="N540" t="s">
        <v>27</v>
      </c>
      <c r="O540" t="s">
        <v>27</v>
      </c>
      <c r="P540" t="s">
        <v>27</v>
      </c>
      <c r="Q540" t="s">
        <v>27</v>
      </c>
      <c r="R540" t="s">
        <v>2549</v>
      </c>
      <c r="T540" t="s">
        <v>2106</v>
      </c>
      <c r="U540" t="s">
        <v>2550</v>
      </c>
    </row>
    <row r="541" spans="1:21" x14ac:dyDescent="0.25">
      <c r="A541" t="s">
        <v>2551</v>
      </c>
      <c r="B541" t="s">
        <v>22</v>
      </c>
      <c r="C541" t="s">
        <v>2552</v>
      </c>
      <c r="D541">
        <f>400-821-5500</f>
        <v>-5921</v>
      </c>
      <c r="E541" t="s">
        <v>2116</v>
      </c>
      <c r="F541" t="s">
        <v>2049</v>
      </c>
      <c r="G541" t="s">
        <v>2050</v>
      </c>
      <c r="H541">
        <v>114.235128</v>
      </c>
      <c r="I541">
        <v>22.697469000000002</v>
      </c>
      <c r="J541">
        <v>210</v>
      </c>
      <c r="K541" t="s">
        <v>27</v>
      </c>
      <c r="L541" t="s">
        <v>27</v>
      </c>
      <c r="M541" t="s">
        <v>27</v>
      </c>
      <c r="N541" t="s">
        <v>27</v>
      </c>
      <c r="O541" t="s">
        <v>77</v>
      </c>
      <c r="P541" t="s">
        <v>77</v>
      </c>
      <c r="Q541" t="s">
        <v>27</v>
      </c>
      <c r="R541" t="s">
        <v>2553</v>
      </c>
      <c r="T541" t="s">
        <v>2095</v>
      </c>
      <c r="U541" t="s">
        <v>2554</v>
      </c>
    </row>
    <row r="542" spans="1:21" x14ac:dyDescent="0.25">
      <c r="A542" t="s">
        <v>2555</v>
      </c>
      <c r="B542" t="s">
        <v>22</v>
      </c>
      <c r="C542" t="s">
        <v>2556</v>
      </c>
      <c r="D542">
        <f>86-400-821-5500</f>
        <v>-6635</v>
      </c>
      <c r="E542" t="s">
        <v>2110</v>
      </c>
      <c r="F542" t="s">
        <v>2049</v>
      </c>
      <c r="G542" t="s">
        <v>2050</v>
      </c>
      <c r="H542">
        <v>117.213606834411</v>
      </c>
      <c r="I542">
        <v>39.090433889411798</v>
      </c>
      <c r="J542">
        <v>210</v>
      </c>
      <c r="K542" t="s">
        <v>27</v>
      </c>
      <c r="L542" t="s">
        <v>27</v>
      </c>
      <c r="M542" t="s">
        <v>27</v>
      </c>
      <c r="N542" t="s">
        <v>27</v>
      </c>
      <c r="O542" t="s">
        <v>27</v>
      </c>
      <c r="P542" t="s">
        <v>27</v>
      </c>
      <c r="Q542" t="s">
        <v>27</v>
      </c>
      <c r="R542" t="s">
        <v>2557</v>
      </c>
      <c r="T542" t="s">
        <v>2112</v>
      </c>
      <c r="U542" t="s">
        <v>2558</v>
      </c>
    </row>
    <row r="543" spans="1:21" x14ac:dyDescent="0.25">
      <c r="A543" t="s">
        <v>2559</v>
      </c>
      <c r="B543" t="s">
        <v>22</v>
      </c>
      <c r="C543" t="s">
        <v>2560</v>
      </c>
      <c r="D543">
        <f>400-821-5500</f>
        <v>-5921</v>
      </c>
      <c r="E543" t="s">
        <v>2075</v>
      </c>
      <c r="F543" t="s">
        <v>2049</v>
      </c>
      <c r="G543" t="s">
        <v>2050</v>
      </c>
      <c r="H543">
        <v>102.73270368576</v>
      </c>
      <c r="I543">
        <v>25.079749217924601</v>
      </c>
      <c r="J543">
        <v>210</v>
      </c>
      <c r="K543" t="s">
        <v>27</v>
      </c>
      <c r="L543" t="s">
        <v>27</v>
      </c>
      <c r="M543" t="s">
        <v>27</v>
      </c>
      <c r="N543" t="s">
        <v>27</v>
      </c>
      <c r="O543" t="s">
        <v>77</v>
      </c>
      <c r="P543" t="s">
        <v>77</v>
      </c>
      <c r="Q543" t="s">
        <v>27</v>
      </c>
      <c r="R543" t="s">
        <v>2561</v>
      </c>
      <c r="T543" t="s">
        <v>2077</v>
      </c>
      <c r="U543" t="s">
        <v>2562</v>
      </c>
    </row>
    <row r="544" spans="1:21" x14ac:dyDescent="0.25">
      <c r="A544" t="s">
        <v>2563</v>
      </c>
      <c r="B544" t="s">
        <v>22</v>
      </c>
      <c r="C544" t="s">
        <v>2564</v>
      </c>
      <c r="D544">
        <f>86-400-821-5500</f>
        <v>-6635</v>
      </c>
      <c r="E544" t="s">
        <v>2104</v>
      </c>
      <c r="F544" t="s">
        <v>2049</v>
      </c>
      <c r="G544" t="s">
        <v>2050</v>
      </c>
      <c r="H544">
        <v>121.4078509</v>
      </c>
      <c r="I544">
        <v>31.172722100000001</v>
      </c>
      <c r="J544">
        <v>210</v>
      </c>
      <c r="K544" t="s">
        <v>27</v>
      </c>
      <c r="L544" t="s">
        <v>27</v>
      </c>
      <c r="M544" t="s">
        <v>27</v>
      </c>
      <c r="N544" t="s">
        <v>27</v>
      </c>
      <c r="O544" t="s">
        <v>27</v>
      </c>
      <c r="P544" t="s">
        <v>27</v>
      </c>
      <c r="Q544" t="s">
        <v>27</v>
      </c>
      <c r="R544" t="s">
        <v>2565</v>
      </c>
      <c r="T544" t="s">
        <v>2106</v>
      </c>
      <c r="U544" t="s">
        <v>2566</v>
      </c>
    </row>
    <row r="545" spans="1:21" x14ac:dyDescent="0.25">
      <c r="A545" t="s">
        <v>2567</v>
      </c>
      <c r="B545" t="s">
        <v>38</v>
      </c>
      <c r="C545" t="s">
        <v>2568</v>
      </c>
      <c r="D545">
        <f>400-821-5500</f>
        <v>-5921</v>
      </c>
      <c r="E545" t="s">
        <v>2093</v>
      </c>
      <c r="F545" t="s">
        <v>2049</v>
      </c>
      <c r="G545" t="s">
        <v>2050</v>
      </c>
      <c r="H545">
        <v>113.35799719436601</v>
      </c>
      <c r="I545">
        <v>22.923656623700602</v>
      </c>
      <c r="J545">
        <v>210</v>
      </c>
      <c r="K545" t="s">
        <v>27</v>
      </c>
      <c r="L545" t="s">
        <v>27</v>
      </c>
      <c r="M545" t="s">
        <v>27</v>
      </c>
      <c r="N545" t="s">
        <v>27</v>
      </c>
      <c r="O545" t="s">
        <v>27</v>
      </c>
      <c r="P545" t="s">
        <v>77</v>
      </c>
      <c r="Q545" t="s">
        <v>27</v>
      </c>
      <c r="R545" t="s">
        <v>2569</v>
      </c>
      <c r="T545" t="s">
        <v>2095</v>
      </c>
      <c r="U545" t="s">
        <v>2570</v>
      </c>
    </row>
    <row r="546" spans="1:21" x14ac:dyDescent="0.25">
      <c r="A546" t="s">
        <v>2571</v>
      </c>
      <c r="B546" t="s">
        <v>22</v>
      </c>
      <c r="C546" t="s">
        <v>2572</v>
      </c>
      <c r="D546">
        <f>86-400-821-5500</f>
        <v>-6635</v>
      </c>
      <c r="E546" t="s">
        <v>2439</v>
      </c>
      <c r="F546" t="s">
        <v>2049</v>
      </c>
      <c r="G546" t="s">
        <v>2050</v>
      </c>
      <c r="H546">
        <v>108.9105462</v>
      </c>
      <c r="I546">
        <v>34.241609400000002</v>
      </c>
      <c r="J546">
        <v>210</v>
      </c>
      <c r="K546" t="s">
        <v>2137</v>
      </c>
      <c r="L546" t="s">
        <v>2137</v>
      </c>
      <c r="M546" t="s">
        <v>2137</v>
      </c>
      <c r="N546" t="s">
        <v>2137</v>
      </c>
      <c r="O546" t="s">
        <v>27</v>
      </c>
      <c r="P546" t="s">
        <v>27</v>
      </c>
      <c r="Q546" t="s">
        <v>27</v>
      </c>
      <c r="R546" t="s">
        <v>2573</v>
      </c>
      <c r="T546" t="s">
        <v>2441</v>
      </c>
      <c r="U546" t="s">
        <v>2574</v>
      </c>
    </row>
    <row r="547" spans="1:21" x14ac:dyDescent="0.25">
      <c r="A547" t="s">
        <v>2575</v>
      </c>
      <c r="B547" t="s">
        <v>22</v>
      </c>
      <c r="C547" t="s">
        <v>2272</v>
      </c>
      <c r="D547">
        <f>86-400-821-5500</f>
        <v>-6635</v>
      </c>
      <c r="E547" t="s">
        <v>2110</v>
      </c>
      <c r="F547" t="s">
        <v>2049</v>
      </c>
      <c r="G547" t="s">
        <v>2050</v>
      </c>
      <c r="H547">
        <v>117.256135940551</v>
      </c>
      <c r="I547">
        <v>39.123518434847703</v>
      </c>
      <c r="J547">
        <v>210</v>
      </c>
      <c r="K547" t="s">
        <v>27</v>
      </c>
      <c r="L547" t="s">
        <v>27</v>
      </c>
      <c r="M547" t="s">
        <v>27</v>
      </c>
      <c r="N547" t="s">
        <v>27</v>
      </c>
      <c r="O547" t="s">
        <v>27</v>
      </c>
      <c r="P547" t="s">
        <v>27</v>
      </c>
      <c r="Q547" t="s">
        <v>27</v>
      </c>
      <c r="R547" t="s">
        <v>2576</v>
      </c>
      <c r="T547" t="s">
        <v>2112</v>
      </c>
      <c r="U547" t="s">
        <v>2577</v>
      </c>
    </row>
    <row r="548" spans="1:21" x14ac:dyDescent="0.25">
      <c r="A548" t="s">
        <v>2578</v>
      </c>
      <c r="B548" t="s">
        <v>22</v>
      </c>
      <c r="C548" t="s">
        <v>2579</v>
      </c>
      <c r="D548">
        <f>400-821-5500</f>
        <v>-5921</v>
      </c>
      <c r="E548" t="s">
        <v>2170</v>
      </c>
      <c r="F548" t="s">
        <v>2049</v>
      </c>
      <c r="G548" t="s">
        <v>2050</v>
      </c>
      <c r="H548">
        <v>117.22223238099301</v>
      </c>
      <c r="I548">
        <v>31.818048625449499</v>
      </c>
      <c r="J548">
        <v>210</v>
      </c>
      <c r="K548" t="s">
        <v>27</v>
      </c>
      <c r="L548" t="s">
        <v>27</v>
      </c>
      <c r="M548" t="s">
        <v>27</v>
      </c>
      <c r="N548" t="s">
        <v>27</v>
      </c>
      <c r="O548" t="s">
        <v>27</v>
      </c>
      <c r="P548" t="s">
        <v>27</v>
      </c>
      <c r="Q548" t="s">
        <v>27</v>
      </c>
      <c r="R548" t="s">
        <v>2580</v>
      </c>
      <c r="T548" t="s">
        <v>2172</v>
      </c>
      <c r="U548" t="s">
        <v>2581</v>
      </c>
    </row>
    <row r="549" spans="1:21" x14ac:dyDescent="0.25">
      <c r="A549" t="s">
        <v>2582</v>
      </c>
      <c r="B549" t="s">
        <v>38</v>
      </c>
      <c r="C549" t="s">
        <v>2583</v>
      </c>
      <c r="D549">
        <f t="shared" ref="D549:D554" si="15">86-400-821-5500</f>
        <v>-6635</v>
      </c>
      <c r="E549" t="s">
        <v>2110</v>
      </c>
      <c r="F549" t="s">
        <v>2049</v>
      </c>
      <c r="G549" t="s">
        <v>2050</v>
      </c>
      <c r="H549">
        <v>117.70686874445801</v>
      </c>
      <c r="I549">
        <v>39.024395816640997</v>
      </c>
      <c r="J549">
        <v>210</v>
      </c>
      <c r="K549" t="s">
        <v>1189</v>
      </c>
      <c r="L549" t="s">
        <v>1189</v>
      </c>
      <c r="M549" t="s">
        <v>1189</v>
      </c>
      <c r="N549" t="s">
        <v>1189</v>
      </c>
      <c r="O549" t="s">
        <v>1189</v>
      </c>
      <c r="P549" t="s">
        <v>1189</v>
      </c>
      <c r="Q549" t="s">
        <v>1189</v>
      </c>
      <c r="R549" t="s">
        <v>2584</v>
      </c>
      <c r="T549" t="s">
        <v>2112</v>
      </c>
      <c r="U549" t="s">
        <v>2585</v>
      </c>
    </row>
    <row r="550" spans="1:21" x14ac:dyDescent="0.25">
      <c r="A550" t="s">
        <v>2586</v>
      </c>
      <c r="B550" t="s">
        <v>38</v>
      </c>
      <c r="C550" t="s">
        <v>2587</v>
      </c>
      <c r="D550">
        <f t="shared" si="15"/>
        <v>-6635</v>
      </c>
      <c r="E550" t="s">
        <v>2203</v>
      </c>
      <c r="F550" t="s">
        <v>2049</v>
      </c>
      <c r="G550" t="s">
        <v>2050</v>
      </c>
      <c r="H550">
        <v>114.267468452453</v>
      </c>
      <c r="I550">
        <v>30.568542828776799</v>
      </c>
      <c r="J550">
        <v>210</v>
      </c>
      <c r="K550" t="s">
        <v>27</v>
      </c>
      <c r="L550" t="s">
        <v>27</v>
      </c>
      <c r="M550" t="s">
        <v>27</v>
      </c>
      <c r="N550" t="s">
        <v>27</v>
      </c>
      <c r="O550" t="s">
        <v>27</v>
      </c>
      <c r="P550" t="s">
        <v>27</v>
      </c>
      <c r="Q550" t="s">
        <v>27</v>
      </c>
      <c r="R550" t="s">
        <v>2588</v>
      </c>
      <c r="T550" t="s">
        <v>2431</v>
      </c>
      <c r="U550" t="s">
        <v>2589</v>
      </c>
    </row>
    <row r="551" spans="1:21" x14ac:dyDescent="0.25">
      <c r="A551" t="s">
        <v>2590</v>
      </c>
      <c r="B551" t="s">
        <v>22</v>
      </c>
      <c r="C551" t="s">
        <v>2591</v>
      </c>
      <c r="D551">
        <f t="shared" si="15"/>
        <v>-6635</v>
      </c>
      <c r="E551" t="s">
        <v>2170</v>
      </c>
      <c r="F551" t="s">
        <v>2049</v>
      </c>
      <c r="G551" t="s">
        <v>2050</v>
      </c>
      <c r="H551">
        <v>117.25249088801201</v>
      </c>
      <c r="I551">
        <v>31.854425320082999</v>
      </c>
      <c r="J551">
        <v>210</v>
      </c>
      <c r="K551" t="s">
        <v>27</v>
      </c>
      <c r="L551" t="s">
        <v>27</v>
      </c>
      <c r="M551" t="s">
        <v>27</v>
      </c>
      <c r="N551" t="s">
        <v>27</v>
      </c>
      <c r="O551" t="s">
        <v>27</v>
      </c>
      <c r="P551" t="s">
        <v>27</v>
      </c>
      <c r="Q551" t="s">
        <v>27</v>
      </c>
      <c r="R551" t="s">
        <v>2592</v>
      </c>
      <c r="T551" t="s">
        <v>2172</v>
      </c>
      <c r="U551" t="s">
        <v>2593</v>
      </c>
    </row>
    <row r="552" spans="1:21" x14ac:dyDescent="0.25">
      <c r="A552" t="s">
        <v>2594</v>
      </c>
      <c r="B552" t="s">
        <v>22</v>
      </c>
      <c r="C552" t="s">
        <v>2595</v>
      </c>
      <c r="D552">
        <f t="shared" si="15"/>
        <v>-6635</v>
      </c>
      <c r="E552" t="s">
        <v>2104</v>
      </c>
      <c r="F552" t="s">
        <v>2049</v>
      </c>
      <c r="G552" t="s">
        <v>2050</v>
      </c>
      <c r="H552">
        <v>121.40457499999999</v>
      </c>
      <c r="I552">
        <v>31.229185000000001</v>
      </c>
      <c r="J552">
        <v>210</v>
      </c>
      <c r="K552" t="s">
        <v>27</v>
      </c>
      <c r="L552" t="s">
        <v>27</v>
      </c>
      <c r="M552" t="s">
        <v>27</v>
      </c>
      <c r="N552" t="s">
        <v>27</v>
      </c>
      <c r="O552" t="s">
        <v>27</v>
      </c>
      <c r="P552" t="s">
        <v>27</v>
      </c>
      <c r="Q552" t="s">
        <v>27</v>
      </c>
      <c r="R552" t="s">
        <v>2596</v>
      </c>
      <c r="T552" t="s">
        <v>2106</v>
      </c>
      <c r="U552" t="s">
        <v>2597</v>
      </c>
    </row>
    <row r="553" spans="1:21" x14ac:dyDescent="0.25">
      <c r="A553" t="s">
        <v>2598</v>
      </c>
      <c r="B553" t="s">
        <v>38</v>
      </c>
      <c r="C553" t="s">
        <v>2272</v>
      </c>
      <c r="D553">
        <f t="shared" si="15"/>
        <v>-6635</v>
      </c>
      <c r="E553" t="s">
        <v>2599</v>
      </c>
      <c r="F553" t="s">
        <v>2049</v>
      </c>
      <c r="G553" t="s">
        <v>2050</v>
      </c>
      <c r="H553">
        <v>119.538569852184</v>
      </c>
      <c r="I553">
        <v>26.651781442913801</v>
      </c>
      <c r="J553">
        <v>210</v>
      </c>
      <c r="K553" t="s">
        <v>27</v>
      </c>
      <c r="L553" t="s">
        <v>27</v>
      </c>
      <c r="M553" t="s">
        <v>27</v>
      </c>
      <c r="N553" t="s">
        <v>27</v>
      </c>
      <c r="O553" t="s">
        <v>77</v>
      </c>
      <c r="P553" t="s">
        <v>77</v>
      </c>
      <c r="Q553" t="s">
        <v>77</v>
      </c>
      <c r="R553" t="s">
        <v>2600</v>
      </c>
      <c r="T553" t="s">
        <v>2209</v>
      </c>
      <c r="U553" t="s">
        <v>2601</v>
      </c>
    </row>
    <row r="554" spans="1:21" x14ac:dyDescent="0.25">
      <c r="A554" t="s">
        <v>2602</v>
      </c>
      <c r="B554" t="s">
        <v>38</v>
      </c>
      <c r="C554" t="s">
        <v>2603</v>
      </c>
      <c r="D554">
        <f t="shared" si="15"/>
        <v>-6635</v>
      </c>
      <c r="E554" t="s">
        <v>2081</v>
      </c>
      <c r="F554" t="s">
        <v>2049</v>
      </c>
      <c r="G554" t="s">
        <v>2050</v>
      </c>
      <c r="H554">
        <v>123.38058471679599</v>
      </c>
      <c r="I554">
        <v>41.814506140856302</v>
      </c>
      <c r="J554">
        <v>210</v>
      </c>
      <c r="K554" t="s">
        <v>2137</v>
      </c>
      <c r="L554" t="s">
        <v>2137</v>
      </c>
      <c r="M554" t="s">
        <v>2137</v>
      </c>
      <c r="N554" t="s">
        <v>2137</v>
      </c>
      <c r="O554" t="s">
        <v>2137</v>
      </c>
      <c r="P554" t="s">
        <v>2137</v>
      </c>
      <c r="Q554" t="s">
        <v>2137</v>
      </c>
      <c r="R554" t="s">
        <v>2604</v>
      </c>
      <c r="T554" t="s">
        <v>2083</v>
      </c>
      <c r="U554" t="s">
        <v>2605</v>
      </c>
    </row>
    <row r="555" spans="1:21" x14ac:dyDescent="0.25">
      <c r="A555" t="s">
        <v>2606</v>
      </c>
      <c r="B555" t="s">
        <v>38</v>
      </c>
      <c r="C555" t="s">
        <v>2607</v>
      </c>
      <c r="D555">
        <f>86-757-28099700</f>
        <v>-28100371</v>
      </c>
      <c r="E555" t="s">
        <v>2608</v>
      </c>
      <c r="F555" t="s">
        <v>2049</v>
      </c>
      <c r="G555" t="s">
        <v>2050</v>
      </c>
      <c r="H555">
        <v>113.27223975712501</v>
      </c>
      <c r="I555">
        <v>22.8343776104747</v>
      </c>
      <c r="J555">
        <v>210</v>
      </c>
      <c r="K555" t="s">
        <v>27</v>
      </c>
      <c r="L555" t="s">
        <v>27</v>
      </c>
      <c r="M555" t="s">
        <v>27</v>
      </c>
      <c r="N555" t="s">
        <v>27</v>
      </c>
      <c r="O555" t="s">
        <v>77</v>
      </c>
      <c r="P555" t="s">
        <v>77</v>
      </c>
      <c r="Q555" t="s">
        <v>27</v>
      </c>
      <c r="R555" t="s">
        <v>2609</v>
      </c>
      <c r="T555" t="s">
        <v>2095</v>
      </c>
      <c r="U555" t="s">
        <v>2610</v>
      </c>
    </row>
    <row r="556" spans="1:21" x14ac:dyDescent="0.25">
      <c r="A556" t="s">
        <v>2611</v>
      </c>
      <c r="B556" t="s">
        <v>38</v>
      </c>
      <c r="C556" t="s">
        <v>2612</v>
      </c>
      <c r="D556">
        <f>86-595-82156006</f>
        <v>-82156515</v>
      </c>
      <c r="E556" t="s">
        <v>2613</v>
      </c>
      <c r="F556" t="s">
        <v>2049</v>
      </c>
      <c r="G556" t="s">
        <v>2050</v>
      </c>
      <c r="H556">
        <v>118.580276</v>
      </c>
      <c r="I556">
        <v>24.824902000000002</v>
      </c>
      <c r="J556">
        <v>210</v>
      </c>
      <c r="K556" t="s">
        <v>27</v>
      </c>
      <c r="L556" t="s">
        <v>27</v>
      </c>
      <c r="M556" t="s">
        <v>27</v>
      </c>
      <c r="N556" t="s">
        <v>27</v>
      </c>
      <c r="O556" t="s">
        <v>77</v>
      </c>
      <c r="P556" t="s">
        <v>77</v>
      </c>
      <c r="Q556" t="s">
        <v>27</v>
      </c>
      <c r="R556" t="s">
        <v>2614</v>
      </c>
      <c r="T556" t="s">
        <v>2209</v>
      </c>
      <c r="U556" t="s">
        <v>2615</v>
      </c>
    </row>
    <row r="557" spans="1:21" x14ac:dyDescent="0.25">
      <c r="A557" t="s">
        <v>2616</v>
      </c>
      <c r="B557" t="s">
        <v>22</v>
      </c>
      <c r="C557" t="s">
        <v>2617</v>
      </c>
      <c r="D557">
        <f>86-400-821-5500</f>
        <v>-6635</v>
      </c>
      <c r="E557" t="s">
        <v>2618</v>
      </c>
      <c r="F557" t="s">
        <v>2049</v>
      </c>
      <c r="G557" t="s">
        <v>2050</v>
      </c>
      <c r="H557">
        <v>115.855433</v>
      </c>
      <c r="I557">
        <v>28.698637999999999</v>
      </c>
      <c r="J557">
        <v>210</v>
      </c>
      <c r="K557" t="s">
        <v>27</v>
      </c>
      <c r="L557" t="s">
        <v>27</v>
      </c>
      <c r="M557" t="s">
        <v>27</v>
      </c>
      <c r="N557" t="s">
        <v>27</v>
      </c>
      <c r="O557" t="s">
        <v>27</v>
      </c>
      <c r="P557" t="s">
        <v>27</v>
      </c>
      <c r="Q557" t="s">
        <v>27</v>
      </c>
      <c r="R557" t="s">
        <v>2619</v>
      </c>
      <c r="T557" t="s">
        <v>2620</v>
      </c>
      <c r="U557" t="s">
        <v>2621</v>
      </c>
    </row>
    <row r="558" spans="1:21" x14ac:dyDescent="0.25">
      <c r="A558" t="s">
        <v>2622</v>
      </c>
      <c r="B558" t="s">
        <v>22</v>
      </c>
      <c r="C558" t="s">
        <v>2623</v>
      </c>
      <c r="D558">
        <f>86-400-821-5500</f>
        <v>-6635</v>
      </c>
      <c r="E558" t="s">
        <v>2306</v>
      </c>
      <c r="F558" t="s">
        <v>2049</v>
      </c>
      <c r="G558" t="s">
        <v>2050</v>
      </c>
      <c r="H558">
        <v>112.97507286071701</v>
      </c>
      <c r="I558">
        <v>28.189454054241502</v>
      </c>
      <c r="J558">
        <v>210</v>
      </c>
      <c r="K558" t="s">
        <v>27</v>
      </c>
      <c r="L558" t="s">
        <v>27</v>
      </c>
      <c r="M558" t="s">
        <v>27</v>
      </c>
      <c r="N558" t="s">
        <v>27</v>
      </c>
      <c r="O558" t="s">
        <v>27</v>
      </c>
      <c r="P558" t="s">
        <v>27</v>
      </c>
      <c r="Q558" t="s">
        <v>27</v>
      </c>
      <c r="R558" t="s">
        <v>2624</v>
      </c>
      <c r="T558" t="s">
        <v>2308</v>
      </c>
      <c r="U558" t="s">
        <v>2625</v>
      </c>
    </row>
    <row r="559" spans="1:21" x14ac:dyDescent="0.25">
      <c r="A559" t="s">
        <v>2626</v>
      </c>
      <c r="B559" t="s">
        <v>38</v>
      </c>
      <c r="C559" t="s">
        <v>2627</v>
      </c>
      <c r="D559">
        <f>86-400-821-5500</f>
        <v>-6635</v>
      </c>
      <c r="E559" t="s">
        <v>2312</v>
      </c>
      <c r="F559" t="s">
        <v>2049</v>
      </c>
      <c r="G559" t="s">
        <v>2050</v>
      </c>
      <c r="H559">
        <v>120.2515959</v>
      </c>
      <c r="I559">
        <v>30.181896699999999</v>
      </c>
      <c r="J559">
        <v>210</v>
      </c>
      <c r="K559" t="s">
        <v>2068</v>
      </c>
      <c r="L559" t="s">
        <v>2068</v>
      </c>
      <c r="M559" t="s">
        <v>2068</v>
      </c>
      <c r="N559" t="s">
        <v>2068</v>
      </c>
      <c r="O559" t="s">
        <v>2069</v>
      </c>
      <c r="P559" t="s">
        <v>2069</v>
      </c>
      <c r="Q559" t="s">
        <v>2068</v>
      </c>
      <c r="R559" t="s">
        <v>2628</v>
      </c>
      <c r="T559" t="s">
        <v>2052</v>
      </c>
      <c r="U559" t="s">
        <v>2629</v>
      </c>
    </row>
    <row r="560" spans="1:21" x14ac:dyDescent="0.25">
      <c r="A560" t="s">
        <v>2630</v>
      </c>
      <c r="B560" t="s">
        <v>22</v>
      </c>
      <c r="C560" t="s">
        <v>2631</v>
      </c>
      <c r="D560">
        <f>86-400-821-5500</f>
        <v>-6635</v>
      </c>
      <c r="E560" t="s">
        <v>2087</v>
      </c>
      <c r="F560" t="s">
        <v>2049</v>
      </c>
      <c r="G560" t="s">
        <v>2050</v>
      </c>
      <c r="H560">
        <v>116.334990262985</v>
      </c>
      <c r="I560">
        <v>40.030259758033999</v>
      </c>
      <c r="J560">
        <v>210</v>
      </c>
      <c r="K560" t="s">
        <v>27</v>
      </c>
      <c r="L560" t="s">
        <v>27</v>
      </c>
      <c r="M560" t="s">
        <v>27</v>
      </c>
      <c r="N560" t="s">
        <v>27</v>
      </c>
      <c r="O560" t="s">
        <v>27</v>
      </c>
      <c r="P560" t="s">
        <v>27</v>
      </c>
      <c r="Q560" t="s">
        <v>27</v>
      </c>
      <c r="R560" t="s">
        <v>2632</v>
      </c>
      <c r="T560" t="s">
        <v>2089</v>
      </c>
      <c r="U560" t="s">
        <v>2633</v>
      </c>
    </row>
    <row r="561" spans="1:21" x14ac:dyDescent="0.25">
      <c r="A561" t="s">
        <v>2634</v>
      </c>
      <c r="B561" t="s">
        <v>22</v>
      </c>
      <c r="C561" t="s">
        <v>2086</v>
      </c>
      <c r="D561">
        <f>400-821-5500</f>
        <v>-5921</v>
      </c>
      <c r="E561" t="s">
        <v>2635</v>
      </c>
      <c r="F561" t="s">
        <v>2049</v>
      </c>
      <c r="G561" t="s">
        <v>2050</v>
      </c>
      <c r="H561">
        <v>108.391239499894</v>
      </c>
      <c r="I561">
        <v>22.813406376773699</v>
      </c>
      <c r="J561">
        <v>210</v>
      </c>
      <c r="K561" t="s">
        <v>27</v>
      </c>
      <c r="L561" t="s">
        <v>27</v>
      </c>
      <c r="M561" t="s">
        <v>27</v>
      </c>
      <c r="N561" t="s">
        <v>27</v>
      </c>
      <c r="O561" t="s">
        <v>77</v>
      </c>
      <c r="P561" t="s">
        <v>77</v>
      </c>
      <c r="Q561" t="s">
        <v>27</v>
      </c>
      <c r="R561" t="s">
        <v>2636</v>
      </c>
      <c r="T561" t="s">
        <v>2156</v>
      </c>
      <c r="U561" t="s">
        <v>2637</v>
      </c>
    </row>
    <row r="562" spans="1:21" x14ac:dyDescent="0.25">
      <c r="A562" t="s">
        <v>2638</v>
      </c>
      <c r="B562" t="s">
        <v>22</v>
      </c>
      <c r="C562" t="s">
        <v>2639</v>
      </c>
      <c r="D562">
        <f>400-821-5500</f>
        <v>-5921</v>
      </c>
      <c r="E562" t="s">
        <v>2207</v>
      </c>
      <c r="F562" t="s">
        <v>2049</v>
      </c>
      <c r="G562" t="s">
        <v>2050</v>
      </c>
      <c r="H562">
        <v>118.605056</v>
      </c>
      <c r="I562">
        <v>24.888387000000002</v>
      </c>
      <c r="J562">
        <v>210</v>
      </c>
      <c r="K562" t="s">
        <v>27</v>
      </c>
      <c r="L562" t="s">
        <v>27</v>
      </c>
      <c r="M562" t="s">
        <v>27</v>
      </c>
      <c r="N562" t="s">
        <v>27</v>
      </c>
      <c r="O562" t="s">
        <v>77</v>
      </c>
      <c r="P562" t="s">
        <v>77</v>
      </c>
      <c r="Q562" t="s">
        <v>27</v>
      </c>
      <c r="R562" t="s">
        <v>2640</v>
      </c>
      <c r="T562" t="s">
        <v>2209</v>
      </c>
      <c r="U562" t="s">
        <v>2641</v>
      </c>
    </row>
    <row r="563" spans="1:21" x14ac:dyDescent="0.25">
      <c r="A563" t="s">
        <v>2642</v>
      </c>
      <c r="B563" t="s">
        <v>32</v>
      </c>
      <c r="C563" t="s">
        <v>2643</v>
      </c>
      <c r="D563">
        <f>400-821-5500</f>
        <v>-5921</v>
      </c>
      <c r="E563" t="s">
        <v>2116</v>
      </c>
      <c r="F563" t="s">
        <v>2049</v>
      </c>
      <c r="G563" t="s">
        <v>2050</v>
      </c>
      <c r="H563">
        <v>114.05980046334901</v>
      </c>
      <c r="I563">
        <v>22.5341663688457</v>
      </c>
      <c r="J563">
        <v>210</v>
      </c>
      <c r="K563" t="s">
        <v>27</v>
      </c>
      <c r="L563" t="s">
        <v>27</v>
      </c>
      <c r="M563" t="s">
        <v>27</v>
      </c>
      <c r="N563" t="s">
        <v>27</v>
      </c>
      <c r="O563" t="s">
        <v>77</v>
      </c>
      <c r="P563" t="s">
        <v>77</v>
      </c>
      <c r="Q563" t="s">
        <v>27</v>
      </c>
      <c r="R563" t="s">
        <v>2644</v>
      </c>
      <c r="T563" t="s">
        <v>2095</v>
      </c>
      <c r="U563" t="s">
        <v>2645</v>
      </c>
    </row>
    <row r="564" spans="1:21" x14ac:dyDescent="0.25">
      <c r="A564" t="s">
        <v>2646</v>
      </c>
      <c r="B564" t="s">
        <v>22</v>
      </c>
      <c r="C564" t="s">
        <v>2647</v>
      </c>
      <c r="D564">
        <f>86-400-821-5500</f>
        <v>-6635</v>
      </c>
      <c r="E564" t="s">
        <v>2160</v>
      </c>
      <c r="F564" t="s">
        <v>2049</v>
      </c>
      <c r="G564" t="s">
        <v>2050</v>
      </c>
      <c r="H564">
        <v>118.765322149829</v>
      </c>
      <c r="I564">
        <v>32.008880865704903</v>
      </c>
      <c r="J564">
        <v>210</v>
      </c>
      <c r="K564" t="s">
        <v>27</v>
      </c>
      <c r="L564" t="s">
        <v>27</v>
      </c>
      <c r="M564" t="s">
        <v>27</v>
      </c>
      <c r="N564" t="s">
        <v>27</v>
      </c>
      <c r="O564" t="s">
        <v>27</v>
      </c>
      <c r="P564" t="s">
        <v>27</v>
      </c>
      <c r="Q564" t="s">
        <v>27</v>
      </c>
      <c r="R564" t="s">
        <v>2648</v>
      </c>
      <c r="T564" t="s">
        <v>2063</v>
      </c>
      <c r="U564" t="s">
        <v>2649</v>
      </c>
    </row>
    <row r="565" spans="1:21" x14ac:dyDescent="0.25">
      <c r="A565" t="s">
        <v>2650</v>
      </c>
      <c r="B565" t="s">
        <v>38</v>
      </c>
      <c r="C565" t="s">
        <v>2651</v>
      </c>
      <c r="D565">
        <f>86-400-821-5500</f>
        <v>-6635</v>
      </c>
      <c r="E565" t="s">
        <v>2067</v>
      </c>
      <c r="F565" t="s">
        <v>2049</v>
      </c>
      <c r="G565" t="s">
        <v>2050</v>
      </c>
      <c r="H565">
        <v>120.436390271966</v>
      </c>
      <c r="I565">
        <v>36.167153476838699</v>
      </c>
      <c r="J565">
        <v>210</v>
      </c>
      <c r="K565" t="s">
        <v>2137</v>
      </c>
      <c r="L565" t="s">
        <v>2137</v>
      </c>
      <c r="M565" t="s">
        <v>2137</v>
      </c>
      <c r="N565" t="s">
        <v>2137</v>
      </c>
      <c r="O565" t="s">
        <v>2137</v>
      </c>
      <c r="P565" t="s">
        <v>2137</v>
      </c>
      <c r="Q565" t="s">
        <v>2137</v>
      </c>
      <c r="R565" t="s">
        <v>2652</v>
      </c>
      <c r="T565" t="s">
        <v>2071</v>
      </c>
      <c r="U565" t="s">
        <v>2653</v>
      </c>
    </row>
    <row r="566" spans="1:21" x14ac:dyDescent="0.25">
      <c r="A566" t="s">
        <v>2654</v>
      </c>
      <c r="B566" t="s">
        <v>22</v>
      </c>
      <c r="C566" t="s">
        <v>2655</v>
      </c>
      <c r="D566">
        <f>86-400-821-5500</f>
        <v>-6635</v>
      </c>
      <c r="E566" t="s">
        <v>2087</v>
      </c>
      <c r="F566" t="s">
        <v>2049</v>
      </c>
      <c r="G566" t="s">
        <v>2050</v>
      </c>
      <c r="H566">
        <v>116.59889624879401</v>
      </c>
      <c r="I566">
        <v>39.926404544757297</v>
      </c>
      <c r="J566">
        <v>210</v>
      </c>
      <c r="K566" t="s">
        <v>2068</v>
      </c>
      <c r="L566" t="s">
        <v>2068</v>
      </c>
      <c r="M566" t="s">
        <v>2068</v>
      </c>
      <c r="N566" t="s">
        <v>2068</v>
      </c>
      <c r="O566" t="s">
        <v>2068</v>
      </c>
      <c r="P566" t="s">
        <v>2068</v>
      </c>
      <c r="Q566" t="s">
        <v>2068</v>
      </c>
      <c r="R566" t="s">
        <v>2656</v>
      </c>
      <c r="T566" t="s">
        <v>2089</v>
      </c>
      <c r="U566" t="s">
        <v>2657</v>
      </c>
    </row>
    <row r="567" spans="1:21" x14ac:dyDescent="0.25">
      <c r="A567" t="s">
        <v>2658</v>
      </c>
      <c r="B567" t="s">
        <v>38</v>
      </c>
      <c r="C567" t="s">
        <v>2659</v>
      </c>
      <c r="D567">
        <f>86-400-821-5500</f>
        <v>-6635</v>
      </c>
      <c r="E567" t="s">
        <v>2660</v>
      </c>
      <c r="F567" t="s">
        <v>2049</v>
      </c>
      <c r="G567" t="s">
        <v>2050</v>
      </c>
      <c r="H567">
        <v>118.327876925468</v>
      </c>
      <c r="I567">
        <v>35.065692130896501</v>
      </c>
      <c r="J567">
        <v>210</v>
      </c>
      <c r="K567" t="s">
        <v>2068</v>
      </c>
      <c r="L567" t="s">
        <v>2068</v>
      </c>
      <c r="M567" t="s">
        <v>2068</v>
      </c>
      <c r="N567" t="s">
        <v>2068</v>
      </c>
      <c r="O567" t="s">
        <v>2068</v>
      </c>
      <c r="P567" t="s">
        <v>2068</v>
      </c>
      <c r="Q567" t="s">
        <v>2068</v>
      </c>
      <c r="R567" t="s">
        <v>2661</v>
      </c>
      <c r="T567" t="s">
        <v>2071</v>
      </c>
      <c r="U567" t="s">
        <v>2662</v>
      </c>
    </row>
    <row r="568" spans="1:21" x14ac:dyDescent="0.25">
      <c r="A568" t="s">
        <v>2663</v>
      </c>
      <c r="B568" t="s">
        <v>22</v>
      </c>
      <c r="C568" t="s">
        <v>2664</v>
      </c>
      <c r="D568">
        <f>400-821-5500</f>
        <v>-5921</v>
      </c>
      <c r="E568" t="s">
        <v>2402</v>
      </c>
      <c r="F568" t="s">
        <v>2049</v>
      </c>
      <c r="G568" t="s">
        <v>2050</v>
      </c>
      <c r="H568">
        <v>104.067645</v>
      </c>
      <c r="I568">
        <v>30.631042000000001</v>
      </c>
      <c r="J568">
        <v>210</v>
      </c>
      <c r="K568" t="s">
        <v>27</v>
      </c>
      <c r="L568" t="s">
        <v>27</v>
      </c>
      <c r="M568" t="s">
        <v>27</v>
      </c>
      <c r="N568" t="s">
        <v>27</v>
      </c>
      <c r="O568" t="s">
        <v>27</v>
      </c>
      <c r="P568" t="s">
        <v>27</v>
      </c>
      <c r="Q568" t="s">
        <v>27</v>
      </c>
      <c r="R568" t="s">
        <v>2665</v>
      </c>
      <c r="T568" t="s">
        <v>2150</v>
      </c>
      <c r="U568" t="s">
        <v>2666</v>
      </c>
    </row>
    <row r="569" spans="1:21" x14ac:dyDescent="0.25">
      <c r="A569" t="s">
        <v>2667</v>
      </c>
      <c r="B569" t="s">
        <v>22</v>
      </c>
      <c r="C569" t="s">
        <v>2668</v>
      </c>
      <c r="D569">
        <f>86-400-821-5500</f>
        <v>-6635</v>
      </c>
      <c r="E569" t="s">
        <v>2067</v>
      </c>
      <c r="F569" t="s">
        <v>2049</v>
      </c>
      <c r="G569" t="s">
        <v>2050</v>
      </c>
      <c r="H569">
        <v>120.425769920959</v>
      </c>
      <c r="I569">
        <v>36.160800980724098</v>
      </c>
      <c r="J569">
        <v>210</v>
      </c>
      <c r="K569" t="s">
        <v>2068</v>
      </c>
      <c r="L569" t="s">
        <v>2068</v>
      </c>
      <c r="M569" t="s">
        <v>2068</v>
      </c>
      <c r="N569" t="s">
        <v>2068</v>
      </c>
      <c r="O569" t="s">
        <v>2068</v>
      </c>
      <c r="P569" t="s">
        <v>2068</v>
      </c>
      <c r="Q569" t="s">
        <v>2068</v>
      </c>
      <c r="R569" t="s">
        <v>2669</v>
      </c>
      <c r="T569" t="s">
        <v>2071</v>
      </c>
      <c r="U569" t="s">
        <v>2670</v>
      </c>
    </row>
    <row r="570" spans="1:21" x14ac:dyDescent="0.25">
      <c r="A570" t="s">
        <v>2671</v>
      </c>
      <c r="B570" t="s">
        <v>38</v>
      </c>
      <c r="C570" t="s">
        <v>2672</v>
      </c>
      <c r="D570">
        <f>400-821-5500</f>
        <v>-5921</v>
      </c>
      <c r="E570" t="s">
        <v>2673</v>
      </c>
      <c r="F570" t="s">
        <v>2049</v>
      </c>
      <c r="G570" t="s">
        <v>2050</v>
      </c>
      <c r="H570">
        <v>117.68437900000001</v>
      </c>
      <c r="I570">
        <v>24.503321</v>
      </c>
      <c r="J570">
        <v>210</v>
      </c>
      <c r="K570" t="s">
        <v>27</v>
      </c>
      <c r="L570" t="s">
        <v>27</v>
      </c>
      <c r="M570" t="s">
        <v>27</v>
      </c>
      <c r="N570" t="s">
        <v>27</v>
      </c>
      <c r="O570" t="s">
        <v>77</v>
      </c>
      <c r="P570" t="s">
        <v>77</v>
      </c>
      <c r="Q570" t="s">
        <v>27</v>
      </c>
      <c r="R570" t="s">
        <v>2674</v>
      </c>
      <c r="T570" t="s">
        <v>2209</v>
      </c>
      <c r="U570" t="s">
        <v>2675</v>
      </c>
    </row>
    <row r="571" spans="1:21" x14ac:dyDescent="0.25">
      <c r="A571" t="s">
        <v>2676</v>
      </c>
      <c r="B571" t="s">
        <v>22</v>
      </c>
      <c r="C571" t="s">
        <v>2677</v>
      </c>
      <c r="D571">
        <f>86-400-821-5500</f>
        <v>-6635</v>
      </c>
      <c r="E571" t="s">
        <v>2468</v>
      </c>
      <c r="F571" t="s">
        <v>2049</v>
      </c>
      <c r="G571" t="s">
        <v>2050</v>
      </c>
      <c r="H571">
        <v>125.29523065275799</v>
      </c>
      <c r="I571">
        <v>43.867109441457202</v>
      </c>
      <c r="J571">
        <v>210</v>
      </c>
      <c r="K571" t="s">
        <v>2069</v>
      </c>
      <c r="L571" t="s">
        <v>2069</v>
      </c>
      <c r="M571" t="s">
        <v>2069</v>
      </c>
      <c r="N571" t="s">
        <v>2069</v>
      </c>
      <c r="O571" t="s">
        <v>2069</v>
      </c>
      <c r="P571" t="s">
        <v>2069</v>
      </c>
      <c r="Q571" t="s">
        <v>2069</v>
      </c>
      <c r="R571" t="s">
        <v>2678</v>
      </c>
      <c r="T571" t="s">
        <v>2319</v>
      </c>
      <c r="U571" t="s">
        <v>2679</v>
      </c>
    </row>
    <row r="572" spans="1:21" x14ac:dyDescent="0.25">
      <c r="A572" t="s">
        <v>2680</v>
      </c>
      <c r="B572" t="s">
        <v>38</v>
      </c>
      <c r="C572" t="s">
        <v>2681</v>
      </c>
      <c r="D572">
        <f>400-821-5500</f>
        <v>-5921</v>
      </c>
      <c r="E572" t="s">
        <v>2116</v>
      </c>
      <c r="F572" t="s">
        <v>2049</v>
      </c>
      <c r="G572" t="s">
        <v>2050</v>
      </c>
      <c r="H572">
        <v>113.94533199999999</v>
      </c>
      <c r="I572">
        <v>22.504401000000001</v>
      </c>
      <c r="J572">
        <v>210</v>
      </c>
      <c r="K572" t="s">
        <v>27</v>
      </c>
      <c r="L572" t="s">
        <v>27</v>
      </c>
      <c r="M572" t="s">
        <v>27</v>
      </c>
      <c r="N572" t="s">
        <v>27</v>
      </c>
      <c r="O572" t="s">
        <v>77</v>
      </c>
      <c r="P572" t="s">
        <v>77</v>
      </c>
      <c r="Q572" t="s">
        <v>27</v>
      </c>
      <c r="R572" t="s">
        <v>2682</v>
      </c>
      <c r="T572" t="s">
        <v>2095</v>
      </c>
      <c r="U572" t="s">
        <v>2683</v>
      </c>
    </row>
    <row r="573" spans="1:21" x14ac:dyDescent="0.25">
      <c r="A573" t="s">
        <v>2684</v>
      </c>
      <c r="B573" t="s">
        <v>38</v>
      </c>
      <c r="C573" t="s">
        <v>2685</v>
      </c>
      <c r="D573">
        <f>400-821-5500</f>
        <v>-5921</v>
      </c>
      <c r="E573" t="s">
        <v>2402</v>
      </c>
      <c r="F573" t="s">
        <v>2049</v>
      </c>
      <c r="G573" t="s">
        <v>2050</v>
      </c>
      <c r="H573">
        <v>104.074545</v>
      </c>
      <c r="I573">
        <v>30.686719</v>
      </c>
      <c r="J573">
        <v>210</v>
      </c>
      <c r="K573" t="s">
        <v>27</v>
      </c>
      <c r="L573" t="s">
        <v>27</v>
      </c>
      <c r="M573" t="s">
        <v>27</v>
      </c>
      <c r="N573" t="s">
        <v>27</v>
      </c>
      <c r="O573" t="s">
        <v>77</v>
      </c>
      <c r="P573" t="s">
        <v>77</v>
      </c>
      <c r="Q573" t="s">
        <v>27</v>
      </c>
      <c r="R573" t="s">
        <v>2686</v>
      </c>
      <c r="T573" t="s">
        <v>2150</v>
      </c>
      <c r="U573" t="s">
        <v>2687</v>
      </c>
    </row>
    <row r="574" spans="1:21" x14ac:dyDescent="0.25">
      <c r="A574" t="s">
        <v>2688</v>
      </c>
      <c r="B574" t="s">
        <v>38</v>
      </c>
      <c r="C574" t="s">
        <v>2689</v>
      </c>
      <c r="D574">
        <f>86-400-821-5500</f>
        <v>-6635</v>
      </c>
      <c r="E574" t="s">
        <v>2690</v>
      </c>
      <c r="F574" t="s">
        <v>2049</v>
      </c>
      <c r="G574" t="s">
        <v>2050</v>
      </c>
      <c r="H574">
        <v>122.987126111984</v>
      </c>
      <c r="I574">
        <v>41.110569180782399</v>
      </c>
      <c r="J574">
        <v>210</v>
      </c>
      <c r="K574" t="s">
        <v>312</v>
      </c>
      <c r="L574" t="s">
        <v>312</v>
      </c>
      <c r="M574" t="s">
        <v>312</v>
      </c>
      <c r="N574" t="s">
        <v>312</v>
      </c>
      <c r="O574" t="s">
        <v>312</v>
      </c>
      <c r="P574" t="s">
        <v>312</v>
      </c>
      <c r="Q574" t="s">
        <v>312</v>
      </c>
      <c r="R574" t="s">
        <v>2691</v>
      </c>
      <c r="T574" t="s">
        <v>2083</v>
      </c>
      <c r="U574" t="s">
        <v>2692</v>
      </c>
    </row>
    <row r="575" spans="1:21" x14ac:dyDescent="0.25">
      <c r="A575" t="s">
        <v>2693</v>
      </c>
      <c r="B575" t="s">
        <v>38</v>
      </c>
      <c r="C575" t="s">
        <v>2694</v>
      </c>
      <c r="D575">
        <f>400-821-5500</f>
        <v>-5921</v>
      </c>
      <c r="E575" t="s">
        <v>2048</v>
      </c>
      <c r="F575" t="s">
        <v>2049</v>
      </c>
      <c r="G575" t="s">
        <v>2050</v>
      </c>
      <c r="H575">
        <v>121.566894203704</v>
      </c>
      <c r="I575">
        <v>29.834436472734801</v>
      </c>
      <c r="J575">
        <v>210</v>
      </c>
      <c r="K575" t="s">
        <v>27</v>
      </c>
      <c r="L575" t="s">
        <v>27</v>
      </c>
      <c r="M575" t="s">
        <v>27</v>
      </c>
      <c r="N575" t="s">
        <v>27</v>
      </c>
      <c r="O575" t="s">
        <v>27</v>
      </c>
      <c r="P575" t="s">
        <v>27</v>
      </c>
      <c r="Q575" t="s">
        <v>27</v>
      </c>
      <c r="R575" t="s">
        <v>2695</v>
      </c>
      <c r="T575" t="s">
        <v>2052</v>
      </c>
      <c r="U575" t="s">
        <v>2696</v>
      </c>
    </row>
    <row r="576" spans="1:21" x14ac:dyDescent="0.25">
      <c r="A576" t="s">
        <v>2697</v>
      </c>
      <c r="B576" t="s">
        <v>38</v>
      </c>
      <c r="C576" t="s">
        <v>2698</v>
      </c>
      <c r="D576">
        <f>400-821-5500</f>
        <v>-5921</v>
      </c>
      <c r="E576" t="s">
        <v>2402</v>
      </c>
      <c r="F576" t="s">
        <v>2049</v>
      </c>
      <c r="G576" t="s">
        <v>2050</v>
      </c>
      <c r="H576">
        <v>104.112408</v>
      </c>
      <c r="I576">
        <v>30.667556999999999</v>
      </c>
      <c r="J576">
        <v>210</v>
      </c>
      <c r="K576" t="s">
        <v>27</v>
      </c>
      <c r="L576" t="s">
        <v>27</v>
      </c>
      <c r="M576" t="s">
        <v>27</v>
      </c>
      <c r="N576" t="s">
        <v>27</v>
      </c>
      <c r="O576" t="s">
        <v>27</v>
      </c>
      <c r="P576" t="s">
        <v>27</v>
      </c>
      <c r="Q576" t="s">
        <v>27</v>
      </c>
      <c r="R576" t="s">
        <v>2699</v>
      </c>
      <c r="T576" t="s">
        <v>2150</v>
      </c>
      <c r="U576" t="s">
        <v>2700</v>
      </c>
    </row>
    <row r="577" spans="1:21" x14ac:dyDescent="0.25">
      <c r="A577" t="s">
        <v>2701</v>
      </c>
      <c r="B577" t="s">
        <v>22</v>
      </c>
      <c r="C577" t="s">
        <v>2272</v>
      </c>
      <c r="D577">
        <f>86-400-821-5500</f>
        <v>-6635</v>
      </c>
      <c r="E577" t="s">
        <v>2439</v>
      </c>
      <c r="F577" t="s">
        <v>2049</v>
      </c>
      <c r="G577" t="s">
        <v>2050</v>
      </c>
      <c r="H577">
        <v>108.96384810000001</v>
      </c>
      <c r="I577">
        <v>34.229620199999999</v>
      </c>
      <c r="J577">
        <v>210</v>
      </c>
      <c r="K577" t="s">
        <v>27</v>
      </c>
      <c r="L577" t="s">
        <v>27</v>
      </c>
      <c r="M577" t="s">
        <v>27</v>
      </c>
      <c r="N577" t="s">
        <v>27</v>
      </c>
      <c r="O577" t="s">
        <v>27</v>
      </c>
      <c r="P577" t="s">
        <v>27</v>
      </c>
      <c r="Q577" t="s">
        <v>27</v>
      </c>
      <c r="R577" t="s">
        <v>2702</v>
      </c>
      <c r="T577" t="s">
        <v>2441</v>
      </c>
      <c r="U577" t="s">
        <v>2703</v>
      </c>
    </row>
    <row r="578" spans="1:21" x14ac:dyDescent="0.25">
      <c r="A578" t="s">
        <v>2704</v>
      </c>
      <c r="B578" t="s">
        <v>22</v>
      </c>
      <c r="C578" t="s">
        <v>2705</v>
      </c>
      <c r="D578">
        <f>400-821-5500</f>
        <v>-5921</v>
      </c>
      <c r="E578" t="s">
        <v>2402</v>
      </c>
      <c r="F578" t="s">
        <v>2049</v>
      </c>
      <c r="G578" t="s">
        <v>2050</v>
      </c>
      <c r="H578">
        <v>104.0693</v>
      </c>
      <c r="I578">
        <v>30.571954999999999</v>
      </c>
      <c r="J578">
        <v>210</v>
      </c>
      <c r="K578" t="s">
        <v>27</v>
      </c>
      <c r="L578" t="s">
        <v>27</v>
      </c>
      <c r="M578" t="s">
        <v>27</v>
      </c>
      <c r="N578" t="s">
        <v>27</v>
      </c>
      <c r="O578" t="s">
        <v>27</v>
      </c>
      <c r="P578" t="s">
        <v>27</v>
      </c>
      <c r="Q578" t="s">
        <v>27</v>
      </c>
      <c r="R578" t="s">
        <v>2706</v>
      </c>
      <c r="T578" t="s">
        <v>2150</v>
      </c>
      <c r="U578" t="s">
        <v>2707</v>
      </c>
    </row>
    <row r="579" spans="1:21" x14ac:dyDescent="0.25">
      <c r="A579" t="s">
        <v>2708</v>
      </c>
      <c r="B579" t="s">
        <v>38</v>
      </c>
      <c r="C579" t="s">
        <v>2709</v>
      </c>
      <c r="D579">
        <f>86-400-821-5500</f>
        <v>-6635</v>
      </c>
      <c r="E579" t="s">
        <v>2198</v>
      </c>
      <c r="F579" t="s">
        <v>2049</v>
      </c>
      <c r="G579" t="s">
        <v>2050</v>
      </c>
      <c r="H579">
        <v>113.153918600536</v>
      </c>
      <c r="I579">
        <v>23.0116008757808</v>
      </c>
      <c r="J579">
        <v>210</v>
      </c>
      <c r="K579" t="s">
        <v>27</v>
      </c>
      <c r="L579" t="s">
        <v>27</v>
      </c>
      <c r="M579" t="s">
        <v>27</v>
      </c>
      <c r="N579" t="s">
        <v>27</v>
      </c>
      <c r="O579" t="s">
        <v>77</v>
      </c>
      <c r="P579" t="s">
        <v>77</v>
      </c>
      <c r="Q579" t="s">
        <v>27</v>
      </c>
      <c r="R579" t="s">
        <v>2710</v>
      </c>
      <c r="T579" t="s">
        <v>2095</v>
      </c>
      <c r="U579" t="s">
        <v>2711</v>
      </c>
    </row>
    <row r="580" spans="1:21" x14ac:dyDescent="0.25">
      <c r="A580" t="s">
        <v>2712</v>
      </c>
      <c r="B580" t="s">
        <v>22</v>
      </c>
      <c r="C580" t="s">
        <v>2713</v>
      </c>
      <c r="D580">
        <f>400-821-5500</f>
        <v>-5921</v>
      </c>
      <c r="E580" t="s">
        <v>2116</v>
      </c>
      <c r="F580" t="s">
        <v>2049</v>
      </c>
      <c r="G580" t="s">
        <v>2050</v>
      </c>
      <c r="H580">
        <v>114.243759338904</v>
      </c>
      <c r="I580">
        <v>22.714640153135999</v>
      </c>
      <c r="J580">
        <v>210</v>
      </c>
      <c r="K580" t="s">
        <v>27</v>
      </c>
      <c r="L580" t="s">
        <v>27</v>
      </c>
      <c r="M580" t="s">
        <v>27</v>
      </c>
      <c r="N580" t="s">
        <v>27</v>
      </c>
      <c r="O580" t="s">
        <v>77</v>
      </c>
      <c r="P580" t="s">
        <v>77</v>
      </c>
      <c r="Q580" t="s">
        <v>27</v>
      </c>
      <c r="R580" t="s">
        <v>2714</v>
      </c>
      <c r="T580" t="s">
        <v>2095</v>
      </c>
      <c r="U580" t="s">
        <v>2715</v>
      </c>
    </row>
    <row r="581" spans="1:21" x14ac:dyDescent="0.25">
      <c r="A581" t="s">
        <v>2716</v>
      </c>
      <c r="B581" t="s">
        <v>22</v>
      </c>
      <c r="C581" t="s">
        <v>2717</v>
      </c>
      <c r="D581">
        <f>86-400-821-5500</f>
        <v>-6635</v>
      </c>
      <c r="E581" t="s">
        <v>2093</v>
      </c>
      <c r="F581" t="s">
        <v>2049</v>
      </c>
      <c r="G581" t="s">
        <v>2050</v>
      </c>
      <c r="H581">
        <v>113.26730056757199</v>
      </c>
      <c r="I581">
        <v>23.1723289162837</v>
      </c>
      <c r="J581">
        <v>210</v>
      </c>
      <c r="K581" t="s">
        <v>27</v>
      </c>
      <c r="L581" t="s">
        <v>27</v>
      </c>
      <c r="M581" t="s">
        <v>27</v>
      </c>
      <c r="N581" t="s">
        <v>27</v>
      </c>
      <c r="O581" t="s">
        <v>77</v>
      </c>
      <c r="P581" t="s">
        <v>77</v>
      </c>
      <c r="Q581" t="s">
        <v>27</v>
      </c>
      <c r="R581" t="s">
        <v>2718</v>
      </c>
      <c r="T581" t="s">
        <v>2095</v>
      </c>
      <c r="U581" t="s">
        <v>2719</v>
      </c>
    </row>
    <row r="582" spans="1:21" x14ac:dyDescent="0.25">
      <c r="A582" t="s">
        <v>2720</v>
      </c>
      <c r="B582" t="s">
        <v>22</v>
      </c>
      <c r="C582" t="s">
        <v>2721</v>
      </c>
      <c r="D582">
        <f>400-821-5500</f>
        <v>-5921</v>
      </c>
      <c r="E582" t="s">
        <v>2116</v>
      </c>
      <c r="F582" t="s">
        <v>2049</v>
      </c>
      <c r="G582" t="s">
        <v>2050</v>
      </c>
      <c r="H582">
        <v>113.994378</v>
      </c>
      <c r="I582">
        <v>22.529699999999998</v>
      </c>
      <c r="J582">
        <v>210</v>
      </c>
      <c r="K582" t="s">
        <v>27</v>
      </c>
      <c r="L582" t="s">
        <v>27</v>
      </c>
      <c r="M582" t="s">
        <v>27</v>
      </c>
      <c r="N582" t="s">
        <v>27</v>
      </c>
      <c r="O582" t="s">
        <v>77</v>
      </c>
      <c r="P582" t="s">
        <v>77</v>
      </c>
      <c r="Q582" t="s">
        <v>27</v>
      </c>
      <c r="R582" t="s">
        <v>2722</v>
      </c>
      <c r="T582" t="s">
        <v>2095</v>
      </c>
      <c r="U582" t="s">
        <v>2723</v>
      </c>
    </row>
    <row r="583" spans="1:21" x14ac:dyDescent="0.25">
      <c r="A583" t="s">
        <v>2724</v>
      </c>
      <c r="B583" t="s">
        <v>22</v>
      </c>
      <c r="C583" t="s">
        <v>2725</v>
      </c>
      <c r="D583">
        <f>400-821-5500</f>
        <v>-5921</v>
      </c>
      <c r="E583" t="s">
        <v>2516</v>
      </c>
      <c r="F583" t="s">
        <v>2049</v>
      </c>
      <c r="G583" t="s">
        <v>2050</v>
      </c>
      <c r="H583">
        <v>119.327096157733</v>
      </c>
      <c r="I583">
        <v>26.139861152090401</v>
      </c>
      <c r="J583">
        <v>210</v>
      </c>
      <c r="K583" t="s">
        <v>27</v>
      </c>
      <c r="L583" t="s">
        <v>27</v>
      </c>
      <c r="M583" t="s">
        <v>27</v>
      </c>
      <c r="N583" t="s">
        <v>27</v>
      </c>
      <c r="O583" t="s">
        <v>77</v>
      </c>
      <c r="P583" t="s">
        <v>77</v>
      </c>
      <c r="Q583" t="s">
        <v>27</v>
      </c>
      <c r="R583" t="s">
        <v>2726</v>
      </c>
      <c r="T583" t="s">
        <v>2209</v>
      </c>
      <c r="U583" t="s">
        <v>2727</v>
      </c>
    </row>
    <row r="584" spans="1:21" x14ac:dyDescent="0.25">
      <c r="A584" t="s">
        <v>2728</v>
      </c>
      <c r="B584" t="s">
        <v>22</v>
      </c>
      <c r="C584" t="s">
        <v>2729</v>
      </c>
      <c r="D584">
        <f>86-400-821-5500</f>
        <v>-6635</v>
      </c>
      <c r="E584" t="s">
        <v>2730</v>
      </c>
      <c r="F584" t="s">
        <v>2049</v>
      </c>
      <c r="G584" t="s">
        <v>2050</v>
      </c>
      <c r="H584">
        <v>111.463508774414</v>
      </c>
      <c r="I584">
        <v>27.234130473703001</v>
      </c>
      <c r="J584">
        <v>210</v>
      </c>
      <c r="K584" t="s">
        <v>27</v>
      </c>
      <c r="L584" t="s">
        <v>27</v>
      </c>
      <c r="M584" t="s">
        <v>27</v>
      </c>
      <c r="N584" t="s">
        <v>27</v>
      </c>
      <c r="O584" t="s">
        <v>27</v>
      </c>
      <c r="P584" t="s">
        <v>27</v>
      </c>
      <c r="Q584" t="s">
        <v>27</v>
      </c>
      <c r="R584" t="s">
        <v>2731</v>
      </c>
      <c r="T584" t="s">
        <v>2139</v>
      </c>
      <c r="U584" t="s">
        <v>2732</v>
      </c>
    </row>
    <row r="585" spans="1:21" x14ac:dyDescent="0.25">
      <c r="A585" t="s">
        <v>2733</v>
      </c>
      <c r="B585" t="s">
        <v>22</v>
      </c>
      <c r="C585" t="s">
        <v>2734</v>
      </c>
      <c r="D585">
        <f>86-400-821-5500</f>
        <v>-6635</v>
      </c>
      <c r="E585" t="s">
        <v>2312</v>
      </c>
      <c r="F585" t="s">
        <v>2049</v>
      </c>
      <c r="G585" t="s">
        <v>2050</v>
      </c>
      <c r="H585">
        <v>120.10664022565901</v>
      </c>
      <c r="I585">
        <v>30.299362654114201</v>
      </c>
      <c r="J585">
        <v>210</v>
      </c>
      <c r="K585" t="s">
        <v>27</v>
      </c>
      <c r="L585" t="s">
        <v>27</v>
      </c>
      <c r="M585" t="s">
        <v>27</v>
      </c>
      <c r="N585" t="s">
        <v>27</v>
      </c>
      <c r="O585" t="s">
        <v>27</v>
      </c>
      <c r="P585" t="s">
        <v>27</v>
      </c>
      <c r="Q585" t="s">
        <v>27</v>
      </c>
      <c r="R585" t="s">
        <v>2735</v>
      </c>
      <c r="T585" t="s">
        <v>2052</v>
      </c>
      <c r="U585" t="s">
        <v>2736</v>
      </c>
    </row>
    <row r="586" spans="1:21" x14ac:dyDescent="0.25">
      <c r="A586" t="s">
        <v>2737</v>
      </c>
      <c r="B586" t="s">
        <v>38</v>
      </c>
      <c r="C586" t="s">
        <v>2738</v>
      </c>
      <c r="D586">
        <f>86-400-821-5500</f>
        <v>-6635</v>
      </c>
      <c r="E586" t="s">
        <v>2279</v>
      </c>
      <c r="F586" t="s">
        <v>2049</v>
      </c>
      <c r="G586" t="s">
        <v>2050</v>
      </c>
      <c r="H586">
        <v>121.51815499999999</v>
      </c>
      <c r="I586">
        <v>38.848579999999998</v>
      </c>
      <c r="J586">
        <v>210</v>
      </c>
      <c r="K586" t="s">
        <v>290</v>
      </c>
      <c r="L586" t="s">
        <v>290</v>
      </c>
      <c r="M586" t="s">
        <v>290</v>
      </c>
      <c r="N586" t="s">
        <v>290</v>
      </c>
      <c r="O586" t="s">
        <v>290</v>
      </c>
      <c r="P586" t="s">
        <v>290</v>
      </c>
      <c r="Q586" t="s">
        <v>290</v>
      </c>
      <c r="R586" t="s">
        <v>2739</v>
      </c>
      <c r="T586" t="s">
        <v>2083</v>
      </c>
      <c r="U586" t="s">
        <v>2740</v>
      </c>
    </row>
    <row r="587" spans="1:21" x14ac:dyDescent="0.25">
      <c r="A587" t="s">
        <v>2741</v>
      </c>
      <c r="B587" t="s">
        <v>22</v>
      </c>
      <c r="C587" t="s">
        <v>2742</v>
      </c>
      <c r="D587">
        <f>400-821-5500</f>
        <v>-5921</v>
      </c>
      <c r="E587" t="s">
        <v>2743</v>
      </c>
      <c r="F587" t="s">
        <v>2049</v>
      </c>
      <c r="G587" t="s">
        <v>2050</v>
      </c>
      <c r="H587">
        <v>120.101573467254</v>
      </c>
      <c r="I587">
        <v>30.881214710508001</v>
      </c>
      <c r="J587">
        <v>210</v>
      </c>
      <c r="K587" t="s">
        <v>536</v>
      </c>
      <c r="L587" t="s">
        <v>536</v>
      </c>
      <c r="M587" t="s">
        <v>536</v>
      </c>
      <c r="N587" t="s">
        <v>536</v>
      </c>
      <c r="O587" t="s">
        <v>2137</v>
      </c>
      <c r="P587" t="s">
        <v>2137</v>
      </c>
      <c r="Q587" t="s">
        <v>536</v>
      </c>
      <c r="R587" t="s">
        <v>2744</v>
      </c>
      <c r="T587" t="s">
        <v>2052</v>
      </c>
      <c r="U587" t="s">
        <v>2745</v>
      </c>
    </row>
    <row r="588" spans="1:21" x14ac:dyDescent="0.25">
      <c r="A588" t="s">
        <v>2746</v>
      </c>
      <c r="B588" t="s">
        <v>22</v>
      </c>
      <c r="C588" t="s">
        <v>2747</v>
      </c>
      <c r="D588">
        <f>86-400-821-5500</f>
        <v>-6635</v>
      </c>
      <c r="E588" t="s">
        <v>2748</v>
      </c>
      <c r="F588" t="s">
        <v>2049</v>
      </c>
      <c r="G588" t="s">
        <v>2050</v>
      </c>
      <c r="H588">
        <v>120.282692</v>
      </c>
      <c r="I588">
        <v>31.527954000000001</v>
      </c>
      <c r="J588">
        <v>210</v>
      </c>
      <c r="K588" t="s">
        <v>2137</v>
      </c>
      <c r="L588" t="s">
        <v>2137</v>
      </c>
      <c r="M588" t="s">
        <v>2137</v>
      </c>
      <c r="N588" t="s">
        <v>2137</v>
      </c>
      <c r="O588" t="s">
        <v>27</v>
      </c>
      <c r="P588" t="s">
        <v>27</v>
      </c>
      <c r="Q588" t="s">
        <v>2137</v>
      </c>
      <c r="R588" t="s">
        <v>2749</v>
      </c>
      <c r="T588" t="s">
        <v>2063</v>
      </c>
      <c r="U588" t="s">
        <v>2750</v>
      </c>
    </row>
    <row r="589" spans="1:21" x14ac:dyDescent="0.25">
      <c r="A589" t="s">
        <v>2751</v>
      </c>
      <c r="B589" t="s">
        <v>22</v>
      </c>
      <c r="C589" t="s">
        <v>2752</v>
      </c>
      <c r="D589">
        <f>400-821-5500</f>
        <v>-5921</v>
      </c>
      <c r="E589" t="s">
        <v>2116</v>
      </c>
      <c r="F589" t="s">
        <v>2049</v>
      </c>
      <c r="G589" t="s">
        <v>2050</v>
      </c>
      <c r="H589">
        <v>113.912386</v>
      </c>
      <c r="I589">
        <v>22.566223000000001</v>
      </c>
      <c r="J589">
        <v>210</v>
      </c>
      <c r="K589" t="s">
        <v>27</v>
      </c>
      <c r="L589" t="s">
        <v>27</v>
      </c>
      <c r="M589" t="s">
        <v>27</v>
      </c>
      <c r="N589" t="s">
        <v>27</v>
      </c>
      <c r="O589" t="s">
        <v>77</v>
      </c>
      <c r="P589" t="s">
        <v>77</v>
      </c>
      <c r="Q589" t="s">
        <v>77</v>
      </c>
      <c r="R589" t="s">
        <v>2753</v>
      </c>
      <c r="T589" t="s">
        <v>2095</v>
      </c>
      <c r="U589" t="s">
        <v>2754</v>
      </c>
    </row>
    <row r="590" spans="1:21" x14ac:dyDescent="0.25">
      <c r="A590" t="s">
        <v>2755</v>
      </c>
      <c r="B590" t="s">
        <v>38</v>
      </c>
      <c r="C590" t="s">
        <v>2272</v>
      </c>
      <c r="D590">
        <f>86-400-821-5500</f>
        <v>-6635</v>
      </c>
      <c r="E590" t="s">
        <v>2756</v>
      </c>
      <c r="F590" t="s">
        <v>2049</v>
      </c>
      <c r="G590" t="s">
        <v>2050</v>
      </c>
      <c r="H590">
        <v>119.8372327</v>
      </c>
      <c r="I590">
        <v>31.365208800000001</v>
      </c>
      <c r="J590">
        <v>210</v>
      </c>
      <c r="K590" t="s">
        <v>2137</v>
      </c>
      <c r="L590" t="s">
        <v>2137</v>
      </c>
      <c r="M590" t="s">
        <v>2137</v>
      </c>
      <c r="N590" t="s">
        <v>2137</v>
      </c>
      <c r="O590" t="s">
        <v>27</v>
      </c>
      <c r="P590" t="s">
        <v>27</v>
      </c>
      <c r="Q590" t="s">
        <v>2137</v>
      </c>
      <c r="R590" t="s">
        <v>2757</v>
      </c>
      <c r="T590" t="s">
        <v>2063</v>
      </c>
      <c r="U590" t="s">
        <v>2758</v>
      </c>
    </row>
    <row r="591" spans="1:21" x14ac:dyDescent="0.25">
      <c r="A591" t="s">
        <v>2759</v>
      </c>
      <c r="B591" t="s">
        <v>38</v>
      </c>
      <c r="C591" t="s">
        <v>2760</v>
      </c>
      <c r="D591">
        <f>400-821-5500</f>
        <v>-5921</v>
      </c>
      <c r="E591" t="s">
        <v>2483</v>
      </c>
      <c r="F591" t="s">
        <v>2049</v>
      </c>
      <c r="G591" t="s">
        <v>2050</v>
      </c>
      <c r="H591">
        <v>118.098727</v>
      </c>
      <c r="I591">
        <v>24.579915</v>
      </c>
      <c r="J591">
        <v>210</v>
      </c>
      <c r="K591" t="s">
        <v>27</v>
      </c>
      <c r="L591" t="s">
        <v>27</v>
      </c>
      <c r="M591" t="s">
        <v>27</v>
      </c>
      <c r="N591" t="s">
        <v>27</v>
      </c>
      <c r="O591" t="s">
        <v>77</v>
      </c>
      <c r="P591" t="s">
        <v>77</v>
      </c>
      <c r="Q591" t="s">
        <v>27</v>
      </c>
      <c r="R591" t="s">
        <v>2761</v>
      </c>
      <c r="T591" t="s">
        <v>2209</v>
      </c>
      <c r="U591" t="s">
        <v>2762</v>
      </c>
    </row>
    <row r="592" spans="1:21" x14ac:dyDescent="0.25">
      <c r="A592" t="s">
        <v>2763</v>
      </c>
      <c r="B592" t="s">
        <v>22</v>
      </c>
      <c r="C592" t="s">
        <v>2764</v>
      </c>
      <c r="D592">
        <f>86-400-821-5500</f>
        <v>-6635</v>
      </c>
      <c r="E592" t="s">
        <v>2143</v>
      </c>
      <c r="F592" t="s">
        <v>2049</v>
      </c>
      <c r="G592" t="s">
        <v>2050</v>
      </c>
      <c r="H592">
        <v>113.662781595703</v>
      </c>
      <c r="I592">
        <v>34.754121988879803</v>
      </c>
      <c r="J592">
        <v>210</v>
      </c>
      <c r="K592" t="s">
        <v>2137</v>
      </c>
      <c r="L592" t="s">
        <v>2137</v>
      </c>
      <c r="M592" t="s">
        <v>2137</v>
      </c>
      <c r="N592" t="s">
        <v>2137</v>
      </c>
      <c r="O592" t="s">
        <v>27</v>
      </c>
      <c r="P592" t="s">
        <v>27</v>
      </c>
      <c r="Q592" t="s">
        <v>2137</v>
      </c>
      <c r="R592" t="s">
        <v>2765</v>
      </c>
      <c r="T592" t="s">
        <v>2139</v>
      </c>
      <c r="U592" t="s">
        <v>2766</v>
      </c>
    </row>
    <row r="593" spans="1:21" x14ac:dyDescent="0.25">
      <c r="A593" t="s">
        <v>2767</v>
      </c>
      <c r="B593" t="s">
        <v>22</v>
      </c>
      <c r="C593" t="s">
        <v>2768</v>
      </c>
      <c r="D593">
        <f>86-595-82688066</f>
        <v>-82688575</v>
      </c>
      <c r="E593" t="s">
        <v>2613</v>
      </c>
      <c r="F593" t="s">
        <v>2049</v>
      </c>
      <c r="G593" t="s">
        <v>2050</v>
      </c>
      <c r="H593">
        <v>118.566298484802</v>
      </c>
      <c r="I593">
        <v>24.777032687088099</v>
      </c>
      <c r="J593">
        <v>210</v>
      </c>
      <c r="K593" t="s">
        <v>27</v>
      </c>
      <c r="L593" t="s">
        <v>27</v>
      </c>
      <c r="M593" t="s">
        <v>27</v>
      </c>
      <c r="N593" t="s">
        <v>27</v>
      </c>
      <c r="O593" t="s">
        <v>27</v>
      </c>
      <c r="P593" t="s">
        <v>27</v>
      </c>
      <c r="Q593" t="s">
        <v>27</v>
      </c>
      <c r="R593" t="s">
        <v>2769</v>
      </c>
      <c r="T593" t="s">
        <v>2209</v>
      </c>
      <c r="U593" t="s">
        <v>2770</v>
      </c>
    </row>
    <row r="594" spans="1:21" x14ac:dyDescent="0.25">
      <c r="A594" t="s">
        <v>2771</v>
      </c>
      <c r="B594" t="s">
        <v>38</v>
      </c>
      <c r="C594" t="s">
        <v>2772</v>
      </c>
      <c r="D594">
        <f>400-821-5500</f>
        <v>-5921</v>
      </c>
      <c r="E594" t="s">
        <v>2396</v>
      </c>
      <c r="F594" t="s">
        <v>2049</v>
      </c>
      <c r="G594" t="s">
        <v>2050</v>
      </c>
      <c r="H594">
        <v>108.3852969</v>
      </c>
      <c r="I594">
        <v>30.806815199999999</v>
      </c>
      <c r="J594">
        <v>210</v>
      </c>
      <c r="K594" t="s">
        <v>27</v>
      </c>
      <c r="L594" t="s">
        <v>27</v>
      </c>
      <c r="M594" t="s">
        <v>27</v>
      </c>
      <c r="N594" t="s">
        <v>27</v>
      </c>
      <c r="O594" t="s">
        <v>27</v>
      </c>
      <c r="P594" t="s">
        <v>27</v>
      </c>
      <c r="Q594" t="s">
        <v>27</v>
      </c>
      <c r="R594" t="s">
        <v>2773</v>
      </c>
      <c r="T594" t="s">
        <v>2398</v>
      </c>
      <c r="U594" t="s">
        <v>2774</v>
      </c>
    </row>
    <row r="595" spans="1:21" x14ac:dyDescent="0.25">
      <c r="A595" t="s">
        <v>2775</v>
      </c>
      <c r="B595" t="s">
        <v>22</v>
      </c>
      <c r="C595" t="s">
        <v>2776</v>
      </c>
      <c r="D595">
        <f>86-400-821-5500</f>
        <v>-6635</v>
      </c>
      <c r="E595" t="s">
        <v>2473</v>
      </c>
      <c r="F595" t="s">
        <v>2049</v>
      </c>
      <c r="G595" t="s">
        <v>2050</v>
      </c>
      <c r="H595">
        <v>113.821087440014</v>
      </c>
      <c r="I595">
        <v>22.810116966317601</v>
      </c>
      <c r="J595">
        <v>210</v>
      </c>
      <c r="K595" t="s">
        <v>27</v>
      </c>
      <c r="L595" t="s">
        <v>27</v>
      </c>
      <c r="M595" t="s">
        <v>27</v>
      </c>
      <c r="N595" t="s">
        <v>27</v>
      </c>
      <c r="O595" t="s">
        <v>77</v>
      </c>
      <c r="P595" t="s">
        <v>77</v>
      </c>
      <c r="Q595" t="s">
        <v>27</v>
      </c>
      <c r="R595" t="s">
        <v>2777</v>
      </c>
      <c r="T595" t="s">
        <v>2095</v>
      </c>
      <c r="U595" t="s">
        <v>2778</v>
      </c>
    </row>
    <row r="596" spans="1:21" x14ac:dyDescent="0.25">
      <c r="A596" t="s">
        <v>2779</v>
      </c>
      <c r="B596" t="s">
        <v>38</v>
      </c>
      <c r="C596" t="s">
        <v>2780</v>
      </c>
      <c r="D596">
        <f>400-821-5500</f>
        <v>-5921</v>
      </c>
      <c r="E596" t="s">
        <v>2093</v>
      </c>
      <c r="F596" t="s">
        <v>2049</v>
      </c>
      <c r="G596" t="s">
        <v>2050</v>
      </c>
      <c r="H596">
        <v>113.238585</v>
      </c>
      <c r="I596">
        <v>23.403994999999998</v>
      </c>
      <c r="J596">
        <v>210</v>
      </c>
      <c r="K596" t="s">
        <v>27</v>
      </c>
      <c r="L596" t="s">
        <v>27</v>
      </c>
      <c r="M596" t="s">
        <v>27</v>
      </c>
      <c r="N596" t="s">
        <v>27</v>
      </c>
      <c r="O596" t="s">
        <v>27</v>
      </c>
      <c r="P596" t="s">
        <v>27</v>
      </c>
      <c r="Q596" t="s">
        <v>27</v>
      </c>
      <c r="R596" t="s">
        <v>2781</v>
      </c>
      <c r="T596" t="s">
        <v>2095</v>
      </c>
      <c r="U596" t="s">
        <v>2782</v>
      </c>
    </row>
    <row r="597" spans="1:21" x14ac:dyDescent="0.25">
      <c r="A597" t="s">
        <v>2783</v>
      </c>
      <c r="B597" t="s">
        <v>22</v>
      </c>
      <c r="C597" t="s">
        <v>2784</v>
      </c>
      <c r="D597">
        <f>400-821-5500</f>
        <v>-5921</v>
      </c>
      <c r="E597" t="s">
        <v>2785</v>
      </c>
      <c r="F597" t="s">
        <v>2049</v>
      </c>
      <c r="G597" t="s">
        <v>2050</v>
      </c>
      <c r="H597">
        <v>106.68851649901001</v>
      </c>
      <c r="I597">
        <v>26.5647593473211</v>
      </c>
      <c r="J597">
        <v>210</v>
      </c>
      <c r="K597" t="s">
        <v>27</v>
      </c>
      <c r="L597" t="s">
        <v>27</v>
      </c>
      <c r="M597" t="s">
        <v>27</v>
      </c>
      <c r="N597" t="s">
        <v>27</v>
      </c>
      <c r="O597" t="s">
        <v>27</v>
      </c>
      <c r="P597" t="s">
        <v>27</v>
      </c>
      <c r="Q597" t="s">
        <v>27</v>
      </c>
      <c r="R597" t="s">
        <v>2786</v>
      </c>
      <c r="T597" t="s">
        <v>2787</v>
      </c>
      <c r="U597" t="s">
        <v>2788</v>
      </c>
    </row>
    <row r="598" spans="1:21" x14ac:dyDescent="0.25">
      <c r="A598" t="s">
        <v>2789</v>
      </c>
      <c r="B598" t="s">
        <v>38</v>
      </c>
      <c r="C598" t="s">
        <v>2790</v>
      </c>
      <c r="D598">
        <f>86-400-821-5500</f>
        <v>-6635</v>
      </c>
      <c r="E598" t="s">
        <v>2618</v>
      </c>
      <c r="F598" t="s">
        <v>2049</v>
      </c>
      <c r="G598" t="s">
        <v>2050</v>
      </c>
      <c r="H598">
        <v>115.94239690000001</v>
      </c>
      <c r="I598">
        <v>28.6742268</v>
      </c>
      <c r="J598">
        <v>210</v>
      </c>
      <c r="K598" t="s">
        <v>27</v>
      </c>
      <c r="L598" t="s">
        <v>27</v>
      </c>
      <c r="M598" t="s">
        <v>27</v>
      </c>
      <c r="N598" t="s">
        <v>27</v>
      </c>
      <c r="O598" t="s">
        <v>27</v>
      </c>
      <c r="P598" t="s">
        <v>27</v>
      </c>
      <c r="Q598" t="s">
        <v>27</v>
      </c>
      <c r="R598" t="s">
        <v>2791</v>
      </c>
      <c r="T598" t="s">
        <v>2620</v>
      </c>
      <c r="U598" t="s">
        <v>2792</v>
      </c>
    </row>
    <row r="599" spans="1:21" x14ac:dyDescent="0.25">
      <c r="A599" t="s">
        <v>2793</v>
      </c>
      <c r="B599" t="s">
        <v>38</v>
      </c>
      <c r="C599" t="s">
        <v>2794</v>
      </c>
      <c r="D599">
        <f>400-821-5500</f>
        <v>-5921</v>
      </c>
      <c r="E599" t="s">
        <v>2093</v>
      </c>
      <c r="F599" t="s">
        <v>2049</v>
      </c>
      <c r="G599" t="s">
        <v>2050</v>
      </c>
      <c r="H599">
        <v>113.39442</v>
      </c>
      <c r="I599">
        <v>22.943358</v>
      </c>
      <c r="J599">
        <v>210</v>
      </c>
      <c r="K599" t="s">
        <v>27</v>
      </c>
      <c r="L599" t="s">
        <v>27</v>
      </c>
      <c r="M599" t="s">
        <v>27</v>
      </c>
      <c r="N599" t="s">
        <v>27</v>
      </c>
      <c r="O599" t="s">
        <v>27</v>
      </c>
      <c r="P599" t="s">
        <v>27</v>
      </c>
      <c r="Q599" t="s">
        <v>27</v>
      </c>
      <c r="R599" t="s">
        <v>2795</v>
      </c>
      <c r="T599" t="s">
        <v>2095</v>
      </c>
      <c r="U599" t="s">
        <v>2796</v>
      </c>
    </row>
    <row r="600" spans="1:21" x14ac:dyDescent="0.25">
      <c r="A600" t="s">
        <v>2797</v>
      </c>
      <c r="B600" t="s">
        <v>22</v>
      </c>
      <c r="C600" t="s">
        <v>2798</v>
      </c>
      <c r="D600">
        <f>86-400-821-5500</f>
        <v>-6635</v>
      </c>
      <c r="E600" t="s">
        <v>2093</v>
      </c>
      <c r="F600" t="s">
        <v>2049</v>
      </c>
      <c r="G600" t="s">
        <v>2050</v>
      </c>
      <c r="H600">
        <v>113.240356034713</v>
      </c>
      <c r="I600">
        <v>23.1105156855822</v>
      </c>
      <c r="J600">
        <v>210</v>
      </c>
      <c r="K600" t="s">
        <v>27</v>
      </c>
      <c r="L600" t="s">
        <v>27</v>
      </c>
      <c r="M600" t="s">
        <v>27</v>
      </c>
      <c r="N600" t="s">
        <v>27</v>
      </c>
      <c r="O600" t="s">
        <v>27</v>
      </c>
      <c r="P600" t="s">
        <v>27</v>
      </c>
      <c r="Q600" t="s">
        <v>27</v>
      </c>
      <c r="R600" t="s">
        <v>2799</v>
      </c>
      <c r="T600" t="s">
        <v>2095</v>
      </c>
      <c r="U600" t="s">
        <v>2800</v>
      </c>
    </row>
    <row r="601" spans="1:21" x14ac:dyDescent="0.25">
      <c r="A601" t="s">
        <v>2801</v>
      </c>
      <c r="B601" t="s">
        <v>22</v>
      </c>
      <c r="C601" t="s">
        <v>2802</v>
      </c>
      <c r="D601">
        <f>400-821-5500</f>
        <v>-5921</v>
      </c>
      <c r="E601" t="s">
        <v>2803</v>
      </c>
      <c r="F601" t="s">
        <v>2049</v>
      </c>
      <c r="G601" t="s">
        <v>2050</v>
      </c>
      <c r="H601">
        <v>113.539905650573</v>
      </c>
      <c r="I601">
        <v>22.235547550660598</v>
      </c>
      <c r="J601">
        <v>210</v>
      </c>
      <c r="K601" t="s">
        <v>27</v>
      </c>
      <c r="L601" t="s">
        <v>27</v>
      </c>
      <c r="M601" t="s">
        <v>27</v>
      </c>
      <c r="N601" t="s">
        <v>27</v>
      </c>
      <c r="O601" t="s">
        <v>77</v>
      </c>
      <c r="P601" t="s">
        <v>77</v>
      </c>
      <c r="Q601" t="s">
        <v>27</v>
      </c>
      <c r="R601" t="s">
        <v>2804</v>
      </c>
      <c r="T601" t="s">
        <v>2095</v>
      </c>
      <c r="U601" t="s">
        <v>2805</v>
      </c>
    </row>
    <row r="602" spans="1:21" x14ac:dyDescent="0.25">
      <c r="A602" t="s">
        <v>2806</v>
      </c>
      <c r="B602" t="s">
        <v>22</v>
      </c>
      <c r="C602" t="s">
        <v>2807</v>
      </c>
      <c r="D602">
        <f>86-400-821-5500</f>
        <v>-6635</v>
      </c>
      <c r="E602" t="s">
        <v>2808</v>
      </c>
      <c r="F602" t="s">
        <v>2049</v>
      </c>
      <c r="G602" t="s">
        <v>2050</v>
      </c>
      <c r="H602">
        <v>123.99413300000001</v>
      </c>
      <c r="I602">
        <v>41.868735999999998</v>
      </c>
      <c r="J602">
        <v>210</v>
      </c>
      <c r="K602" t="s">
        <v>290</v>
      </c>
      <c r="L602" t="s">
        <v>290</v>
      </c>
      <c r="M602" t="s">
        <v>290</v>
      </c>
      <c r="N602" t="s">
        <v>290</v>
      </c>
      <c r="O602" t="s">
        <v>2068</v>
      </c>
      <c r="P602" t="s">
        <v>2068</v>
      </c>
      <c r="Q602" t="s">
        <v>2068</v>
      </c>
      <c r="R602" t="s">
        <v>2809</v>
      </c>
      <c r="T602" t="s">
        <v>2083</v>
      </c>
      <c r="U602" t="s">
        <v>2810</v>
      </c>
    </row>
    <row r="603" spans="1:21" x14ac:dyDescent="0.25">
      <c r="A603" t="s">
        <v>2811</v>
      </c>
      <c r="B603" t="s">
        <v>38</v>
      </c>
      <c r="C603" t="s">
        <v>2272</v>
      </c>
      <c r="D603">
        <f>86-400-821-5500</f>
        <v>-6635</v>
      </c>
      <c r="E603" t="s">
        <v>2748</v>
      </c>
      <c r="F603" t="s">
        <v>2049</v>
      </c>
      <c r="G603" t="s">
        <v>2050</v>
      </c>
      <c r="H603">
        <v>120.3006161</v>
      </c>
      <c r="I603">
        <v>31.674728099999999</v>
      </c>
      <c r="J603">
        <v>210</v>
      </c>
      <c r="K603" t="s">
        <v>27</v>
      </c>
      <c r="L603" t="s">
        <v>27</v>
      </c>
      <c r="M603" t="s">
        <v>27</v>
      </c>
      <c r="N603" t="s">
        <v>27</v>
      </c>
      <c r="O603" t="s">
        <v>27</v>
      </c>
      <c r="P603" t="s">
        <v>27</v>
      </c>
      <c r="Q603" t="s">
        <v>27</v>
      </c>
      <c r="R603" t="s">
        <v>2812</v>
      </c>
      <c r="T603" t="s">
        <v>2063</v>
      </c>
      <c r="U603" t="s">
        <v>2813</v>
      </c>
    </row>
    <row r="604" spans="1:21" x14ac:dyDescent="0.25">
      <c r="A604" t="s">
        <v>2814</v>
      </c>
      <c r="B604" t="s">
        <v>38</v>
      </c>
      <c r="C604" t="s">
        <v>2815</v>
      </c>
      <c r="D604">
        <f>86-400-821-5500</f>
        <v>-6635</v>
      </c>
      <c r="E604" t="s">
        <v>2306</v>
      </c>
      <c r="F604" t="s">
        <v>2049</v>
      </c>
      <c r="G604" t="s">
        <v>2050</v>
      </c>
      <c r="H604">
        <v>113.04836469999999</v>
      </c>
      <c r="I604">
        <v>28.250241899999999</v>
      </c>
      <c r="J604">
        <v>210</v>
      </c>
      <c r="K604" t="s">
        <v>2069</v>
      </c>
      <c r="L604" t="s">
        <v>2069</v>
      </c>
      <c r="M604" t="s">
        <v>2069</v>
      </c>
      <c r="N604" t="s">
        <v>2069</v>
      </c>
      <c r="O604" t="s">
        <v>2069</v>
      </c>
      <c r="P604" t="s">
        <v>2069</v>
      </c>
      <c r="Q604" t="s">
        <v>2069</v>
      </c>
      <c r="R604" t="s">
        <v>2816</v>
      </c>
      <c r="T604" t="s">
        <v>2308</v>
      </c>
      <c r="U604" t="s">
        <v>2817</v>
      </c>
    </row>
    <row r="605" spans="1:21" x14ac:dyDescent="0.25">
      <c r="A605" t="s">
        <v>2818</v>
      </c>
      <c r="B605" t="s">
        <v>22</v>
      </c>
      <c r="C605" t="s">
        <v>2819</v>
      </c>
      <c r="D605">
        <f>400-821-5500</f>
        <v>-5921</v>
      </c>
      <c r="E605" t="s">
        <v>2820</v>
      </c>
      <c r="F605" t="s">
        <v>2049</v>
      </c>
      <c r="G605" t="s">
        <v>2050</v>
      </c>
      <c r="H605">
        <v>110.400661</v>
      </c>
      <c r="I605">
        <v>21.274287999999999</v>
      </c>
      <c r="J605">
        <v>210</v>
      </c>
      <c r="K605" t="s">
        <v>27</v>
      </c>
      <c r="L605" t="s">
        <v>27</v>
      </c>
      <c r="M605" t="s">
        <v>27</v>
      </c>
      <c r="N605" t="s">
        <v>27</v>
      </c>
      <c r="O605" t="s">
        <v>77</v>
      </c>
      <c r="P605" t="s">
        <v>77</v>
      </c>
      <c r="Q605" t="s">
        <v>27</v>
      </c>
      <c r="R605" t="s">
        <v>2821</v>
      </c>
      <c r="T605" t="s">
        <v>2095</v>
      </c>
      <c r="U605" t="s">
        <v>2822</v>
      </c>
    </row>
    <row r="606" spans="1:21" x14ac:dyDescent="0.25">
      <c r="A606" t="s">
        <v>2823</v>
      </c>
      <c r="B606" t="s">
        <v>22</v>
      </c>
      <c r="C606" t="s">
        <v>2659</v>
      </c>
      <c r="D606">
        <f>86-400-821-5500</f>
        <v>-6635</v>
      </c>
      <c r="E606" t="s">
        <v>2061</v>
      </c>
      <c r="F606" t="s">
        <v>2049</v>
      </c>
      <c r="G606" t="s">
        <v>2050</v>
      </c>
      <c r="H606">
        <v>120.58466180000001</v>
      </c>
      <c r="I606">
        <v>31.298564500000001</v>
      </c>
      <c r="J606">
        <v>210</v>
      </c>
      <c r="K606" t="s">
        <v>27</v>
      </c>
      <c r="L606" t="s">
        <v>27</v>
      </c>
      <c r="M606" t="s">
        <v>27</v>
      </c>
      <c r="N606" t="s">
        <v>27</v>
      </c>
      <c r="O606" t="s">
        <v>27</v>
      </c>
      <c r="P606" t="s">
        <v>27</v>
      </c>
      <c r="Q606" t="s">
        <v>27</v>
      </c>
      <c r="R606" t="s">
        <v>2824</v>
      </c>
      <c r="T606" t="s">
        <v>2063</v>
      </c>
      <c r="U606" t="s">
        <v>2825</v>
      </c>
    </row>
    <row r="607" spans="1:21" x14ac:dyDescent="0.25">
      <c r="A607" t="s">
        <v>2826</v>
      </c>
      <c r="B607" t="s">
        <v>22</v>
      </c>
      <c r="C607" t="s">
        <v>2827</v>
      </c>
      <c r="D607">
        <f>400-821-5500</f>
        <v>-5921</v>
      </c>
      <c r="E607" t="s">
        <v>2402</v>
      </c>
      <c r="F607" t="s">
        <v>2049</v>
      </c>
      <c r="G607" t="s">
        <v>2050</v>
      </c>
      <c r="H607">
        <v>103.86369000000001</v>
      </c>
      <c r="I607">
        <v>30.685523</v>
      </c>
      <c r="J607">
        <v>210</v>
      </c>
      <c r="K607" t="s">
        <v>27</v>
      </c>
      <c r="L607" t="s">
        <v>27</v>
      </c>
      <c r="M607" t="s">
        <v>27</v>
      </c>
      <c r="N607" t="s">
        <v>27</v>
      </c>
      <c r="O607" t="s">
        <v>27</v>
      </c>
      <c r="P607" t="s">
        <v>27</v>
      </c>
      <c r="Q607" t="s">
        <v>27</v>
      </c>
      <c r="R607" t="s">
        <v>2828</v>
      </c>
      <c r="T607" t="s">
        <v>2150</v>
      </c>
      <c r="U607" t="s">
        <v>2829</v>
      </c>
    </row>
    <row r="608" spans="1:21" x14ac:dyDescent="0.25">
      <c r="A608" t="s">
        <v>2830</v>
      </c>
      <c r="B608" t="s">
        <v>38</v>
      </c>
      <c r="C608" t="s">
        <v>2831</v>
      </c>
      <c r="D608">
        <f>86-400-821-5500</f>
        <v>-6635</v>
      </c>
      <c r="E608" t="s">
        <v>2061</v>
      </c>
      <c r="F608" t="s">
        <v>2049</v>
      </c>
      <c r="G608" t="s">
        <v>2050</v>
      </c>
      <c r="H608">
        <v>120.7182804</v>
      </c>
      <c r="I608">
        <v>31.284232200000002</v>
      </c>
      <c r="J608">
        <v>210</v>
      </c>
      <c r="K608" t="s">
        <v>27</v>
      </c>
      <c r="L608" t="s">
        <v>27</v>
      </c>
      <c r="M608" t="s">
        <v>27</v>
      </c>
      <c r="N608" t="s">
        <v>27</v>
      </c>
      <c r="O608" t="s">
        <v>27</v>
      </c>
      <c r="P608" t="s">
        <v>27</v>
      </c>
      <c r="Q608" t="s">
        <v>27</v>
      </c>
      <c r="R608" t="s">
        <v>2832</v>
      </c>
      <c r="T608" t="s">
        <v>2063</v>
      </c>
      <c r="U608" t="s">
        <v>2833</v>
      </c>
    </row>
    <row r="609" spans="1:21" x14ac:dyDescent="0.25">
      <c r="A609" t="s">
        <v>2834</v>
      </c>
      <c r="B609" t="s">
        <v>2322</v>
      </c>
      <c r="C609" t="s">
        <v>2835</v>
      </c>
      <c r="D609">
        <f>400-821-5500</f>
        <v>-5921</v>
      </c>
      <c r="E609" t="s">
        <v>2402</v>
      </c>
      <c r="F609" t="s">
        <v>2049</v>
      </c>
      <c r="G609" t="s">
        <v>2050</v>
      </c>
      <c r="H609">
        <v>104.07795900000001</v>
      </c>
      <c r="I609">
        <v>30.656939000000001</v>
      </c>
      <c r="J609">
        <v>210</v>
      </c>
      <c r="K609" t="s">
        <v>27</v>
      </c>
      <c r="L609" t="s">
        <v>27</v>
      </c>
      <c r="M609" t="s">
        <v>27</v>
      </c>
      <c r="N609" t="s">
        <v>27</v>
      </c>
      <c r="O609" t="s">
        <v>27</v>
      </c>
      <c r="P609" t="s">
        <v>27</v>
      </c>
      <c r="Q609" t="s">
        <v>27</v>
      </c>
      <c r="R609" t="s">
        <v>2836</v>
      </c>
      <c r="T609" t="s">
        <v>2150</v>
      </c>
      <c r="U609" t="s">
        <v>2837</v>
      </c>
    </row>
    <row r="610" spans="1:21" x14ac:dyDescent="0.25">
      <c r="A610" t="s">
        <v>2838</v>
      </c>
      <c r="B610" t="s">
        <v>22</v>
      </c>
      <c r="C610" t="s">
        <v>2839</v>
      </c>
      <c r="D610">
        <f>400-821-5500</f>
        <v>-5921</v>
      </c>
      <c r="E610" t="s">
        <v>2116</v>
      </c>
      <c r="F610" t="s">
        <v>2049</v>
      </c>
      <c r="G610" t="s">
        <v>2050</v>
      </c>
      <c r="H610">
        <v>114.08289600000001</v>
      </c>
      <c r="I610">
        <v>22.728059999999999</v>
      </c>
      <c r="J610">
        <v>210</v>
      </c>
      <c r="K610" t="s">
        <v>27</v>
      </c>
      <c r="L610" t="s">
        <v>27</v>
      </c>
      <c r="M610" t="s">
        <v>27</v>
      </c>
      <c r="N610" t="s">
        <v>27</v>
      </c>
      <c r="O610" t="s">
        <v>77</v>
      </c>
      <c r="P610" t="s">
        <v>77</v>
      </c>
      <c r="Q610" t="s">
        <v>27</v>
      </c>
      <c r="R610" t="s">
        <v>2840</v>
      </c>
      <c r="T610" t="s">
        <v>2095</v>
      </c>
      <c r="U610" t="s">
        <v>2841</v>
      </c>
    </row>
    <row r="611" spans="1:21" x14ac:dyDescent="0.25">
      <c r="A611" t="s">
        <v>2842</v>
      </c>
      <c r="B611" t="s">
        <v>22</v>
      </c>
      <c r="C611" t="s">
        <v>2843</v>
      </c>
      <c r="D611">
        <f>86-400-821-5500</f>
        <v>-6635</v>
      </c>
      <c r="E611" t="s">
        <v>2203</v>
      </c>
      <c r="F611" t="s">
        <v>2049</v>
      </c>
      <c r="G611" t="s">
        <v>2050</v>
      </c>
      <c r="H611">
        <v>114.36127569999999</v>
      </c>
      <c r="I611">
        <v>30.614981100000001</v>
      </c>
      <c r="J611">
        <v>210</v>
      </c>
      <c r="K611" t="s">
        <v>2844</v>
      </c>
      <c r="L611" t="s">
        <v>2844</v>
      </c>
      <c r="M611" t="s">
        <v>2844</v>
      </c>
      <c r="N611" t="s">
        <v>2844</v>
      </c>
      <c r="O611" t="s">
        <v>2844</v>
      </c>
      <c r="P611" t="s">
        <v>2844</v>
      </c>
      <c r="Q611" t="s">
        <v>2844</v>
      </c>
      <c r="R611" t="s">
        <v>2845</v>
      </c>
      <c r="T611" t="s">
        <v>2431</v>
      </c>
      <c r="U611" t="s">
        <v>2846</v>
      </c>
    </row>
    <row r="612" spans="1:21" x14ac:dyDescent="0.25">
      <c r="A612" t="s">
        <v>2847</v>
      </c>
      <c r="B612" t="s">
        <v>38</v>
      </c>
      <c r="C612" t="s">
        <v>2848</v>
      </c>
      <c r="D612">
        <f>86-400-821-5500</f>
        <v>-6635</v>
      </c>
      <c r="E612" t="s">
        <v>2849</v>
      </c>
      <c r="F612" t="s">
        <v>2049</v>
      </c>
      <c r="G612" t="s">
        <v>2050</v>
      </c>
      <c r="H612">
        <v>114.491993166458</v>
      </c>
      <c r="I612">
        <v>37.061776125388498</v>
      </c>
      <c r="J612">
        <v>210</v>
      </c>
      <c r="K612" t="s">
        <v>2068</v>
      </c>
      <c r="L612" t="s">
        <v>2068</v>
      </c>
      <c r="M612" t="s">
        <v>2068</v>
      </c>
      <c r="N612" t="s">
        <v>2068</v>
      </c>
      <c r="O612" t="s">
        <v>2068</v>
      </c>
      <c r="P612" t="s">
        <v>2068</v>
      </c>
      <c r="Q612" t="s">
        <v>2068</v>
      </c>
      <c r="R612" t="s">
        <v>2850</v>
      </c>
      <c r="T612" t="s">
        <v>2128</v>
      </c>
      <c r="U612" t="s">
        <v>2851</v>
      </c>
    </row>
    <row r="613" spans="1:21" x14ac:dyDescent="0.25">
      <c r="A613" t="s">
        <v>2852</v>
      </c>
      <c r="B613" t="s">
        <v>22</v>
      </c>
      <c r="C613" t="s">
        <v>2853</v>
      </c>
      <c r="D613">
        <f>86-400-821-5500</f>
        <v>-6635</v>
      </c>
      <c r="E613" t="s">
        <v>2252</v>
      </c>
      <c r="F613" t="s">
        <v>2049</v>
      </c>
      <c r="G613" t="s">
        <v>2050</v>
      </c>
      <c r="H613">
        <v>126.59443553494501</v>
      </c>
      <c r="I613">
        <v>45.701914353318301</v>
      </c>
      <c r="J613">
        <v>210</v>
      </c>
      <c r="K613" t="s">
        <v>2068</v>
      </c>
      <c r="L613" t="s">
        <v>2068</v>
      </c>
      <c r="M613" t="s">
        <v>2068</v>
      </c>
      <c r="N613" t="s">
        <v>2068</v>
      </c>
      <c r="O613" t="s">
        <v>2068</v>
      </c>
      <c r="P613" t="s">
        <v>2068</v>
      </c>
      <c r="Q613" t="s">
        <v>2068</v>
      </c>
      <c r="R613" t="s">
        <v>2854</v>
      </c>
      <c r="T613" t="s">
        <v>2254</v>
      </c>
      <c r="U613" t="s">
        <v>2855</v>
      </c>
    </row>
    <row r="614" spans="1:21" x14ac:dyDescent="0.25">
      <c r="A614" t="s">
        <v>2856</v>
      </c>
      <c r="B614" t="s">
        <v>22</v>
      </c>
      <c r="C614" t="s">
        <v>2857</v>
      </c>
      <c r="D614">
        <f>86-400-821-5500</f>
        <v>-6635</v>
      </c>
      <c r="E614" t="s">
        <v>2858</v>
      </c>
      <c r="F614" t="s">
        <v>2049</v>
      </c>
      <c r="G614" t="s">
        <v>2050</v>
      </c>
      <c r="H614">
        <v>115.46959872708101</v>
      </c>
      <c r="I614">
        <v>38.876679636856899</v>
      </c>
      <c r="J614">
        <v>210</v>
      </c>
      <c r="K614" t="s">
        <v>27</v>
      </c>
      <c r="L614" t="s">
        <v>27</v>
      </c>
      <c r="M614" t="s">
        <v>27</v>
      </c>
      <c r="N614" t="s">
        <v>27</v>
      </c>
      <c r="O614" t="s">
        <v>27</v>
      </c>
      <c r="P614" t="s">
        <v>27</v>
      </c>
      <c r="Q614" t="s">
        <v>27</v>
      </c>
      <c r="R614" t="s">
        <v>2859</v>
      </c>
      <c r="T614" t="s">
        <v>2128</v>
      </c>
      <c r="U614" t="s">
        <v>2860</v>
      </c>
    </row>
    <row r="615" spans="1:21" x14ac:dyDescent="0.25">
      <c r="A615" t="s">
        <v>2861</v>
      </c>
      <c r="B615" t="s">
        <v>38</v>
      </c>
      <c r="C615" t="s">
        <v>2862</v>
      </c>
      <c r="D615">
        <f>400-821-5500</f>
        <v>-5921</v>
      </c>
      <c r="E615" t="s">
        <v>2402</v>
      </c>
      <c r="F615" t="s">
        <v>2049</v>
      </c>
      <c r="G615" t="s">
        <v>2050</v>
      </c>
      <c r="H615">
        <v>103.964052</v>
      </c>
      <c r="I615">
        <v>30.669483</v>
      </c>
      <c r="J615">
        <v>210</v>
      </c>
      <c r="K615" t="s">
        <v>27</v>
      </c>
      <c r="L615" t="s">
        <v>27</v>
      </c>
      <c r="M615" t="s">
        <v>27</v>
      </c>
      <c r="N615" t="s">
        <v>27</v>
      </c>
      <c r="O615" t="s">
        <v>27</v>
      </c>
      <c r="P615" t="s">
        <v>27</v>
      </c>
      <c r="Q615" t="s">
        <v>27</v>
      </c>
      <c r="R615" t="s">
        <v>2863</v>
      </c>
      <c r="T615" t="s">
        <v>2150</v>
      </c>
      <c r="U615" t="s">
        <v>2864</v>
      </c>
    </row>
    <row r="616" spans="1:21" x14ac:dyDescent="0.25">
      <c r="A616" t="s">
        <v>2865</v>
      </c>
      <c r="B616" t="s">
        <v>22</v>
      </c>
      <c r="C616" t="s">
        <v>2866</v>
      </c>
      <c r="D616">
        <f>400-821-5500</f>
        <v>-5921</v>
      </c>
      <c r="E616" t="s">
        <v>2803</v>
      </c>
      <c r="F616" t="s">
        <v>2049</v>
      </c>
      <c r="G616" t="s">
        <v>2050</v>
      </c>
      <c r="H616">
        <v>113.516977</v>
      </c>
      <c r="I616">
        <v>22.231144</v>
      </c>
      <c r="J616">
        <v>210</v>
      </c>
      <c r="K616" t="s">
        <v>27</v>
      </c>
      <c r="L616" t="s">
        <v>27</v>
      </c>
      <c r="M616" t="s">
        <v>27</v>
      </c>
      <c r="N616" t="s">
        <v>27</v>
      </c>
      <c r="O616" t="s">
        <v>77</v>
      </c>
      <c r="P616" t="s">
        <v>77</v>
      </c>
      <c r="Q616" t="s">
        <v>27</v>
      </c>
      <c r="R616" t="s">
        <v>2867</v>
      </c>
      <c r="T616" t="s">
        <v>2095</v>
      </c>
      <c r="U616" t="s">
        <v>2868</v>
      </c>
    </row>
    <row r="617" spans="1:21" x14ac:dyDescent="0.25">
      <c r="A617" t="s">
        <v>2869</v>
      </c>
      <c r="B617" t="s">
        <v>22</v>
      </c>
      <c r="C617" t="s">
        <v>2870</v>
      </c>
      <c r="D617">
        <f>86-400-821-5500</f>
        <v>-6635</v>
      </c>
      <c r="E617" t="s">
        <v>2110</v>
      </c>
      <c r="F617" t="s">
        <v>2049</v>
      </c>
      <c r="G617" t="s">
        <v>2050</v>
      </c>
      <c r="H617">
        <v>117.221279724914</v>
      </c>
      <c r="I617">
        <v>39.138706964791801</v>
      </c>
      <c r="J617">
        <v>210</v>
      </c>
      <c r="K617" t="s">
        <v>27</v>
      </c>
      <c r="L617" t="s">
        <v>27</v>
      </c>
      <c r="M617" t="s">
        <v>27</v>
      </c>
      <c r="N617" t="s">
        <v>27</v>
      </c>
      <c r="O617" t="s">
        <v>27</v>
      </c>
      <c r="P617" t="s">
        <v>27</v>
      </c>
      <c r="Q617" t="s">
        <v>27</v>
      </c>
      <c r="R617" t="s">
        <v>2871</v>
      </c>
      <c r="T617" t="s">
        <v>2112</v>
      </c>
      <c r="U617" t="s">
        <v>2872</v>
      </c>
    </row>
    <row r="618" spans="1:21" x14ac:dyDescent="0.25">
      <c r="A618" t="s">
        <v>2873</v>
      </c>
      <c r="B618" t="s">
        <v>38</v>
      </c>
      <c r="C618" t="s">
        <v>2874</v>
      </c>
      <c r="D618">
        <f>400-821-5500</f>
        <v>-5921</v>
      </c>
      <c r="E618" t="s">
        <v>2402</v>
      </c>
      <c r="F618" t="s">
        <v>2049</v>
      </c>
      <c r="G618" t="s">
        <v>2050</v>
      </c>
      <c r="H618">
        <v>103.913723</v>
      </c>
      <c r="I618">
        <v>30.595153</v>
      </c>
      <c r="J618">
        <v>210</v>
      </c>
      <c r="K618" t="s">
        <v>27</v>
      </c>
      <c r="L618" t="s">
        <v>27</v>
      </c>
      <c r="M618" t="s">
        <v>27</v>
      </c>
      <c r="N618" t="s">
        <v>27</v>
      </c>
      <c r="O618" t="s">
        <v>77</v>
      </c>
      <c r="P618" t="s">
        <v>77</v>
      </c>
      <c r="Q618" t="s">
        <v>27</v>
      </c>
      <c r="R618" t="s">
        <v>2875</v>
      </c>
      <c r="T618" t="s">
        <v>2150</v>
      </c>
      <c r="U618" t="s">
        <v>2876</v>
      </c>
    </row>
    <row r="619" spans="1:21" x14ac:dyDescent="0.25">
      <c r="A619" t="s">
        <v>2877</v>
      </c>
      <c r="B619" t="s">
        <v>2322</v>
      </c>
      <c r="C619" t="s">
        <v>2878</v>
      </c>
      <c r="D619">
        <f>400-821-5500</f>
        <v>-5921</v>
      </c>
      <c r="E619" t="s">
        <v>2116</v>
      </c>
      <c r="F619" t="s">
        <v>2049</v>
      </c>
      <c r="G619" t="s">
        <v>2050</v>
      </c>
      <c r="H619">
        <v>114.122479</v>
      </c>
      <c r="I619">
        <v>22.550923000000001</v>
      </c>
      <c r="J619">
        <v>210</v>
      </c>
      <c r="K619" t="s">
        <v>77</v>
      </c>
      <c r="L619" t="s">
        <v>77</v>
      </c>
      <c r="M619" t="s">
        <v>77</v>
      </c>
      <c r="N619" t="s">
        <v>77</v>
      </c>
      <c r="O619" t="s">
        <v>34</v>
      </c>
      <c r="P619" t="s">
        <v>34</v>
      </c>
      <c r="Q619" t="s">
        <v>77</v>
      </c>
      <c r="R619" t="s">
        <v>2879</v>
      </c>
      <c r="T619" t="s">
        <v>2095</v>
      </c>
      <c r="U619" t="s">
        <v>2880</v>
      </c>
    </row>
    <row r="620" spans="1:21" x14ac:dyDescent="0.25">
      <c r="A620" t="s">
        <v>2881</v>
      </c>
      <c r="B620" t="s">
        <v>22</v>
      </c>
      <c r="C620" t="s">
        <v>2882</v>
      </c>
      <c r="D620">
        <f>400-821-5500</f>
        <v>-5921</v>
      </c>
      <c r="E620" t="s">
        <v>2396</v>
      </c>
      <c r="F620" t="s">
        <v>2049</v>
      </c>
      <c r="G620" t="s">
        <v>2050</v>
      </c>
      <c r="H620">
        <v>106.516614</v>
      </c>
      <c r="I620">
        <v>29.539939</v>
      </c>
      <c r="J620">
        <v>210</v>
      </c>
      <c r="K620" t="s">
        <v>27</v>
      </c>
      <c r="L620" t="s">
        <v>27</v>
      </c>
      <c r="M620" t="s">
        <v>27</v>
      </c>
      <c r="N620" t="s">
        <v>27</v>
      </c>
      <c r="O620" t="s">
        <v>27</v>
      </c>
      <c r="P620" t="s">
        <v>27</v>
      </c>
      <c r="Q620" t="s">
        <v>27</v>
      </c>
      <c r="R620" t="s">
        <v>2883</v>
      </c>
      <c r="T620" t="s">
        <v>2398</v>
      </c>
      <c r="U620" t="s">
        <v>2884</v>
      </c>
    </row>
    <row r="621" spans="1:21" x14ac:dyDescent="0.25">
      <c r="A621" t="s">
        <v>2885</v>
      </c>
      <c r="B621" t="s">
        <v>2322</v>
      </c>
      <c r="C621" t="s">
        <v>2886</v>
      </c>
      <c r="D621">
        <f>400-821-5500</f>
        <v>-5921</v>
      </c>
      <c r="E621" t="s">
        <v>2396</v>
      </c>
      <c r="F621" t="s">
        <v>2049</v>
      </c>
      <c r="G621" t="s">
        <v>2050</v>
      </c>
      <c r="H621">
        <v>106.575767838891</v>
      </c>
      <c r="I621">
        <v>29.555747515671701</v>
      </c>
      <c r="J621">
        <v>210</v>
      </c>
      <c r="K621" t="s">
        <v>27</v>
      </c>
      <c r="L621" t="s">
        <v>27</v>
      </c>
      <c r="M621" t="s">
        <v>27</v>
      </c>
      <c r="N621" t="s">
        <v>27</v>
      </c>
      <c r="O621" t="s">
        <v>27</v>
      </c>
      <c r="P621" t="s">
        <v>27</v>
      </c>
      <c r="Q621" t="s">
        <v>27</v>
      </c>
      <c r="R621" t="s">
        <v>2887</v>
      </c>
      <c r="T621" t="s">
        <v>2398</v>
      </c>
      <c r="U621" t="s">
        <v>2888</v>
      </c>
    </row>
    <row r="622" spans="1:21" x14ac:dyDescent="0.25">
      <c r="A622" t="s">
        <v>2889</v>
      </c>
      <c r="B622" t="s">
        <v>38</v>
      </c>
      <c r="C622" t="s">
        <v>2890</v>
      </c>
      <c r="D622">
        <f>86-400-821-5500</f>
        <v>-6635</v>
      </c>
      <c r="E622" t="s">
        <v>2110</v>
      </c>
      <c r="F622" t="s">
        <v>2049</v>
      </c>
      <c r="G622" t="s">
        <v>2050</v>
      </c>
      <c r="H622">
        <v>117.218794319943</v>
      </c>
      <c r="I622">
        <v>39.028500058749998</v>
      </c>
      <c r="J622">
        <v>210</v>
      </c>
      <c r="K622" t="s">
        <v>27</v>
      </c>
      <c r="L622" t="s">
        <v>27</v>
      </c>
      <c r="M622" t="s">
        <v>27</v>
      </c>
      <c r="N622" t="s">
        <v>27</v>
      </c>
      <c r="O622" t="s">
        <v>27</v>
      </c>
      <c r="P622" t="s">
        <v>27</v>
      </c>
      <c r="Q622" t="s">
        <v>27</v>
      </c>
      <c r="R622" t="s">
        <v>2891</v>
      </c>
      <c r="T622" t="s">
        <v>2112</v>
      </c>
      <c r="U622" t="s">
        <v>2892</v>
      </c>
    </row>
    <row r="623" spans="1:21" x14ac:dyDescent="0.25">
      <c r="A623" t="s">
        <v>2893</v>
      </c>
      <c r="B623" t="s">
        <v>38</v>
      </c>
      <c r="C623" t="s">
        <v>2894</v>
      </c>
      <c r="D623">
        <f>400-821-5500</f>
        <v>-5921</v>
      </c>
      <c r="E623" t="s">
        <v>2895</v>
      </c>
      <c r="F623" t="s">
        <v>2049</v>
      </c>
      <c r="G623" t="s">
        <v>2050</v>
      </c>
      <c r="H623">
        <v>114.425014</v>
      </c>
      <c r="I623">
        <v>23.122230999999999</v>
      </c>
      <c r="J623">
        <v>210</v>
      </c>
      <c r="K623" t="s">
        <v>27</v>
      </c>
      <c r="L623" t="s">
        <v>27</v>
      </c>
      <c r="M623" t="s">
        <v>27</v>
      </c>
      <c r="N623" t="s">
        <v>27</v>
      </c>
      <c r="O623" t="s">
        <v>77</v>
      </c>
      <c r="P623" t="s">
        <v>77</v>
      </c>
      <c r="Q623" t="s">
        <v>27</v>
      </c>
      <c r="R623" t="s">
        <v>2896</v>
      </c>
      <c r="T623" t="s">
        <v>2095</v>
      </c>
      <c r="U623" t="s">
        <v>2897</v>
      </c>
    </row>
    <row r="624" spans="1:21" x14ac:dyDescent="0.25">
      <c r="A624" t="s">
        <v>2898</v>
      </c>
      <c r="B624" t="s">
        <v>22</v>
      </c>
      <c r="C624" t="s">
        <v>2899</v>
      </c>
      <c r="D624">
        <f>86-400-821-5500</f>
        <v>-6635</v>
      </c>
      <c r="E624" t="s">
        <v>2160</v>
      </c>
      <c r="F624" t="s">
        <v>2049</v>
      </c>
      <c r="G624" t="s">
        <v>2050</v>
      </c>
      <c r="H624">
        <v>118.870042609008</v>
      </c>
      <c r="I624">
        <v>32.039171021453697</v>
      </c>
      <c r="J624">
        <v>210</v>
      </c>
      <c r="K624" t="s">
        <v>27</v>
      </c>
      <c r="L624" t="s">
        <v>27</v>
      </c>
      <c r="M624" t="s">
        <v>27</v>
      </c>
      <c r="N624" t="s">
        <v>27</v>
      </c>
      <c r="O624" t="s">
        <v>27</v>
      </c>
      <c r="P624" t="s">
        <v>27</v>
      </c>
      <c r="Q624" t="s">
        <v>27</v>
      </c>
      <c r="R624" t="s">
        <v>2900</v>
      </c>
      <c r="T624" t="s">
        <v>2063</v>
      </c>
      <c r="U624" t="s">
        <v>2901</v>
      </c>
    </row>
    <row r="625" spans="1:21" x14ac:dyDescent="0.25">
      <c r="A625" t="s">
        <v>2902</v>
      </c>
      <c r="B625" t="s">
        <v>22</v>
      </c>
      <c r="C625" t="s">
        <v>2903</v>
      </c>
      <c r="D625">
        <f>86-400-821-5500</f>
        <v>-6635</v>
      </c>
      <c r="E625" t="s">
        <v>2336</v>
      </c>
      <c r="F625" t="s">
        <v>2049</v>
      </c>
      <c r="G625" t="s">
        <v>2050</v>
      </c>
      <c r="H625">
        <v>117.029723196322</v>
      </c>
      <c r="I625">
        <v>36.664997792669702</v>
      </c>
      <c r="J625">
        <v>210</v>
      </c>
      <c r="K625" t="s">
        <v>27</v>
      </c>
      <c r="L625" t="s">
        <v>27</v>
      </c>
      <c r="M625" t="s">
        <v>27</v>
      </c>
      <c r="N625" t="s">
        <v>27</v>
      </c>
      <c r="O625" t="s">
        <v>27</v>
      </c>
      <c r="P625" t="s">
        <v>27</v>
      </c>
      <c r="Q625" t="s">
        <v>27</v>
      </c>
      <c r="R625" t="s">
        <v>2904</v>
      </c>
      <c r="T625" t="s">
        <v>2071</v>
      </c>
      <c r="U625" t="s">
        <v>2905</v>
      </c>
    </row>
    <row r="626" spans="1:21" x14ac:dyDescent="0.25">
      <c r="A626" t="s">
        <v>2906</v>
      </c>
      <c r="B626" t="s">
        <v>22</v>
      </c>
      <c r="C626" t="s">
        <v>2907</v>
      </c>
      <c r="D626">
        <f>86-400-821-5500</f>
        <v>-6635</v>
      </c>
      <c r="E626" t="s">
        <v>2748</v>
      </c>
      <c r="F626" t="s">
        <v>2049</v>
      </c>
      <c r="G626" t="s">
        <v>2050</v>
      </c>
      <c r="H626">
        <v>120.390340467095</v>
      </c>
      <c r="I626">
        <v>31.579435119471899</v>
      </c>
      <c r="J626">
        <v>210</v>
      </c>
      <c r="K626" t="s">
        <v>27</v>
      </c>
      <c r="L626" t="s">
        <v>27</v>
      </c>
      <c r="M626" t="s">
        <v>27</v>
      </c>
      <c r="N626" t="s">
        <v>27</v>
      </c>
      <c r="O626" t="s">
        <v>27</v>
      </c>
      <c r="P626" t="s">
        <v>27</v>
      </c>
      <c r="Q626" t="s">
        <v>27</v>
      </c>
      <c r="R626" t="s">
        <v>2908</v>
      </c>
      <c r="T626" t="s">
        <v>2063</v>
      </c>
      <c r="U626" t="s">
        <v>2909</v>
      </c>
    </row>
    <row r="627" spans="1:21" x14ac:dyDescent="0.25">
      <c r="A627" t="s">
        <v>2910</v>
      </c>
      <c r="B627" t="s">
        <v>38</v>
      </c>
      <c r="C627" t="s">
        <v>2911</v>
      </c>
      <c r="D627">
        <f>86-400-821-5500</f>
        <v>-6635</v>
      </c>
      <c r="E627" t="s">
        <v>2087</v>
      </c>
      <c r="F627" t="s">
        <v>2049</v>
      </c>
      <c r="G627" t="s">
        <v>2050</v>
      </c>
      <c r="H627">
        <v>116.652019173974</v>
      </c>
      <c r="I627">
        <v>40.1280338395851</v>
      </c>
      <c r="J627">
        <v>210</v>
      </c>
      <c r="K627" t="s">
        <v>2068</v>
      </c>
      <c r="L627" t="s">
        <v>2068</v>
      </c>
      <c r="M627" t="s">
        <v>2068</v>
      </c>
      <c r="N627" t="s">
        <v>2068</v>
      </c>
      <c r="O627" t="s">
        <v>2068</v>
      </c>
      <c r="P627" t="s">
        <v>2068</v>
      </c>
      <c r="Q627" t="s">
        <v>2068</v>
      </c>
      <c r="R627" t="s">
        <v>2912</v>
      </c>
      <c r="T627" t="s">
        <v>2089</v>
      </c>
      <c r="U627" t="s">
        <v>2913</v>
      </c>
    </row>
    <row r="628" spans="1:21" x14ac:dyDescent="0.25">
      <c r="A628" t="s">
        <v>2914</v>
      </c>
      <c r="B628" t="s">
        <v>22</v>
      </c>
      <c r="C628" t="s">
        <v>2915</v>
      </c>
      <c r="D628">
        <f>86-400-821-5500</f>
        <v>-6635</v>
      </c>
      <c r="E628" t="s">
        <v>2916</v>
      </c>
      <c r="F628" t="s">
        <v>2049</v>
      </c>
      <c r="G628" t="s">
        <v>2050</v>
      </c>
      <c r="H628">
        <v>114.926874020574</v>
      </c>
      <c r="I628">
        <v>25.812317517945399</v>
      </c>
      <c r="J628">
        <v>210</v>
      </c>
      <c r="K628" t="s">
        <v>27</v>
      </c>
      <c r="L628" t="s">
        <v>27</v>
      </c>
      <c r="M628" t="s">
        <v>27</v>
      </c>
      <c r="N628" t="s">
        <v>27</v>
      </c>
      <c r="O628" t="s">
        <v>77</v>
      </c>
      <c r="P628" t="s">
        <v>77</v>
      </c>
      <c r="Q628" t="s">
        <v>27</v>
      </c>
      <c r="R628" t="s">
        <v>2917</v>
      </c>
      <c r="T628" t="s">
        <v>2620</v>
      </c>
      <c r="U628" t="s">
        <v>2918</v>
      </c>
    </row>
    <row r="629" spans="1:21" x14ac:dyDescent="0.25">
      <c r="A629" t="s">
        <v>2919</v>
      </c>
      <c r="B629" t="s">
        <v>22</v>
      </c>
      <c r="C629" t="s">
        <v>2920</v>
      </c>
      <c r="D629">
        <f>86-7503718590</f>
        <v>-7503718504</v>
      </c>
      <c r="E629" t="s">
        <v>2921</v>
      </c>
      <c r="F629" t="s">
        <v>2049</v>
      </c>
      <c r="G629" t="s">
        <v>2050</v>
      </c>
      <c r="H629">
        <v>113.081443757709</v>
      </c>
      <c r="I629">
        <v>22.611846050476998</v>
      </c>
      <c r="J629">
        <v>210</v>
      </c>
      <c r="K629" t="s">
        <v>27</v>
      </c>
      <c r="L629" t="s">
        <v>27</v>
      </c>
      <c r="M629" t="s">
        <v>27</v>
      </c>
      <c r="N629" t="s">
        <v>27</v>
      </c>
      <c r="O629" t="s">
        <v>77</v>
      </c>
      <c r="P629" t="s">
        <v>77</v>
      </c>
      <c r="Q629" t="s">
        <v>27</v>
      </c>
      <c r="R629" t="s">
        <v>2922</v>
      </c>
      <c r="T629" t="s">
        <v>2095</v>
      </c>
      <c r="U629" t="s">
        <v>2923</v>
      </c>
    </row>
    <row r="630" spans="1:21" x14ac:dyDescent="0.25">
      <c r="A630" t="s">
        <v>2924</v>
      </c>
      <c r="B630" t="s">
        <v>22</v>
      </c>
      <c r="C630" t="s">
        <v>2925</v>
      </c>
      <c r="D630">
        <f>400-821-5500</f>
        <v>-5921</v>
      </c>
      <c r="E630" t="s">
        <v>2402</v>
      </c>
      <c r="F630" t="s">
        <v>2049</v>
      </c>
      <c r="G630" t="s">
        <v>2050</v>
      </c>
      <c r="H630">
        <v>104.09184999999999</v>
      </c>
      <c r="I630">
        <v>30.643483</v>
      </c>
      <c r="J630">
        <v>210</v>
      </c>
      <c r="K630" t="s">
        <v>27</v>
      </c>
      <c r="L630" t="s">
        <v>27</v>
      </c>
      <c r="M630" t="s">
        <v>27</v>
      </c>
      <c r="N630" t="s">
        <v>27</v>
      </c>
      <c r="O630" t="s">
        <v>27</v>
      </c>
      <c r="P630" t="s">
        <v>27</v>
      </c>
      <c r="Q630" t="s">
        <v>27</v>
      </c>
      <c r="R630" t="s">
        <v>2926</v>
      </c>
      <c r="T630" t="s">
        <v>2150</v>
      </c>
      <c r="U630" t="s">
        <v>2927</v>
      </c>
    </row>
    <row r="631" spans="1:21" x14ac:dyDescent="0.25">
      <c r="A631" t="s">
        <v>2928</v>
      </c>
      <c r="B631" t="s">
        <v>22</v>
      </c>
      <c r="C631" t="s">
        <v>2929</v>
      </c>
      <c r="D631">
        <f>86-400-821-5500</f>
        <v>-6635</v>
      </c>
      <c r="E631" t="s">
        <v>2930</v>
      </c>
      <c r="F631" t="s">
        <v>2049</v>
      </c>
      <c r="G631" t="s">
        <v>2050</v>
      </c>
      <c r="H631">
        <v>122.87534265625</v>
      </c>
      <c r="I631">
        <v>45.675464153459998</v>
      </c>
      <c r="J631">
        <v>210</v>
      </c>
      <c r="K631" t="s">
        <v>27</v>
      </c>
      <c r="L631" t="s">
        <v>27</v>
      </c>
      <c r="M631" t="s">
        <v>27</v>
      </c>
      <c r="N631" t="s">
        <v>27</v>
      </c>
      <c r="O631" t="s">
        <v>27</v>
      </c>
      <c r="P631" t="s">
        <v>2069</v>
      </c>
      <c r="Q631" t="s">
        <v>2069</v>
      </c>
      <c r="R631" t="s">
        <v>2931</v>
      </c>
      <c r="T631" t="s">
        <v>2063</v>
      </c>
      <c r="U631" t="s">
        <v>2932</v>
      </c>
    </row>
    <row r="632" spans="1:21" x14ac:dyDescent="0.25">
      <c r="A632" t="s">
        <v>2933</v>
      </c>
      <c r="B632" t="s">
        <v>32</v>
      </c>
      <c r="C632" t="s">
        <v>2934</v>
      </c>
      <c r="D632">
        <f>86-400-821-5500</f>
        <v>-6635</v>
      </c>
      <c r="E632" t="s">
        <v>2087</v>
      </c>
      <c r="F632" t="s">
        <v>2049</v>
      </c>
      <c r="G632" t="s">
        <v>2050</v>
      </c>
      <c r="H632">
        <v>116.453993621707</v>
      </c>
      <c r="I632">
        <v>39.9340952697194</v>
      </c>
      <c r="J632">
        <v>210</v>
      </c>
      <c r="K632" t="s">
        <v>27</v>
      </c>
      <c r="L632" t="s">
        <v>27</v>
      </c>
      <c r="M632" t="s">
        <v>27</v>
      </c>
      <c r="N632" t="s">
        <v>27</v>
      </c>
      <c r="O632" t="s">
        <v>27</v>
      </c>
      <c r="P632" t="s">
        <v>27</v>
      </c>
      <c r="Q632" t="s">
        <v>27</v>
      </c>
      <c r="R632" t="s">
        <v>2935</v>
      </c>
      <c r="T632" t="s">
        <v>2089</v>
      </c>
      <c r="U632" t="s">
        <v>2936</v>
      </c>
    </row>
    <row r="633" spans="1:21" x14ac:dyDescent="0.25">
      <c r="A633" t="s">
        <v>2937</v>
      </c>
      <c r="B633" t="s">
        <v>38</v>
      </c>
      <c r="C633" t="s">
        <v>2938</v>
      </c>
      <c r="D633">
        <f>86-400-821-5500</f>
        <v>-6635</v>
      </c>
      <c r="E633" t="s">
        <v>2087</v>
      </c>
      <c r="F633" t="s">
        <v>2049</v>
      </c>
      <c r="G633" t="s">
        <v>2050</v>
      </c>
      <c r="H633">
        <v>116.23786862897001</v>
      </c>
      <c r="I633">
        <v>40.211959647137597</v>
      </c>
      <c r="J633">
        <v>210</v>
      </c>
      <c r="K633" t="s">
        <v>27</v>
      </c>
      <c r="L633" t="s">
        <v>27</v>
      </c>
      <c r="M633" t="s">
        <v>27</v>
      </c>
      <c r="N633" t="s">
        <v>27</v>
      </c>
      <c r="O633" t="s">
        <v>27</v>
      </c>
      <c r="P633" t="s">
        <v>27</v>
      </c>
      <c r="Q633" t="s">
        <v>27</v>
      </c>
      <c r="R633" t="s">
        <v>2939</v>
      </c>
      <c r="T633" t="s">
        <v>2089</v>
      </c>
      <c r="U633" t="s">
        <v>2940</v>
      </c>
    </row>
    <row r="634" spans="1:21" x14ac:dyDescent="0.25">
      <c r="A634" t="s">
        <v>2941</v>
      </c>
      <c r="B634" t="s">
        <v>22</v>
      </c>
      <c r="C634" t="s">
        <v>2544</v>
      </c>
      <c r="D634">
        <f>400-821-5500</f>
        <v>-5921</v>
      </c>
      <c r="E634" t="s">
        <v>2402</v>
      </c>
      <c r="F634" t="s">
        <v>2049</v>
      </c>
      <c r="G634" t="s">
        <v>2050</v>
      </c>
      <c r="H634">
        <v>104.04386</v>
      </c>
      <c r="I634">
        <v>30.7043131</v>
      </c>
      <c r="J634">
        <v>210</v>
      </c>
      <c r="K634" t="s">
        <v>27</v>
      </c>
      <c r="L634" t="s">
        <v>27</v>
      </c>
      <c r="M634" t="s">
        <v>27</v>
      </c>
      <c r="N634" t="s">
        <v>27</v>
      </c>
      <c r="O634" t="s">
        <v>27</v>
      </c>
      <c r="P634" t="s">
        <v>27</v>
      </c>
      <c r="Q634" t="s">
        <v>27</v>
      </c>
      <c r="R634" t="s">
        <v>2942</v>
      </c>
      <c r="T634" t="s">
        <v>2150</v>
      </c>
      <c r="U634" t="s">
        <v>2943</v>
      </c>
    </row>
    <row r="635" spans="1:21" x14ac:dyDescent="0.25">
      <c r="A635" t="s">
        <v>2944</v>
      </c>
      <c r="B635" t="s">
        <v>22</v>
      </c>
      <c r="C635" t="s">
        <v>2945</v>
      </c>
      <c r="D635">
        <f>86-400-821-5500</f>
        <v>-6635</v>
      </c>
      <c r="E635" t="s">
        <v>2439</v>
      </c>
      <c r="F635" t="s">
        <v>2049</v>
      </c>
      <c r="G635" t="s">
        <v>2050</v>
      </c>
      <c r="H635">
        <v>108.973123675292</v>
      </c>
      <c r="I635">
        <v>34.315573204498101</v>
      </c>
      <c r="J635">
        <v>210</v>
      </c>
      <c r="K635" t="s">
        <v>27</v>
      </c>
      <c r="L635" t="s">
        <v>27</v>
      </c>
      <c r="M635" t="s">
        <v>27</v>
      </c>
      <c r="N635" t="s">
        <v>27</v>
      </c>
      <c r="O635" t="s">
        <v>27</v>
      </c>
      <c r="P635" t="s">
        <v>27</v>
      </c>
      <c r="Q635" t="s">
        <v>27</v>
      </c>
      <c r="R635" t="s">
        <v>2946</v>
      </c>
      <c r="T635" t="s">
        <v>2269</v>
      </c>
      <c r="U635" t="s">
        <v>2947</v>
      </c>
    </row>
    <row r="636" spans="1:21" x14ac:dyDescent="0.25">
      <c r="A636" t="s">
        <v>2948</v>
      </c>
      <c r="B636" t="s">
        <v>22</v>
      </c>
      <c r="C636" t="s">
        <v>2949</v>
      </c>
      <c r="D636">
        <f>86-400-821-5500</f>
        <v>-6635</v>
      </c>
      <c r="E636" t="s">
        <v>2950</v>
      </c>
      <c r="F636" t="s">
        <v>2049</v>
      </c>
      <c r="G636" t="s">
        <v>2050</v>
      </c>
      <c r="H636">
        <v>120.15320523612</v>
      </c>
      <c r="I636">
        <v>33.351333094422898</v>
      </c>
      <c r="J636">
        <v>210</v>
      </c>
      <c r="K636" t="s">
        <v>2068</v>
      </c>
      <c r="L636" t="s">
        <v>2068</v>
      </c>
      <c r="M636" t="s">
        <v>2068</v>
      </c>
      <c r="N636" t="s">
        <v>2068</v>
      </c>
      <c r="O636" t="s">
        <v>2068</v>
      </c>
      <c r="P636" t="s">
        <v>2068</v>
      </c>
      <c r="Q636" t="s">
        <v>2068</v>
      </c>
      <c r="R636" t="s">
        <v>2951</v>
      </c>
      <c r="T636" t="s">
        <v>2063</v>
      </c>
      <c r="U636" t="s">
        <v>2952</v>
      </c>
    </row>
    <row r="637" spans="1:21" x14ac:dyDescent="0.25">
      <c r="A637" t="s">
        <v>2953</v>
      </c>
      <c r="B637" t="s">
        <v>22</v>
      </c>
      <c r="C637" t="s">
        <v>2954</v>
      </c>
      <c r="D637">
        <f>400-821-5500</f>
        <v>-5921</v>
      </c>
      <c r="E637" t="s">
        <v>2279</v>
      </c>
      <c r="F637" t="s">
        <v>2049</v>
      </c>
      <c r="G637" t="s">
        <v>2050</v>
      </c>
      <c r="H637">
        <v>121.671278021362</v>
      </c>
      <c r="I637">
        <v>38.923004014782997</v>
      </c>
      <c r="J637">
        <v>210</v>
      </c>
      <c r="K637" t="s">
        <v>290</v>
      </c>
      <c r="L637" t="s">
        <v>290</v>
      </c>
      <c r="M637" t="s">
        <v>290</v>
      </c>
      <c r="N637" t="s">
        <v>290</v>
      </c>
      <c r="O637" t="s">
        <v>290</v>
      </c>
      <c r="P637" t="s">
        <v>290</v>
      </c>
      <c r="Q637" t="s">
        <v>290</v>
      </c>
      <c r="R637" t="s">
        <v>2955</v>
      </c>
      <c r="T637" t="s">
        <v>2083</v>
      </c>
      <c r="U637" t="s">
        <v>2956</v>
      </c>
    </row>
    <row r="638" spans="1:21" x14ac:dyDescent="0.25">
      <c r="A638" t="s">
        <v>2957</v>
      </c>
      <c r="B638" t="s">
        <v>22</v>
      </c>
      <c r="C638" t="s">
        <v>2958</v>
      </c>
      <c r="D638">
        <f>400-821-5500</f>
        <v>-5921</v>
      </c>
      <c r="E638" t="s">
        <v>2785</v>
      </c>
      <c r="F638" t="s">
        <v>2049</v>
      </c>
      <c r="G638" t="s">
        <v>2050</v>
      </c>
      <c r="H638">
        <v>106.708809557641</v>
      </c>
      <c r="I638">
        <v>26.559008337148601</v>
      </c>
      <c r="J638">
        <v>210</v>
      </c>
      <c r="K638" t="s">
        <v>27</v>
      </c>
      <c r="L638" t="s">
        <v>27</v>
      </c>
      <c r="M638" t="s">
        <v>27</v>
      </c>
      <c r="N638" t="s">
        <v>27</v>
      </c>
      <c r="O638" t="s">
        <v>77</v>
      </c>
      <c r="P638" t="s">
        <v>77</v>
      </c>
      <c r="Q638" t="s">
        <v>77</v>
      </c>
      <c r="R638" t="s">
        <v>2959</v>
      </c>
      <c r="T638" t="s">
        <v>2787</v>
      </c>
      <c r="U638" t="s">
        <v>2960</v>
      </c>
    </row>
    <row r="639" spans="1:21" x14ac:dyDescent="0.25">
      <c r="A639" t="s">
        <v>2961</v>
      </c>
      <c r="B639" t="s">
        <v>22</v>
      </c>
      <c r="C639" t="s">
        <v>2962</v>
      </c>
      <c r="D639">
        <f t="shared" ref="D639:D649" si="16">86-400-821-5500</f>
        <v>-6635</v>
      </c>
      <c r="E639" t="s">
        <v>2312</v>
      </c>
      <c r="F639" t="s">
        <v>2049</v>
      </c>
      <c r="G639" t="s">
        <v>2050</v>
      </c>
      <c r="H639">
        <v>120.15222390744</v>
      </c>
      <c r="I639">
        <v>30.303541221497198</v>
      </c>
      <c r="J639">
        <v>210</v>
      </c>
      <c r="K639" t="s">
        <v>27</v>
      </c>
      <c r="L639" t="s">
        <v>27</v>
      </c>
      <c r="M639" t="s">
        <v>27</v>
      </c>
      <c r="N639" t="s">
        <v>27</v>
      </c>
      <c r="O639" t="s">
        <v>27</v>
      </c>
      <c r="P639" t="s">
        <v>27</v>
      </c>
      <c r="Q639" t="s">
        <v>27</v>
      </c>
      <c r="R639" t="s">
        <v>2963</v>
      </c>
      <c r="T639" t="s">
        <v>2052</v>
      </c>
      <c r="U639" t="s">
        <v>2964</v>
      </c>
    </row>
    <row r="640" spans="1:21" x14ac:dyDescent="0.25">
      <c r="A640" t="s">
        <v>2965</v>
      </c>
      <c r="B640" t="s">
        <v>22</v>
      </c>
      <c r="C640" t="s">
        <v>2086</v>
      </c>
      <c r="D640">
        <f t="shared" si="16"/>
        <v>-6635</v>
      </c>
      <c r="E640" t="s">
        <v>2067</v>
      </c>
      <c r="F640" t="s">
        <v>2049</v>
      </c>
      <c r="G640" t="s">
        <v>2050</v>
      </c>
      <c r="H640">
        <v>120.37887949073701</v>
      </c>
      <c r="I640">
        <v>36.066130969802401</v>
      </c>
      <c r="J640">
        <v>210</v>
      </c>
      <c r="K640" t="s">
        <v>27</v>
      </c>
      <c r="L640" t="s">
        <v>27</v>
      </c>
      <c r="M640" t="s">
        <v>27</v>
      </c>
      <c r="N640" t="s">
        <v>27</v>
      </c>
      <c r="O640" t="s">
        <v>77</v>
      </c>
      <c r="P640" t="s">
        <v>77</v>
      </c>
      <c r="Q640" t="s">
        <v>27</v>
      </c>
      <c r="R640" t="s">
        <v>2966</v>
      </c>
      <c r="T640" t="s">
        <v>2071</v>
      </c>
      <c r="U640" t="s">
        <v>2967</v>
      </c>
    </row>
    <row r="641" spans="1:21" x14ac:dyDescent="0.25">
      <c r="A641" t="s">
        <v>2968</v>
      </c>
      <c r="B641" t="s">
        <v>22</v>
      </c>
      <c r="C641" t="s">
        <v>2969</v>
      </c>
      <c r="D641">
        <f t="shared" si="16"/>
        <v>-6635</v>
      </c>
      <c r="E641" t="s">
        <v>2439</v>
      </c>
      <c r="F641" t="s">
        <v>2049</v>
      </c>
      <c r="G641" t="s">
        <v>2050</v>
      </c>
      <c r="H641">
        <v>108.94404830000001</v>
      </c>
      <c r="I641">
        <v>34.228974099999903</v>
      </c>
      <c r="J641">
        <v>210</v>
      </c>
      <c r="K641" t="s">
        <v>27</v>
      </c>
      <c r="L641" t="s">
        <v>27</v>
      </c>
      <c r="M641" t="s">
        <v>27</v>
      </c>
      <c r="N641" t="s">
        <v>27</v>
      </c>
      <c r="O641" t="s">
        <v>27</v>
      </c>
      <c r="P641" t="s">
        <v>27</v>
      </c>
      <c r="Q641" t="s">
        <v>27</v>
      </c>
      <c r="R641" t="s">
        <v>2970</v>
      </c>
      <c r="T641" t="s">
        <v>2441</v>
      </c>
      <c r="U641" t="s">
        <v>2971</v>
      </c>
    </row>
    <row r="642" spans="1:21" x14ac:dyDescent="0.25">
      <c r="A642" t="s">
        <v>2972</v>
      </c>
      <c r="B642" t="s">
        <v>22</v>
      </c>
      <c r="C642" t="s">
        <v>2524</v>
      </c>
      <c r="D642">
        <f t="shared" si="16"/>
        <v>-6635</v>
      </c>
      <c r="E642" t="s">
        <v>2973</v>
      </c>
      <c r="F642" t="s">
        <v>2049</v>
      </c>
      <c r="G642" t="s">
        <v>2050</v>
      </c>
      <c r="H642">
        <v>121.38643496221</v>
      </c>
      <c r="I642">
        <v>37.545382950234497</v>
      </c>
      <c r="J642">
        <v>210</v>
      </c>
      <c r="K642" t="s">
        <v>27</v>
      </c>
      <c r="L642" t="s">
        <v>27</v>
      </c>
      <c r="M642" t="s">
        <v>27</v>
      </c>
      <c r="N642" t="s">
        <v>27</v>
      </c>
      <c r="O642" t="s">
        <v>27</v>
      </c>
      <c r="P642" t="s">
        <v>27</v>
      </c>
      <c r="Q642" t="s">
        <v>27</v>
      </c>
      <c r="R642" t="s">
        <v>2974</v>
      </c>
      <c r="T642" t="s">
        <v>2071</v>
      </c>
      <c r="U642" t="s">
        <v>2975</v>
      </c>
    </row>
    <row r="643" spans="1:21" x14ac:dyDescent="0.25">
      <c r="A643" t="s">
        <v>2976</v>
      </c>
      <c r="B643" t="s">
        <v>2322</v>
      </c>
      <c r="C643" t="s">
        <v>2977</v>
      </c>
      <c r="D643">
        <f t="shared" si="16"/>
        <v>-6635</v>
      </c>
      <c r="E643" t="s">
        <v>2104</v>
      </c>
      <c r="F643" t="s">
        <v>2049</v>
      </c>
      <c r="G643" t="s">
        <v>2050</v>
      </c>
      <c r="H643">
        <v>121.482919026489</v>
      </c>
      <c r="I643">
        <v>31.236532129858901</v>
      </c>
      <c r="J643">
        <v>210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  <c r="Q643" t="s">
        <v>34</v>
      </c>
      <c r="R643" t="s">
        <v>2978</v>
      </c>
      <c r="T643" t="s">
        <v>2106</v>
      </c>
      <c r="U643" t="s">
        <v>2979</v>
      </c>
    </row>
    <row r="644" spans="1:21" x14ac:dyDescent="0.25">
      <c r="A644" t="s">
        <v>2980</v>
      </c>
      <c r="B644" t="s">
        <v>22</v>
      </c>
      <c r="C644" t="s">
        <v>2981</v>
      </c>
      <c r="D644">
        <f t="shared" si="16"/>
        <v>-6635</v>
      </c>
      <c r="E644" t="s">
        <v>2104</v>
      </c>
      <c r="F644" t="s">
        <v>2049</v>
      </c>
      <c r="G644" t="s">
        <v>2050</v>
      </c>
      <c r="H644">
        <v>121.604589227966</v>
      </c>
      <c r="I644">
        <v>31.2054043708935</v>
      </c>
      <c r="J644">
        <v>210</v>
      </c>
      <c r="K644" t="s">
        <v>27</v>
      </c>
      <c r="L644" t="s">
        <v>27</v>
      </c>
      <c r="M644" t="s">
        <v>27</v>
      </c>
      <c r="N644" t="s">
        <v>27</v>
      </c>
      <c r="O644" t="s">
        <v>27</v>
      </c>
      <c r="P644" t="s">
        <v>27</v>
      </c>
      <c r="Q644" t="s">
        <v>27</v>
      </c>
      <c r="R644" t="s">
        <v>2982</v>
      </c>
      <c r="T644" t="s">
        <v>2106</v>
      </c>
      <c r="U644" t="s">
        <v>2983</v>
      </c>
    </row>
    <row r="645" spans="1:21" x14ac:dyDescent="0.25">
      <c r="A645" t="s">
        <v>2984</v>
      </c>
      <c r="B645" t="s">
        <v>22</v>
      </c>
      <c r="C645" t="s">
        <v>2985</v>
      </c>
      <c r="D645">
        <f t="shared" si="16"/>
        <v>-6635</v>
      </c>
      <c r="E645" t="s">
        <v>2730</v>
      </c>
      <c r="F645" t="s">
        <v>2049</v>
      </c>
      <c r="G645" t="s">
        <v>2050</v>
      </c>
      <c r="H645">
        <v>112.4543934</v>
      </c>
      <c r="I645">
        <v>34.618255900000001</v>
      </c>
      <c r="J645">
        <v>210</v>
      </c>
      <c r="K645" t="s">
        <v>27</v>
      </c>
      <c r="L645" t="s">
        <v>27</v>
      </c>
      <c r="M645" t="s">
        <v>27</v>
      </c>
      <c r="N645" t="s">
        <v>27</v>
      </c>
      <c r="O645" t="s">
        <v>27</v>
      </c>
      <c r="P645" t="s">
        <v>27</v>
      </c>
      <c r="Q645" t="s">
        <v>27</v>
      </c>
      <c r="R645" t="s">
        <v>2986</v>
      </c>
      <c r="T645" t="s">
        <v>2139</v>
      </c>
      <c r="U645" t="s">
        <v>2987</v>
      </c>
    </row>
    <row r="646" spans="1:21" x14ac:dyDescent="0.25">
      <c r="A646" t="s">
        <v>2988</v>
      </c>
      <c r="B646" t="s">
        <v>22</v>
      </c>
      <c r="C646" t="s">
        <v>2989</v>
      </c>
      <c r="D646">
        <f t="shared" si="16"/>
        <v>-6635</v>
      </c>
      <c r="E646" t="s">
        <v>2990</v>
      </c>
      <c r="F646" t="s">
        <v>2049</v>
      </c>
      <c r="G646" t="s">
        <v>2050</v>
      </c>
      <c r="H646">
        <v>118.060808344488</v>
      </c>
      <c r="I646">
        <v>36.803125758263</v>
      </c>
      <c r="J646">
        <v>210</v>
      </c>
      <c r="K646" t="s">
        <v>27</v>
      </c>
      <c r="L646" t="s">
        <v>27</v>
      </c>
      <c r="M646" t="s">
        <v>27</v>
      </c>
      <c r="N646" t="s">
        <v>27</v>
      </c>
      <c r="O646" t="s">
        <v>77</v>
      </c>
      <c r="P646" t="s">
        <v>77</v>
      </c>
      <c r="Q646" t="s">
        <v>77</v>
      </c>
      <c r="R646" t="s">
        <v>2991</v>
      </c>
      <c r="T646" t="s">
        <v>2071</v>
      </c>
      <c r="U646" t="s">
        <v>2992</v>
      </c>
    </row>
    <row r="647" spans="1:21" x14ac:dyDescent="0.25">
      <c r="A647" t="s">
        <v>2993</v>
      </c>
      <c r="B647" t="s">
        <v>22</v>
      </c>
      <c r="C647" t="s">
        <v>2994</v>
      </c>
      <c r="D647">
        <f t="shared" si="16"/>
        <v>-6635</v>
      </c>
      <c r="E647" t="s">
        <v>2170</v>
      </c>
      <c r="F647" t="s">
        <v>2049</v>
      </c>
      <c r="G647" t="s">
        <v>2050</v>
      </c>
      <c r="H647">
        <v>117.230503119506</v>
      </c>
      <c r="I647">
        <v>31.837676195903601</v>
      </c>
      <c r="J647">
        <v>210</v>
      </c>
      <c r="K647" t="s">
        <v>27</v>
      </c>
      <c r="L647" t="s">
        <v>27</v>
      </c>
      <c r="M647" t="s">
        <v>27</v>
      </c>
      <c r="N647" t="s">
        <v>27</v>
      </c>
      <c r="O647" t="s">
        <v>27</v>
      </c>
      <c r="P647" t="s">
        <v>27</v>
      </c>
      <c r="Q647" t="s">
        <v>27</v>
      </c>
      <c r="R647" t="s">
        <v>2995</v>
      </c>
      <c r="T647" t="s">
        <v>2172</v>
      </c>
      <c r="U647" t="s">
        <v>2996</v>
      </c>
    </row>
    <row r="648" spans="1:21" x14ac:dyDescent="0.25">
      <c r="A648" t="s">
        <v>2997</v>
      </c>
      <c r="B648" t="s">
        <v>22</v>
      </c>
      <c r="C648" t="s">
        <v>2272</v>
      </c>
      <c r="D648">
        <f t="shared" si="16"/>
        <v>-6635</v>
      </c>
      <c r="E648" t="s">
        <v>2998</v>
      </c>
      <c r="F648" t="s">
        <v>2049</v>
      </c>
      <c r="G648" t="s">
        <v>2050</v>
      </c>
      <c r="H648">
        <v>116.603855476379</v>
      </c>
      <c r="I648">
        <v>35.407841565915902</v>
      </c>
      <c r="J648">
        <v>210</v>
      </c>
      <c r="K648" t="s">
        <v>27</v>
      </c>
      <c r="L648" t="s">
        <v>27</v>
      </c>
      <c r="M648" t="s">
        <v>27</v>
      </c>
      <c r="N648" t="s">
        <v>27</v>
      </c>
      <c r="O648" t="s">
        <v>27</v>
      </c>
      <c r="P648" t="s">
        <v>27</v>
      </c>
      <c r="Q648" t="s">
        <v>27</v>
      </c>
      <c r="R648" t="s">
        <v>2999</v>
      </c>
      <c r="T648" t="s">
        <v>2071</v>
      </c>
      <c r="U648" t="s">
        <v>3000</v>
      </c>
    </row>
    <row r="649" spans="1:21" x14ac:dyDescent="0.25">
      <c r="A649" t="s">
        <v>3001</v>
      </c>
      <c r="B649" t="s">
        <v>22</v>
      </c>
      <c r="C649" t="s">
        <v>3002</v>
      </c>
      <c r="D649">
        <f t="shared" si="16"/>
        <v>-6635</v>
      </c>
      <c r="E649" t="s">
        <v>3003</v>
      </c>
      <c r="F649" t="s">
        <v>2049</v>
      </c>
      <c r="G649" t="s">
        <v>2050</v>
      </c>
      <c r="H649">
        <v>109.81467160419901</v>
      </c>
      <c r="I649">
        <v>40.6574449563565</v>
      </c>
      <c r="J649">
        <v>210</v>
      </c>
      <c r="K649" t="s">
        <v>290</v>
      </c>
      <c r="L649" t="s">
        <v>290</v>
      </c>
      <c r="M649" t="s">
        <v>290</v>
      </c>
      <c r="N649" t="s">
        <v>290</v>
      </c>
      <c r="O649" t="s">
        <v>290</v>
      </c>
      <c r="P649" t="s">
        <v>290</v>
      </c>
      <c r="Q649" t="s">
        <v>290</v>
      </c>
      <c r="R649" t="s">
        <v>3004</v>
      </c>
      <c r="T649" t="s">
        <v>2275</v>
      </c>
      <c r="U649" t="s">
        <v>3005</v>
      </c>
    </row>
    <row r="650" spans="1:21" x14ac:dyDescent="0.25">
      <c r="A650" t="s">
        <v>3006</v>
      </c>
      <c r="B650" t="s">
        <v>22</v>
      </c>
      <c r="C650" t="s">
        <v>3007</v>
      </c>
      <c r="D650">
        <f>400-821-5500</f>
        <v>-5921</v>
      </c>
      <c r="E650" t="s">
        <v>3008</v>
      </c>
      <c r="F650" t="s">
        <v>2049</v>
      </c>
      <c r="G650" t="s">
        <v>2050</v>
      </c>
      <c r="H650">
        <v>119.398299547839</v>
      </c>
      <c r="I650">
        <v>32.381288323273097</v>
      </c>
      <c r="J650">
        <v>210</v>
      </c>
      <c r="K650" t="s">
        <v>27</v>
      </c>
      <c r="L650" t="s">
        <v>27</v>
      </c>
      <c r="M650" t="s">
        <v>27</v>
      </c>
      <c r="N650" t="s">
        <v>27</v>
      </c>
      <c r="O650" t="s">
        <v>27</v>
      </c>
      <c r="P650" t="s">
        <v>27</v>
      </c>
      <c r="Q650" t="s">
        <v>27</v>
      </c>
      <c r="R650" t="s">
        <v>3009</v>
      </c>
      <c r="T650" t="s">
        <v>2063</v>
      </c>
      <c r="U650" t="s">
        <v>3010</v>
      </c>
    </row>
    <row r="651" spans="1:21" x14ac:dyDescent="0.25">
      <c r="A651" t="s">
        <v>3011</v>
      </c>
      <c r="B651" t="s">
        <v>22</v>
      </c>
      <c r="C651" t="s">
        <v>3012</v>
      </c>
      <c r="D651">
        <f>86-400-821-5500</f>
        <v>-6635</v>
      </c>
      <c r="E651" t="s">
        <v>2087</v>
      </c>
      <c r="F651" t="s">
        <v>2049</v>
      </c>
      <c r="G651" t="s">
        <v>2050</v>
      </c>
      <c r="H651">
        <v>116.326846698303</v>
      </c>
      <c r="I651">
        <v>39.789562714007197</v>
      </c>
      <c r="J651">
        <v>210</v>
      </c>
      <c r="K651" t="s">
        <v>27</v>
      </c>
      <c r="L651" t="s">
        <v>27</v>
      </c>
      <c r="M651" t="s">
        <v>27</v>
      </c>
      <c r="N651" t="s">
        <v>27</v>
      </c>
      <c r="O651" t="s">
        <v>27</v>
      </c>
      <c r="P651" t="s">
        <v>27</v>
      </c>
      <c r="Q651" t="s">
        <v>27</v>
      </c>
      <c r="R651" t="s">
        <v>3013</v>
      </c>
      <c r="T651" t="s">
        <v>2089</v>
      </c>
      <c r="U651" t="s">
        <v>3014</v>
      </c>
    </row>
    <row r="652" spans="1:21" x14ac:dyDescent="0.25">
      <c r="A652" t="s">
        <v>3015</v>
      </c>
      <c r="B652" t="s">
        <v>22</v>
      </c>
      <c r="C652" t="s">
        <v>3016</v>
      </c>
      <c r="D652">
        <f>86-400-821-5500</f>
        <v>-6635</v>
      </c>
      <c r="E652" t="s">
        <v>2110</v>
      </c>
      <c r="F652" t="s">
        <v>2049</v>
      </c>
      <c r="G652" t="s">
        <v>2050</v>
      </c>
      <c r="H652">
        <v>117.20138660168401</v>
      </c>
      <c r="I652">
        <v>39.127481253993899</v>
      </c>
      <c r="J652">
        <v>210</v>
      </c>
      <c r="K652" t="s">
        <v>27</v>
      </c>
      <c r="L652" t="s">
        <v>27</v>
      </c>
      <c r="M652" t="s">
        <v>27</v>
      </c>
      <c r="N652" t="s">
        <v>27</v>
      </c>
      <c r="O652" t="s">
        <v>27</v>
      </c>
      <c r="P652" t="s">
        <v>27</v>
      </c>
      <c r="Q652" t="s">
        <v>27</v>
      </c>
      <c r="R652" t="s">
        <v>3017</v>
      </c>
      <c r="T652" t="s">
        <v>2112</v>
      </c>
      <c r="U652" t="s">
        <v>3018</v>
      </c>
    </row>
    <row r="653" spans="1:21" x14ac:dyDescent="0.25">
      <c r="A653" t="s">
        <v>3019</v>
      </c>
      <c r="C653" t="s">
        <v>3020</v>
      </c>
      <c r="D653">
        <f>400-821-5500</f>
        <v>-5921</v>
      </c>
      <c r="E653" t="s">
        <v>3021</v>
      </c>
      <c r="F653" t="s">
        <v>2049</v>
      </c>
      <c r="G653" t="s">
        <v>2050</v>
      </c>
      <c r="H653">
        <v>119.02393753808499</v>
      </c>
      <c r="I653">
        <v>25.440502896747098</v>
      </c>
      <c r="R653" t="s">
        <v>3020</v>
      </c>
      <c r="S653" t="s">
        <v>3022</v>
      </c>
      <c r="U653" t="s">
        <v>3023</v>
      </c>
    </row>
    <row r="654" spans="1:21" x14ac:dyDescent="0.25">
      <c r="A654" t="s">
        <v>3024</v>
      </c>
      <c r="B654" t="s">
        <v>22</v>
      </c>
      <c r="C654" t="s">
        <v>3025</v>
      </c>
      <c r="D654">
        <f>400-821-5500</f>
        <v>-5921</v>
      </c>
      <c r="E654" t="s">
        <v>2116</v>
      </c>
      <c r="F654" t="s">
        <v>2049</v>
      </c>
      <c r="G654" t="s">
        <v>2050</v>
      </c>
      <c r="H654">
        <v>114.089438</v>
      </c>
      <c r="I654">
        <v>22.548629999999999</v>
      </c>
      <c r="J654">
        <v>210</v>
      </c>
      <c r="K654" t="s">
        <v>27</v>
      </c>
      <c r="L654" t="s">
        <v>27</v>
      </c>
      <c r="M654" t="s">
        <v>27</v>
      </c>
      <c r="N654" t="s">
        <v>27</v>
      </c>
      <c r="O654" t="s">
        <v>77</v>
      </c>
      <c r="P654" t="s">
        <v>77</v>
      </c>
      <c r="Q654" t="s">
        <v>27</v>
      </c>
      <c r="R654" t="s">
        <v>3026</v>
      </c>
      <c r="T654" t="s">
        <v>2095</v>
      </c>
      <c r="U654" t="s">
        <v>3027</v>
      </c>
    </row>
    <row r="655" spans="1:21" x14ac:dyDescent="0.25">
      <c r="A655" t="s">
        <v>3028</v>
      </c>
      <c r="B655" t="s">
        <v>22</v>
      </c>
      <c r="C655" t="s">
        <v>3025</v>
      </c>
      <c r="D655">
        <f>400-821-5500</f>
        <v>-5921</v>
      </c>
      <c r="E655" t="s">
        <v>2116</v>
      </c>
      <c r="F655" t="s">
        <v>2049</v>
      </c>
      <c r="G655" t="s">
        <v>2050</v>
      </c>
      <c r="H655">
        <v>114.02731300000001</v>
      </c>
      <c r="I655">
        <v>22.632845</v>
      </c>
      <c r="J655">
        <v>210</v>
      </c>
      <c r="K655" t="s">
        <v>27</v>
      </c>
      <c r="L655" t="s">
        <v>27</v>
      </c>
      <c r="M655" t="s">
        <v>27</v>
      </c>
      <c r="N655" t="s">
        <v>27</v>
      </c>
      <c r="O655" t="s">
        <v>77</v>
      </c>
      <c r="P655" t="s">
        <v>77</v>
      </c>
      <c r="Q655" t="s">
        <v>27</v>
      </c>
      <c r="R655" t="s">
        <v>3029</v>
      </c>
      <c r="T655" t="s">
        <v>2095</v>
      </c>
      <c r="U655" t="s">
        <v>3030</v>
      </c>
    </row>
    <row r="656" spans="1:21" x14ac:dyDescent="0.25">
      <c r="A656" t="s">
        <v>3031</v>
      </c>
      <c r="B656" t="s">
        <v>22</v>
      </c>
      <c r="C656" t="s">
        <v>3032</v>
      </c>
      <c r="D656">
        <f>86-400-821-5500</f>
        <v>-6635</v>
      </c>
      <c r="E656" t="s">
        <v>2203</v>
      </c>
      <c r="F656" t="s">
        <v>2049</v>
      </c>
      <c r="G656" t="s">
        <v>2050</v>
      </c>
      <c r="H656">
        <v>114.158231310424</v>
      </c>
      <c r="I656">
        <v>30.618669355647299</v>
      </c>
      <c r="J656">
        <v>210</v>
      </c>
      <c r="K656" t="s">
        <v>27</v>
      </c>
      <c r="L656" t="s">
        <v>27</v>
      </c>
      <c r="M656" t="s">
        <v>27</v>
      </c>
      <c r="N656" t="s">
        <v>27</v>
      </c>
      <c r="O656" t="s">
        <v>27</v>
      </c>
      <c r="P656" t="s">
        <v>27</v>
      </c>
      <c r="Q656" t="s">
        <v>27</v>
      </c>
      <c r="R656" t="s">
        <v>3033</v>
      </c>
      <c r="T656" t="s">
        <v>2128</v>
      </c>
      <c r="U656" t="s">
        <v>3034</v>
      </c>
    </row>
    <row r="657" spans="1:21" x14ac:dyDescent="0.25">
      <c r="A657" t="s">
        <v>3035</v>
      </c>
      <c r="B657" t="s">
        <v>22</v>
      </c>
      <c r="C657" t="s">
        <v>3036</v>
      </c>
      <c r="D657">
        <f>86-400-821-5500</f>
        <v>-6635</v>
      </c>
      <c r="E657" t="s">
        <v>3037</v>
      </c>
      <c r="F657" t="s">
        <v>2049</v>
      </c>
      <c r="G657" t="s">
        <v>2050</v>
      </c>
      <c r="H657">
        <v>111.30503069999899</v>
      </c>
      <c r="I657">
        <v>30.681367900000001</v>
      </c>
      <c r="J657">
        <v>210</v>
      </c>
      <c r="K657" t="s">
        <v>27</v>
      </c>
      <c r="L657" t="s">
        <v>27</v>
      </c>
      <c r="M657" t="s">
        <v>27</v>
      </c>
      <c r="N657" t="s">
        <v>27</v>
      </c>
      <c r="O657" t="s">
        <v>27</v>
      </c>
      <c r="P657" t="s">
        <v>27</v>
      </c>
      <c r="Q657" t="s">
        <v>27</v>
      </c>
      <c r="R657" t="s">
        <v>3038</v>
      </c>
      <c r="T657" t="s">
        <v>2431</v>
      </c>
      <c r="U657" t="s">
        <v>3039</v>
      </c>
    </row>
    <row r="658" spans="1:21" x14ac:dyDescent="0.25">
      <c r="A658" t="s">
        <v>3040</v>
      </c>
      <c r="B658" t="s">
        <v>22</v>
      </c>
      <c r="C658" t="s">
        <v>3041</v>
      </c>
      <c r="D658">
        <f>86-400-821-5500</f>
        <v>-6635</v>
      </c>
      <c r="E658" t="s">
        <v>2439</v>
      </c>
      <c r="F658" t="s">
        <v>2049</v>
      </c>
      <c r="G658" t="s">
        <v>2050</v>
      </c>
      <c r="H658">
        <v>108.96358434603199</v>
      </c>
      <c r="I658">
        <v>34.268636771177597</v>
      </c>
      <c r="J658">
        <v>210</v>
      </c>
      <c r="K658" t="s">
        <v>27</v>
      </c>
      <c r="L658" t="s">
        <v>27</v>
      </c>
      <c r="M658" t="s">
        <v>27</v>
      </c>
      <c r="N658" t="s">
        <v>27</v>
      </c>
      <c r="O658" t="s">
        <v>27</v>
      </c>
      <c r="P658" t="s">
        <v>27</v>
      </c>
      <c r="Q658" t="s">
        <v>27</v>
      </c>
      <c r="R658" t="s">
        <v>3042</v>
      </c>
      <c r="T658" t="s">
        <v>2441</v>
      </c>
      <c r="U658" t="s">
        <v>3043</v>
      </c>
    </row>
    <row r="659" spans="1:21" x14ac:dyDescent="0.25">
      <c r="A659" t="s">
        <v>3044</v>
      </c>
      <c r="B659" t="s">
        <v>22</v>
      </c>
      <c r="C659" t="s">
        <v>3045</v>
      </c>
      <c r="D659">
        <f>400-821-5500</f>
        <v>-5921</v>
      </c>
      <c r="E659" t="s">
        <v>2803</v>
      </c>
      <c r="F659" t="s">
        <v>2049</v>
      </c>
      <c r="G659" t="s">
        <v>2050</v>
      </c>
      <c r="H659">
        <v>113.586434</v>
      </c>
      <c r="I659">
        <v>22.280753000000001</v>
      </c>
      <c r="J659">
        <v>210</v>
      </c>
      <c r="K659" t="s">
        <v>27</v>
      </c>
      <c r="L659" t="s">
        <v>27</v>
      </c>
      <c r="M659" t="s">
        <v>27</v>
      </c>
      <c r="N659" t="s">
        <v>27</v>
      </c>
      <c r="O659" t="s">
        <v>77</v>
      </c>
      <c r="P659" t="s">
        <v>77</v>
      </c>
      <c r="Q659" t="s">
        <v>27</v>
      </c>
      <c r="R659" t="s">
        <v>3046</v>
      </c>
      <c r="T659" t="s">
        <v>2095</v>
      </c>
      <c r="U659" t="s">
        <v>3047</v>
      </c>
    </row>
    <row r="660" spans="1:21" x14ac:dyDescent="0.25">
      <c r="A660" t="s">
        <v>3048</v>
      </c>
      <c r="B660" t="s">
        <v>22</v>
      </c>
      <c r="C660" t="s">
        <v>3049</v>
      </c>
      <c r="D660">
        <f t="shared" ref="D660:D667" si="17">86-400-821-5500</f>
        <v>-6635</v>
      </c>
      <c r="E660" t="s">
        <v>2087</v>
      </c>
      <c r="F660" t="s">
        <v>2049</v>
      </c>
      <c r="G660" t="s">
        <v>2050</v>
      </c>
      <c r="H660">
        <v>116.658346875647</v>
      </c>
      <c r="I660">
        <v>39.889372444414299</v>
      </c>
      <c r="J660">
        <v>210</v>
      </c>
      <c r="K660" t="s">
        <v>27</v>
      </c>
      <c r="L660" t="s">
        <v>27</v>
      </c>
      <c r="M660" t="s">
        <v>27</v>
      </c>
      <c r="N660" t="s">
        <v>27</v>
      </c>
      <c r="O660" t="s">
        <v>27</v>
      </c>
      <c r="P660" t="s">
        <v>2069</v>
      </c>
      <c r="Q660" t="s">
        <v>2069</v>
      </c>
      <c r="R660" t="s">
        <v>3050</v>
      </c>
      <c r="T660" t="s">
        <v>2089</v>
      </c>
      <c r="U660" t="s">
        <v>3051</v>
      </c>
    </row>
    <row r="661" spans="1:21" x14ac:dyDescent="0.25">
      <c r="A661" t="s">
        <v>3052</v>
      </c>
      <c r="B661" t="s">
        <v>22</v>
      </c>
      <c r="C661" t="s">
        <v>3053</v>
      </c>
      <c r="D661">
        <f t="shared" si="17"/>
        <v>-6635</v>
      </c>
      <c r="E661" t="s">
        <v>2160</v>
      </c>
      <c r="F661" t="s">
        <v>2049</v>
      </c>
      <c r="G661" t="s">
        <v>2050</v>
      </c>
      <c r="H661">
        <v>118.752186386102</v>
      </c>
      <c r="I661">
        <v>32.046144813357699</v>
      </c>
      <c r="J661">
        <v>210</v>
      </c>
      <c r="K661" t="s">
        <v>27</v>
      </c>
      <c r="L661" t="s">
        <v>27</v>
      </c>
      <c r="M661" t="s">
        <v>27</v>
      </c>
      <c r="N661" t="s">
        <v>27</v>
      </c>
      <c r="O661" t="s">
        <v>27</v>
      </c>
      <c r="P661" t="s">
        <v>27</v>
      </c>
      <c r="Q661" t="s">
        <v>27</v>
      </c>
      <c r="R661" t="s">
        <v>3054</v>
      </c>
      <c r="T661" t="s">
        <v>2063</v>
      </c>
      <c r="U661" t="s">
        <v>3055</v>
      </c>
    </row>
    <row r="662" spans="1:21" x14ac:dyDescent="0.25">
      <c r="A662" t="s">
        <v>3056</v>
      </c>
      <c r="B662" t="s">
        <v>22</v>
      </c>
      <c r="C662" t="s">
        <v>2175</v>
      </c>
      <c r="D662">
        <f t="shared" si="17"/>
        <v>-6635</v>
      </c>
      <c r="E662" t="s">
        <v>3057</v>
      </c>
      <c r="F662" t="s">
        <v>2049</v>
      </c>
      <c r="G662" t="s">
        <v>2050</v>
      </c>
      <c r="H662">
        <v>120.581250599999</v>
      </c>
      <c r="I662">
        <v>29.9858045</v>
      </c>
      <c r="J662">
        <v>210</v>
      </c>
      <c r="K662" t="s">
        <v>27</v>
      </c>
      <c r="L662" t="s">
        <v>27</v>
      </c>
      <c r="M662" t="s">
        <v>27</v>
      </c>
      <c r="N662" t="s">
        <v>27</v>
      </c>
      <c r="O662" t="s">
        <v>77</v>
      </c>
      <c r="P662" t="s">
        <v>77</v>
      </c>
      <c r="Q662" t="s">
        <v>27</v>
      </c>
      <c r="R662" t="s">
        <v>3058</v>
      </c>
      <c r="T662" t="s">
        <v>2052</v>
      </c>
      <c r="U662" t="s">
        <v>3059</v>
      </c>
    </row>
    <row r="663" spans="1:21" x14ac:dyDescent="0.25">
      <c r="A663" t="s">
        <v>3060</v>
      </c>
      <c r="B663" t="s">
        <v>22</v>
      </c>
      <c r="C663" t="s">
        <v>3061</v>
      </c>
      <c r="D663">
        <f t="shared" si="17"/>
        <v>-6635</v>
      </c>
      <c r="E663" t="s">
        <v>2087</v>
      </c>
      <c r="F663" t="s">
        <v>2049</v>
      </c>
      <c r="G663" t="s">
        <v>2050</v>
      </c>
      <c r="H663">
        <v>116.502152889526</v>
      </c>
      <c r="I663">
        <v>39.805699097143702</v>
      </c>
      <c r="J663">
        <v>210</v>
      </c>
      <c r="K663" t="s">
        <v>27</v>
      </c>
      <c r="L663" t="s">
        <v>27</v>
      </c>
      <c r="M663" t="s">
        <v>27</v>
      </c>
      <c r="N663" t="s">
        <v>27</v>
      </c>
      <c r="O663" t="s">
        <v>27</v>
      </c>
      <c r="P663" t="s">
        <v>27</v>
      </c>
      <c r="Q663" t="s">
        <v>27</v>
      </c>
      <c r="R663" t="s">
        <v>3062</v>
      </c>
      <c r="T663" t="s">
        <v>2089</v>
      </c>
      <c r="U663" t="s">
        <v>3063</v>
      </c>
    </row>
    <row r="664" spans="1:21" x14ac:dyDescent="0.25">
      <c r="A664" t="s">
        <v>3064</v>
      </c>
      <c r="B664" t="s">
        <v>22</v>
      </c>
      <c r="C664" t="s">
        <v>3065</v>
      </c>
      <c r="D664">
        <f t="shared" si="17"/>
        <v>-6635</v>
      </c>
      <c r="E664" t="s">
        <v>2473</v>
      </c>
      <c r="F664" t="s">
        <v>2049</v>
      </c>
      <c r="G664" t="s">
        <v>2050</v>
      </c>
      <c r="H664">
        <v>113.75511117612599</v>
      </c>
      <c r="I664">
        <v>23.008346388630098</v>
      </c>
      <c r="J664">
        <v>210</v>
      </c>
      <c r="K664" t="s">
        <v>27</v>
      </c>
      <c r="L664" t="s">
        <v>27</v>
      </c>
      <c r="M664" t="s">
        <v>27</v>
      </c>
      <c r="N664" t="s">
        <v>27</v>
      </c>
      <c r="O664" t="s">
        <v>77</v>
      </c>
      <c r="P664" t="s">
        <v>77</v>
      </c>
      <c r="Q664" t="s">
        <v>27</v>
      </c>
      <c r="R664" t="s">
        <v>3066</v>
      </c>
      <c r="T664" t="s">
        <v>2095</v>
      </c>
      <c r="U664" t="s">
        <v>3067</v>
      </c>
    </row>
    <row r="665" spans="1:21" x14ac:dyDescent="0.25">
      <c r="A665" t="s">
        <v>3068</v>
      </c>
      <c r="B665" t="s">
        <v>22</v>
      </c>
      <c r="C665" t="s">
        <v>3069</v>
      </c>
      <c r="D665">
        <f t="shared" si="17"/>
        <v>-6635</v>
      </c>
      <c r="E665" t="s">
        <v>2203</v>
      </c>
      <c r="F665" t="s">
        <v>2049</v>
      </c>
      <c r="G665" t="s">
        <v>2050</v>
      </c>
      <c r="H665">
        <v>114.329113247265</v>
      </c>
      <c r="I665">
        <v>30.551641802877999</v>
      </c>
      <c r="J665">
        <v>210</v>
      </c>
      <c r="K665" t="s">
        <v>2069</v>
      </c>
      <c r="L665" t="s">
        <v>2069</v>
      </c>
      <c r="M665" t="s">
        <v>2069</v>
      </c>
      <c r="N665" t="s">
        <v>2069</v>
      </c>
      <c r="O665" t="s">
        <v>2069</v>
      </c>
      <c r="P665" t="s">
        <v>2069</v>
      </c>
      <c r="Q665" t="s">
        <v>2069</v>
      </c>
      <c r="R665" t="s">
        <v>3070</v>
      </c>
      <c r="T665" t="s">
        <v>2431</v>
      </c>
      <c r="U665" t="s">
        <v>3071</v>
      </c>
    </row>
    <row r="666" spans="1:21" x14ac:dyDescent="0.25">
      <c r="A666" t="s">
        <v>3072</v>
      </c>
      <c r="B666" t="s">
        <v>22</v>
      </c>
      <c r="C666" t="s">
        <v>3073</v>
      </c>
      <c r="D666">
        <f t="shared" si="17"/>
        <v>-6635</v>
      </c>
      <c r="E666" t="s">
        <v>3074</v>
      </c>
      <c r="F666" t="s">
        <v>2049</v>
      </c>
      <c r="G666" t="s">
        <v>2050</v>
      </c>
      <c r="H666">
        <v>120.683244879623</v>
      </c>
      <c r="I666">
        <v>27.999292671248501</v>
      </c>
      <c r="J666">
        <v>210</v>
      </c>
      <c r="K666" t="s">
        <v>27</v>
      </c>
      <c r="L666" t="s">
        <v>27</v>
      </c>
      <c r="M666" t="s">
        <v>27</v>
      </c>
      <c r="N666" t="s">
        <v>27</v>
      </c>
      <c r="O666" t="s">
        <v>27</v>
      </c>
      <c r="P666" t="s">
        <v>27</v>
      </c>
      <c r="Q666" t="s">
        <v>27</v>
      </c>
      <c r="R666" t="s">
        <v>3075</v>
      </c>
      <c r="T666" t="s">
        <v>2052</v>
      </c>
      <c r="U666" t="s">
        <v>3076</v>
      </c>
    </row>
    <row r="667" spans="1:21" x14ac:dyDescent="0.25">
      <c r="A667" t="s">
        <v>3077</v>
      </c>
      <c r="B667" t="s">
        <v>22</v>
      </c>
      <c r="C667" t="s">
        <v>3078</v>
      </c>
      <c r="D667">
        <f t="shared" si="17"/>
        <v>-6635</v>
      </c>
      <c r="E667" t="s">
        <v>2279</v>
      </c>
      <c r="F667" t="s">
        <v>2049</v>
      </c>
      <c r="G667" t="s">
        <v>2050</v>
      </c>
      <c r="H667">
        <v>121.778659132263</v>
      </c>
      <c r="I667">
        <v>39.050103016500699</v>
      </c>
      <c r="J667">
        <v>210</v>
      </c>
      <c r="K667" t="s">
        <v>312</v>
      </c>
      <c r="L667" t="s">
        <v>312</v>
      </c>
      <c r="M667" t="s">
        <v>312</v>
      </c>
      <c r="N667" t="s">
        <v>312</v>
      </c>
      <c r="O667" t="s">
        <v>312</v>
      </c>
      <c r="P667" t="s">
        <v>312</v>
      </c>
      <c r="Q667" t="s">
        <v>312</v>
      </c>
      <c r="R667" t="s">
        <v>3079</v>
      </c>
      <c r="T667" t="s">
        <v>2083</v>
      </c>
      <c r="U667" t="s">
        <v>3080</v>
      </c>
    </row>
    <row r="668" spans="1:21" x14ac:dyDescent="0.25">
      <c r="A668" t="s">
        <v>3081</v>
      </c>
      <c r="B668" t="s">
        <v>22</v>
      </c>
      <c r="C668" t="s">
        <v>3082</v>
      </c>
      <c r="E668" t="s">
        <v>2252</v>
      </c>
      <c r="F668" t="s">
        <v>2049</v>
      </c>
      <c r="G668" t="s">
        <v>2050</v>
      </c>
      <c r="H668">
        <v>126.649451</v>
      </c>
      <c r="I668">
        <v>45.792113000000001</v>
      </c>
      <c r="J668">
        <v>210</v>
      </c>
      <c r="R668" t="s">
        <v>3082</v>
      </c>
      <c r="S668" t="s">
        <v>3083</v>
      </c>
      <c r="U668" t="s">
        <v>3084</v>
      </c>
    </row>
    <row r="669" spans="1:21" x14ac:dyDescent="0.25">
      <c r="A669" t="s">
        <v>3085</v>
      </c>
      <c r="B669" t="s">
        <v>22</v>
      </c>
      <c r="C669" t="s">
        <v>3086</v>
      </c>
      <c r="D669">
        <f>86-400-821-5500</f>
        <v>-6635</v>
      </c>
      <c r="E669" t="s">
        <v>2279</v>
      </c>
      <c r="F669" t="s">
        <v>2049</v>
      </c>
      <c r="G669" t="s">
        <v>2050</v>
      </c>
      <c r="H669">
        <v>121.587152807205</v>
      </c>
      <c r="I669">
        <v>38.9918253175369</v>
      </c>
      <c r="J669">
        <v>210</v>
      </c>
      <c r="K669" t="s">
        <v>312</v>
      </c>
      <c r="L669" t="s">
        <v>312</v>
      </c>
      <c r="M669" t="s">
        <v>312</v>
      </c>
      <c r="N669" t="s">
        <v>312</v>
      </c>
      <c r="O669" t="s">
        <v>312</v>
      </c>
      <c r="P669" t="s">
        <v>312</v>
      </c>
      <c r="Q669" t="s">
        <v>312</v>
      </c>
      <c r="R669" t="s">
        <v>3087</v>
      </c>
      <c r="T669" t="s">
        <v>2083</v>
      </c>
      <c r="U669" t="s">
        <v>3088</v>
      </c>
    </row>
    <row r="670" spans="1:21" x14ac:dyDescent="0.25">
      <c r="A670" t="s">
        <v>3089</v>
      </c>
      <c r="B670" t="s">
        <v>22</v>
      </c>
      <c r="C670" t="s">
        <v>2175</v>
      </c>
      <c r="D670">
        <f>86-400-821-5500</f>
        <v>-6635</v>
      </c>
      <c r="E670" t="s">
        <v>2990</v>
      </c>
      <c r="F670" t="s">
        <v>2049</v>
      </c>
      <c r="G670" t="s">
        <v>2050</v>
      </c>
      <c r="H670">
        <v>118.034622299731</v>
      </c>
      <c r="I670">
        <v>36.848392956816802</v>
      </c>
      <c r="J670">
        <v>210</v>
      </c>
      <c r="K670" t="s">
        <v>536</v>
      </c>
      <c r="L670" t="s">
        <v>536</v>
      </c>
      <c r="M670" t="s">
        <v>536</v>
      </c>
      <c r="N670" t="s">
        <v>536</v>
      </c>
      <c r="O670" t="s">
        <v>2137</v>
      </c>
      <c r="P670" t="s">
        <v>2068</v>
      </c>
      <c r="Q670" t="s">
        <v>2068</v>
      </c>
      <c r="R670" t="s">
        <v>3090</v>
      </c>
      <c r="T670" t="s">
        <v>2071</v>
      </c>
      <c r="U670" t="s">
        <v>3091</v>
      </c>
    </row>
    <row r="671" spans="1:21" x14ac:dyDescent="0.25">
      <c r="A671" t="s">
        <v>3092</v>
      </c>
      <c r="B671" t="s">
        <v>38</v>
      </c>
      <c r="C671" t="s">
        <v>3093</v>
      </c>
      <c r="D671">
        <f>86-400-821-5500</f>
        <v>-6635</v>
      </c>
      <c r="E671" t="s">
        <v>2061</v>
      </c>
      <c r="F671" t="s">
        <v>2049</v>
      </c>
      <c r="G671" t="s">
        <v>2050</v>
      </c>
      <c r="H671">
        <v>120.607172010314</v>
      </c>
      <c r="I671">
        <v>31.361026307758301</v>
      </c>
      <c r="J671">
        <v>210</v>
      </c>
      <c r="K671" t="s">
        <v>27</v>
      </c>
      <c r="L671" t="s">
        <v>27</v>
      </c>
      <c r="M671" t="s">
        <v>27</v>
      </c>
      <c r="N671" t="s">
        <v>27</v>
      </c>
      <c r="O671" t="s">
        <v>27</v>
      </c>
      <c r="P671" t="s">
        <v>27</v>
      </c>
      <c r="Q671" t="s">
        <v>27</v>
      </c>
      <c r="R671" t="s">
        <v>3094</v>
      </c>
      <c r="T671" t="s">
        <v>2063</v>
      </c>
      <c r="U671" t="s">
        <v>3095</v>
      </c>
    </row>
    <row r="672" spans="1:21" x14ac:dyDescent="0.25">
      <c r="A672" t="s">
        <v>3096</v>
      </c>
      <c r="B672" t="s">
        <v>22</v>
      </c>
      <c r="C672" t="s">
        <v>3097</v>
      </c>
      <c r="D672">
        <f>86-400-821-5500</f>
        <v>-6635</v>
      </c>
      <c r="E672" t="s">
        <v>2104</v>
      </c>
      <c r="F672" t="s">
        <v>2049</v>
      </c>
      <c r="G672" t="s">
        <v>2050</v>
      </c>
      <c r="H672">
        <v>121.485177110034</v>
      </c>
      <c r="I672">
        <v>31.3983985371976</v>
      </c>
      <c r="J672">
        <v>210</v>
      </c>
      <c r="K672" t="s">
        <v>27</v>
      </c>
      <c r="L672" t="s">
        <v>27</v>
      </c>
      <c r="M672" t="s">
        <v>27</v>
      </c>
      <c r="N672" t="s">
        <v>27</v>
      </c>
      <c r="O672" t="s">
        <v>27</v>
      </c>
      <c r="P672" t="s">
        <v>27</v>
      </c>
      <c r="Q672" t="s">
        <v>27</v>
      </c>
      <c r="R672" t="s">
        <v>3098</v>
      </c>
      <c r="T672" t="s">
        <v>2106</v>
      </c>
      <c r="U672" t="s">
        <v>3099</v>
      </c>
    </row>
    <row r="673" spans="1:21" x14ac:dyDescent="0.25">
      <c r="A673" t="s">
        <v>3100</v>
      </c>
      <c r="B673" t="s">
        <v>22</v>
      </c>
      <c r="C673" t="s">
        <v>2524</v>
      </c>
      <c r="D673">
        <f>86-400-821-5500</f>
        <v>-6635</v>
      </c>
      <c r="E673" t="s">
        <v>2087</v>
      </c>
      <c r="F673" t="s">
        <v>2049</v>
      </c>
      <c r="G673" t="s">
        <v>2050</v>
      </c>
      <c r="H673">
        <v>116.518174572521</v>
      </c>
      <c r="I673">
        <v>39.923748614298198</v>
      </c>
      <c r="J673">
        <v>210</v>
      </c>
      <c r="K673" t="s">
        <v>27</v>
      </c>
      <c r="L673" t="s">
        <v>27</v>
      </c>
      <c r="M673" t="s">
        <v>27</v>
      </c>
      <c r="N673" t="s">
        <v>27</v>
      </c>
      <c r="O673" t="s">
        <v>27</v>
      </c>
      <c r="P673" t="s">
        <v>27</v>
      </c>
      <c r="Q673" t="s">
        <v>27</v>
      </c>
      <c r="R673" t="s">
        <v>3101</v>
      </c>
      <c r="T673" t="s">
        <v>2089</v>
      </c>
      <c r="U673" t="s">
        <v>3102</v>
      </c>
    </row>
    <row r="674" spans="1:21" x14ac:dyDescent="0.25">
      <c r="A674" t="s">
        <v>3103</v>
      </c>
      <c r="B674" t="s">
        <v>22</v>
      </c>
      <c r="C674" t="s">
        <v>3104</v>
      </c>
      <c r="D674">
        <f>400-821-5500</f>
        <v>-5921</v>
      </c>
      <c r="E674" t="s">
        <v>2516</v>
      </c>
      <c r="F674" t="s">
        <v>2049</v>
      </c>
      <c r="G674" t="s">
        <v>2050</v>
      </c>
      <c r="H674">
        <v>119.334326</v>
      </c>
      <c r="I674">
        <v>26.074904</v>
      </c>
      <c r="J674">
        <v>210</v>
      </c>
      <c r="K674" t="s">
        <v>27</v>
      </c>
      <c r="L674" t="s">
        <v>27</v>
      </c>
      <c r="M674" t="s">
        <v>27</v>
      </c>
      <c r="N674" t="s">
        <v>27</v>
      </c>
      <c r="O674" t="s">
        <v>77</v>
      </c>
      <c r="P674" t="s">
        <v>77</v>
      </c>
      <c r="Q674" t="s">
        <v>27</v>
      </c>
      <c r="R674" t="s">
        <v>3105</v>
      </c>
      <c r="T674" t="s">
        <v>2209</v>
      </c>
      <c r="U674" t="s">
        <v>3106</v>
      </c>
    </row>
    <row r="675" spans="1:21" x14ac:dyDescent="0.25">
      <c r="A675" t="s">
        <v>3107</v>
      </c>
      <c r="B675" t="s">
        <v>22</v>
      </c>
      <c r="C675" t="s">
        <v>3108</v>
      </c>
      <c r="D675">
        <f>86-400-821-5500</f>
        <v>-6635</v>
      </c>
      <c r="E675" t="s">
        <v>2478</v>
      </c>
      <c r="F675" t="s">
        <v>2049</v>
      </c>
      <c r="G675" t="s">
        <v>2050</v>
      </c>
      <c r="H675">
        <v>120.883866872491</v>
      </c>
      <c r="I675">
        <v>32.003508841875103</v>
      </c>
      <c r="J675">
        <v>210</v>
      </c>
      <c r="K675" t="s">
        <v>27</v>
      </c>
      <c r="L675" t="s">
        <v>27</v>
      </c>
      <c r="M675" t="s">
        <v>27</v>
      </c>
      <c r="N675" t="s">
        <v>27</v>
      </c>
      <c r="O675" t="s">
        <v>27</v>
      </c>
      <c r="P675" t="s">
        <v>27</v>
      </c>
      <c r="Q675" t="s">
        <v>27</v>
      </c>
      <c r="R675" t="s">
        <v>3109</v>
      </c>
      <c r="T675" t="s">
        <v>2063</v>
      </c>
      <c r="U675" t="s">
        <v>3110</v>
      </c>
    </row>
    <row r="676" spans="1:21" x14ac:dyDescent="0.25">
      <c r="A676" t="s">
        <v>3111</v>
      </c>
      <c r="B676" t="s">
        <v>22</v>
      </c>
      <c r="C676" t="s">
        <v>3112</v>
      </c>
      <c r="D676">
        <f>400-821-5500</f>
        <v>-5921</v>
      </c>
      <c r="E676" t="s">
        <v>2093</v>
      </c>
      <c r="F676" t="s">
        <v>2049</v>
      </c>
      <c r="G676" t="s">
        <v>2050</v>
      </c>
      <c r="H676">
        <v>113.325763999999</v>
      </c>
      <c r="I676">
        <v>23.148337999999999</v>
      </c>
      <c r="J676">
        <v>210</v>
      </c>
      <c r="K676" t="s">
        <v>27</v>
      </c>
      <c r="L676" t="s">
        <v>27</v>
      </c>
      <c r="M676" t="s">
        <v>27</v>
      </c>
      <c r="N676" t="s">
        <v>27</v>
      </c>
      <c r="O676" t="s">
        <v>27</v>
      </c>
      <c r="P676" t="s">
        <v>27</v>
      </c>
      <c r="Q676" t="s">
        <v>27</v>
      </c>
      <c r="R676" t="s">
        <v>3113</v>
      </c>
      <c r="T676" t="s">
        <v>2095</v>
      </c>
      <c r="U676" t="s">
        <v>3114</v>
      </c>
    </row>
    <row r="677" spans="1:21" x14ac:dyDescent="0.25">
      <c r="A677" t="s">
        <v>3115</v>
      </c>
      <c r="B677" t="s">
        <v>22</v>
      </c>
      <c r="C677" t="s">
        <v>3116</v>
      </c>
      <c r="D677">
        <f>86-400-821-5500</f>
        <v>-6635</v>
      </c>
      <c r="E677" t="s">
        <v>2093</v>
      </c>
      <c r="F677" t="s">
        <v>2049</v>
      </c>
      <c r="G677" t="s">
        <v>2050</v>
      </c>
      <c r="H677">
        <v>113.28497860793399</v>
      </c>
      <c r="I677">
        <v>23.1364660857686</v>
      </c>
      <c r="J677">
        <v>210</v>
      </c>
      <c r="K677" t="s">
        <v>27</v>
      </c>
      <c r="L677" t="s">
        <v>27</v>
      </c>
      <c r="M677" t="s">
        <v>27</v>
      </c>
      <c r="N677" t="s">
        <v>27</v>
      </c>
      <c r="O677" t="s">
        <v>27</v>
      </c>
      <c r="P677" t="s">
        <v>27</v>
      </c>
      <c r="Q677" t="s">
        <v>27</v>
      </c>
      <c r="R677" t="s">
        <v>3117</v>
      </c>
      <c r="T677" t="s">
        <v>2095</v>
      </c>
      <c r="U677" t="s">
        <v>3118</v>
      </c>
    </row>
    <row r="678" spans="1:21" x14ac:dyDescent="0.25">
      <c r="A678" t="s">
        <v>3119</v>
      </c>
      <c r="B678" t="s">
        <v>22</v>
      </c>
      <c r="C678" t="s">
        <v>3120</v>
      </c>
      <c r="D678">
        <f>400-821-5500</f>
        <v>-5921</v>
      </c>
      <c r="E678" t="s">
        <v>3121</v>
      </c>
      <c r="F678" t="s">
        <v>2049</v>
      </c>
      <c r="G678" t="s">
        <v>2050</v>
      </c>
      <c r="H678">
        <v>110.317871</v>
      </c>
      <c r="I678">
        <v>20.030626000000002</v>
      </c>
      <c r="J678">
        <v>210</v>
      </c>
      <c r="K678" t="s">
        <v>3122</v>
      </c>
      <c r="L678" t="s">
        <v>3122</v>
      </c>
      <c r="M678" t="s">
        <v>3122</v>
      </c>
      <c r="N678" t="s">
        <v>3122</v>
      </c>
      <c r="O678" t="s">
        <v>3122</v>
      </c>
      <c r="P678" t="s">
        <v>3122</v>
      </c>
      <c r="Q678" t="s">
        <v>3122</v>
      </c>
      <c r="R678" t="s">
        <v>3123</v>
      </c>
      <c r="T678" t="s">
        <v>2378</v>
      </c>
      <c r="U678" t="s">
        <v>3124</v>
      </c>
    </row>
    <row r="679" spans="1:21" x14ac:dyDescent="0.25">
      <c r="A679" t="s">
        <v>3125</v>
      </c>
      <c r="B679" t="s">
        <v>22</v>
      </c>
      <c r="C679" t="s">
        <v>3126</v>
      </c>
      <c r="D679">
        <f>86-400-821-5500</f>
        <v>-6635</v>
      </c>
      <c r="E679" t="s">
        <v>3127</v>
      </c>
      <c r="F679" t="s">
        <v>2049</v>
      </c>
      <c r="G679" t="s">
        <v>2050</v>
      </c>
      <c r="H679">
        <v>120.963358462304</v>
      </c>
      <c r="I679">
        <v>31.405831795233901</v>
      </c>
      <c r="J679">
        <v>210</v>
      </c>
      <c r="K679" t="s">
        <v>27</v>
      </c>
      <c r="L679" t="s">
        <v>27</v>
      </c>
      <c r="M679" t="s">
        <v>27</v>
      </c>
      <c r="N679" t="s">
        <v>27</v>
      </c>
      <c r="O679" t="s">
        <v>77</v>
      </c>
      <c r="P679" t="s">
        <v>77</v>
      </c>
      <c r="Q679" t="s">
        <v>27</v>
      </c>
      <c r="R679" t="s">
        <v>3128</v>
      </c>
      <c r="T679" t="s">
        <v>2063</v>
      </c>
      <c r="U679" t="s">
        <v>3129</v>
      </c>
    </row>
    <row r="680" spans="1:21" x14ac:dyDescent="0.25">
      <c r="A680" t="s">
        <v>3130</v>
      </c>
      <c r="B680" t="s">
        <v>22</v>
      </c>
      <c r="C680" t="s">
        <v>3131</v>
      </c>
      <c r="D680">
        <f>86-400-821-5500</f>
        <v>-6635</v>
      </c>
      <c r="E680" t="s">
        <v>2093</v>
      </c>
      <c r="F680" t="s">
        <v>2049</v>
      </c>
      <c r="G680" t="s">
        <v>2050</v>
      </c>
      <c r="H680">
        <v>113.26608015294001</v>
      </c>
      <c r="I680">
        <v>23.125725693754401</v>
      </c>
      <c r="J680">
        <v>210</v>
      </c>
      <c r="K680" t="s">
        <v>27</v>
      </c>
      <c r="L680" t="s">
        <v>27</v>
      </c>
      <c r="M680" t="s">
        <v>27</v>
      </c>
      <c r="N680" t="s">
        <v>27</v>
      </c>
      <c r="O680" t="s">
        <v>27</v>
      </c>
      <c r="P680" t="s">
        <v>27</v>
      </c>
      <c r="Q680" t="s">
        <v>27</v>
      </c>
      <c r="R680" t="s">
        <v>3132</v>
      </c>
      <c r="T680" t="s">
        <v>2095</v>
      </c>
      <c r="U680" t="s">
        <v>3133</v>
      </c>
    </row>
    <row r="681" spans="1:21" x14ac:dyDescent="0.25">
      <c r="A681" t="s">
        <v>3134</v>
      </c>
      <c r="B681" t="s">
        <v>22</v>
      </c>
      <c r="C681" t="s">
        <v>3135</v>
      </c>
      <c r="D681">
        <f>86-400-821-5500</f>
        <v>-6635</v>
      </c>
      <c r="E681" t="s">
        <v>2104</v>
      </c>
      <c r="F681" t="s">
        <v>2049</v>
      </c>
      <c r="G681" t="s">
        <v>2050</v>
      </c>
      <c r="H681">
        <v>121.381688875085</v>
      </c>
      <c r="I681">
        <v>31.233378406751498</v>
      </c>
      <c r="J681">
        <v>210</v>
      </c>
      <c r="K681" t="s">
        <v>27</v>
      </c>
      <c r="L681" t="s">
        <v>27</v>
      </c>
      <c r="M681" t="s">
        <v>27</v>
      </c>
      <c r="N681" t="s">
        <v>27</v>
      </c>
      <c r="O681" t="s">
        <v>27</v>
      </c>
      <c r="P681" t="s">
        <v>27</v>
      </c>
      <c r="Q681" t="s">
        <v>27</v>
      </c>
      <c r="R681" t="s">
        <v>3136</v>
      </c>
      <c r="T681" t="s">
        <v>2106</v>
      </c>
      <c r="U681" t="s">
        <v>3137</v>
      </c>
    </row>
    <row r="682" spans="1:21" x14ac:dyDescent="0.25">
      <c r="A682" t="s">
        <v>3138</v>
      </c>
      <c r="B682" t="s">
        <v>22</v>
      </c>
      <c r="C682" t="s">
        <v>3139</v>
      </c>
      <c r="D682">
        <f>400-821-5500</f>
        <v>-5921</v>
      </c>
      <c r="E682" t="s">
        <v>2820</v>
      </c>
      <c r="F682" t="s">
        <v>2049</v>
      </c>
      <c r="G682" t="s">
        <v>2050</v>
      </c>
      <c r="H682">
        <v>110.40798700000001</v>
      </c>
      <c r="I682">
        <v>21.216515999999999</v>
      </c>
      <c r="J682">
        <v>210</v>
      </c>
      <c r="K682" t="s">
        <v>3122</v>
      </c>
      <c r="L682" t="s">
        <v>3122</v>
      </c>
      <c r="M682" t="s">
        <v>3122</v>
      </c>
      <c r="N682" t="s">
        <v>3122</v>
      </c>
      <c r="O682" t="s">
        <v>3140</v>
      </c>
      <c r="P682" t="s">
        <v>3140</v>
      </c>
      <c r="Q682" t="s">
        <v>3122</v>
      </c>
      <c r="R682" t="s">
        <v>3141</v>
      </c>
      <c r="T682" t="s">
        <v>2095</v>
      </c>
      <c r="U682" t="s">
        <v>3142</v>
      </c>
    </row>
    <row r="683" spans="1:21" x14ac:dyDescent="0.25">
      <c r="A683" t="s">
        <v>3143</v>
      </c>
      <c r="B683" t="s">
        <v>22</v>
      </c>
      <c r="C683" t="s">
        <v>3144</v>
      </c>
      <c r="D683">
        <f>86-400-821-5500</f>
        <v>-6635</v>
      </c>
      <c r="E683" t="s">
        <v>2312</v>
      </c>
      <c r="F683" t="s">
        <v>2049</v>
      </c>
      <c r="G683" t="s">
        <v>2050</v>
      </c>
      <c r="H683">
        <v>120.326669280853</v>
      </c>
      <c r="I683">
        <v>30.3101538804518</v>
      </c>
      <c r="J683">
        <v>215</v>
      </c>
      <c r="K683" t="s">
        <v>27</v>
      </c>
      <c r="L683" t="s">
        <v>27</v>
      </c>
      <c r="M683" t="s">
        <v>27</v>
      </c>
      <c r="N683" t="s">
        <v>27</v>
      </c>
      <c r="O683" t="s">
        <v>27</v>
      </c>
      <c r="P683" t="s">
        <v>27</v>
      </c>
      <c r="Q683" t="s">
        <v>27</v>
      </c>
      <c r="R683" t="s">
        <v>3145</v>
      </c>
      <c r="T683" t="s">
        <v>2052</v>
      </c>
      <c r="U683" t="s">
        <v>3146</v>
      </c>
    </row>
    <row r="684" spans="1:21" x14ac:dyDescent="0.25">
      <c r="A684" t="s">
        <v>3147</v>
      </c>
      <c r="B684" t="s">
        <v>22</v>
      </c>
      <c r="C684" t="s">
        <v>3148</v>
      </c>
      <c r="D684">
        <f>400-821-5500</f>
        <v>-5921</v>
      </c>
      <c r="E684" t="s">
        <v>2483</v>
      </c>
      <c r="F684" t="s">
        <v>2049</v>
      </c>
      <c r="G684" t="s">
        <v>2050</v>
      </c>
      <c r="H684">
        <v>118.08788</v>
      </c>
      <c r="I684">
        <v>24.460896999999999</v>
      </c>
      <c r="J684">
        <v>210</v>
      </c>
      <c r="K684" t="s">
        <v>27</v>
      </c>
      <c r="L684" t="s">
        <v>27</v>
      </c>
      <c r="M684" t="s">
        <v>27</v>
      </c>
      <c r="N684" t="s">
        <v>27</v>
      </c>
      <c r="O684" t="s">
        <v>77</v>
      </c>
      <c r="P684" t="s">
        <v>77</v>
      </c>
      <c r="Q684" t="s">
        <v>27</v>
      </c>
      <c r="R684" t="s">
        <v>3149</v>
      </c>
      <c r="T684" t="s">
        <v>2209</v>
      </c>
      <c r="U684" t="s">
        <v>3150</v>
      </c>
    </row>
    <row r="685" spans="1:21" x14ac:dyDescent="0.25">
      <c r="A685" t="s">
        <v>3151</v>
      </c>
      <c r="B685" t="s">
        <v>22</v>
      </c>
      <c r="C685" t="s">
        <v>3152</v>
      </c>
      <c r="D685">
        <f>400-821-5500</f>
        <v>-5921</v>
      </c>
      <c r="E685" t="s">
        <v>2635</v>
      </c>
      <c r="F685" t="s">
        <v>2049</v>
      </c>
      <c r="G685" t="s">
        <v>2050</v>
      </c>
      <c r="H685">
        <v>108.319486225722</v>
      </c>
      <c r="I685">
        <v>22.817464349170599</v>
      </c>
      <c r="J685">
        <v>210</v>
      </c>
      <c r="K685" t="s">
        <v>77</v>
      </c>
      <c r="L685" t="s">
        <v>77</v>
      </c>
      <c r="M685" t="s">
        <v>77</v>
      </c>
      <c r="N685" t="s">
        <v>77</v>
      </c>
      <c r="O685" t="s">
        <v>77</v>
      </c>
      <c r="P685" t="s">
        <v>77</v>
      </c>
      <c r="Q685" t="s">
        <v>77</v>
      </c>
      <c r="R685" t="s">
        <v>3153</v>
      </c>
      <c r="T685" t="s">
        <v>2156</v>
      </c>
      <c r="U685" t="s">
        <v>3154</v>
      </c>
    </row>
    <row r="686" spans="1:21" x14ac:dyDescent="0.25">
      <c r="A686" t="s">
        <v>3155</v>
      </c>
      <c r="B686" t="s">
        <v>22</v>
      </c>
      <c r="C686" t="s">
        <v>3156</v>
      </c>
      <c r="D686">
        <f>86-400-821-5500</f>
        <v>-6635</v>
      </c>
      <c r="E686" t="s">
        <v>2087</v>
      </c>
      <c r="F686" t="s">
        <v>2049</v>
      </c>
      <c r="G686" t="s">
        <v>2050</v>
      </c>
      <c r="H686">
        <v>116.206781709472</v>
      </c>
      <c r="I686">
        <v>39.7622584714289</v>
      </c>
      <c r="J686">
        <v>210</v>
      </c>
      <c r="K686" t="s">
        <v>2137</v>
      </c>
      <c r="L686" t="s">
        <v>2137</v>
      </c>
      <c r="M686" t="s">
        <v>2137</v>
      </c>
      <c r="N686" t="s">
        <v>2137</v>
      </c>
      <c r="O686" t="s">
        <v>2137</v>
      </c>
      <c r="P686" t="s">
        <v>2137</v>
      </c>
      <c r="Q686" t="s">
        <v>2137</v>
      </c>
      <c r="R686" t="s">
        <v>3157</v>
      </c>
      <c r="T686" t="s">
        <v>2089</v>
      </c>
      <c r="U686" t="s">
        <v>3158</v>
      </c>
    </row>
    <row r="687" spans="1:21" x14ac:dyDescent="0.25">
      <c r="A687" t="s">
        <v>3159</v>
      </c>
      <c r="B687" t="s">
        <v>22</v>
      </c>
      <c r="C687" t="s">
        <v>3160</v>
      </c>
      <c r="D687">
        <f>400-821-5500</f>
        <v>-5921</v>
      </c>
      <c r="E687" t="s">
        <v>2075</v>
      </c>
      <c r="F687" t="s">
        <v>2049</v>
      </c>
      <c r="G687" t="s">
        <v>2050</v>
      </c>
      <c r="H687">
        <v>101.69020399999999</v>
      </c>
      <c r="I687">
        <v>23.2692559910646</v>
      </c>
      <c r="J687">
        <v>210</v>
      </c>
      <c r="R687" t="s">
        <v>3160</v>
      </c>
      <c r="S687" t="s">
        <v>3161</v>
      </c>
      <c r="U687" t="s">
        <v>3162</v>
      </c>
    </row>
    <row r="688" spans="1:21" x14ac:dyDescent="0.25">
      <c r="A688" t="s">
        <v>3163</v>
      </c>
      <c r="B688" t="s">
        <v>22</v>
      </c>
      <c r="C688" t="s">
        <v>3164</v>
      </c>
      <c r="D688">
        <f>86-400-821-5500</f>
        <v>-6635</v>
      </c>
      <c r="E688" t="s">
        <v>3003</v>
      </c>
      <c r="F688" t="s">
        <v>2049</v>
      </c>
      <c r="G688" t="s">
        <v>2050</v>
      </c>
      <c r="H688">
        <v>109.860354809326</v>
      </c>
      <c r="I688">
        <v>40.656826917358003</v>
      </c>
      <c r="J688">
        <v>210</v>
      </c>
      <c r="K688" t="s">
        <v>2068</v>
      </c>
      <c r="L688" t="s">
        <v>2068</v>
      </c>
      <c r="M688" t="s">
        <v>2068</v>
      </c>
      <c r="N688" t="s">
        <v>2068</v>
      </c>
      <c r="O688" t="s">
        <v>2068</v>
      </c>
      <c r="P688" t="s">
        <v>2068</v>
      </c>
      <c r="Q688" t="s">
        <v>2068</v>
      </c>
      <c r="R688" t="s">
        <v>3165</v>
      </c>
      <c r="T688" t="s">
        <v>2275</v>
      </c>
      <c r="U688" t="s">
        <v>3166</v>
      </c>
    </row>
    <row r="689" spans="1:21" x14ac:dyDescent="0.25">
      <c r="A689" t="s">
        <v>3167</v>
      </c>
      <c r="B689" t="s">
        <v>22</v>
      </c>
      <c r="C689" t="s">
        <v>3168</v>
      </c>
      <c r="D689">
        <f>86-400-821-5500</f>
        <v>-6635</v>
      </c>
      <c r="E689" t="s">
        <v>3169</v>
      </c>
      <c r="F689" t="s">
        <v>2049</v>
      </c>
      <c r="G689" t="s">
        <v>2050</v>
      </c>
      <c r="H689">
        <v>119.926070251867</v>
      </c>
      <c r="I689">
        <v>28.461771046350002</v>
      </c>
      <c r="J689">
        <v>210</v>
      </c>
      <c r="K689" t="s">
        <v>2137</v>
      </c>
      <c r="L689" t="s">
        <v>2137</v>
      </c>
      <c r="M689" t="s">
        <v>2137</v>
      </c>
      <c r="N689" t="s">
        <v>2137</v>
      </c>
      <c r="O689" t="s">
        <v>27</v>
      </c>
      <c r="P689" t="s">
        <v>27</v>
      </c>
      <c r="Q689" t="s">
        <v>2137</v>
      </c>
      <c r="R689" t="s">
        <v>3170</v>
      </c>
      <c r="T689" t="s">
        <v>2052</v>
      </c>
      <c r="U689" t="s">
        <v>3171</v>
      </c>
    </row>
    <row r="690" spans="1:21" x14ac:dyDescent="0.25">
      <c r="A690" t="s">
        <v>3172</v>
      </c>
      <c r="B690" t="s">
        <v>22</v>
      </c>
      <c r="C690" t="s">
        <v>3173</v>
      </c>
      <c r="D690">
        <f>86-400-821-5500</f>
        <v>-6635</v>
      </c>
      <c r="E690" t="s">
        <v>2104</v>
      </c>
      <c r="F690" t="s">
        <v>2049</v>
      </c>
      <c r="G690" t="s">
        <v>2050</v>
      </c>
      <c r="H690">
        <v>121.406754759124</v>
      </c>
      <c r="I690">
        <v>31.207227362862302</v>
      </c>
      <c r="J690">
        <v>210</v>
      </c>
      <c r="K690" t="s">
        <v>27</v>
      </c>
      <c r="L690" t="s">
        <v>27</v>
      </c>
      <c r="M690" t="s">
        <v>27</v>
      </c>
      <c r="N690" t="s">
        <v>27</v>
      </c>
      <c r="O690" t="s">
        <v>27</v>
      </c>
      <c r="P690" t="s">
        <v>27</v>
      </c>
      <c r="Q690" t="s">
        <v>27</v>
      </c>
      <c r="R690" t="s">
        <v>3174</v>
      </c>
      <c r="T690" t="s">
        <v>2106</v>
      </c>
      <c r="U690" t="s">
        <v>3175</v>
      </c>
    </row>
    <row r="691" spans="1:21" x14ac:dyDescent="0.25">
      <c r="A691" t="s">
        <v>3176</v>
      </c>
      <c r="B691" t="s">
        <v>22</v>
      </c>
      <c r="C691" t="s">
        <v>3177</v>
      </c>
      <c r="D691">
        <f>400-821-5500</f>
        <v>-5921</v>
      </c>
      <c r="E691" t="s">
        <v>3178</v>
      </c>
      <c r="F691" t="s">
        <v>2049</v>
      </c>
      <c r="G691" t="s">
        <v>2050</v>
      </c>
      <c r="H691">
        <v>116.716543118266</v>
      </c>
      <c r="I691">
        <v>23.361435801960099</v>
      </c>
      <c r="J691">
        <v>210</v>
      </c>
      <c r="K691" t="s">
        <v>27</v>
      </c>
      <c r="L691" t="s">
        <v>27</v>
      </c>
      <c r="M691" t="s">
        <v>27</v>
      </c>
      <c r="N691" t="s">
        <v>27</v>
      </c>
      <c r="O691" t="s">
        <v>77</v>
      </c>
      <c r="P691" t="s">
        <v>77</v>
      </c>
      <c r="Q691" t="s">
        <v>77</v>
      </c>
      <c r="R691" t="s">
        <v>3179</v>
      </c>
      <c r="T691" t="s">
        <v>2095</v>
      </c>
      <c r="U691" t="s">
        <v>3180</v>
      </c>
    </row>
    <row r="692" spans="1:21" x14ac:dyDescent="0.25">
      <c r="A692" t="s">
        <v>3181</v>
      </c>
      <c r="B692" t="s">
        <v>22</v>
      </c>
      <c r="C692" t="s">
        <v>3182</v>
      </c>
      <c r="D692">
        <f>86-400-821-5500</f>
        <v>-6635</v>
      </c>
      <c r="E692" t="s">
        <v>3183</v>
      </c>
      <c r="F692" t="s">
        <v>2049</v>
      </c>
      <c r="G692" t="s">
        <v>2050</v>
      </c>
      <c r="H692">
        <v>113.153016052978</v>
      </c>
      <c r="I692">
        <v>27.8380434302289</v>
      </c>
      <c r="J692">
        <v>210</v>
      </c>
      <c r="K692" t="s">
        <v>77</v>
      </c>
      <c r="L692" t="s">
        <v>77</v>
      </c>
      <c r="M692" t="s">
        <v>77</v>
      </c>
      <c r="N692" t="s">
        <v>77</v>
      </c>
      <c r="O692" t="s">
        <v>77</v>
      </c>
      <c r="P692" t="s">
        <v>77</v>
      </c>
      <c r="Q692" t="s">
        <v>77</v>
      </c>
      <c r="R692" t="s">
        <v>3184</v>
      </c>
      <c r="T692" t="s">
        <v>2308</v>
      </c>
      <c r="U692" t="s">
        <v>3185</v>
      </c>
    </row>
    <row r="693" spans="1:21" x14ac:dyDescent="0.25">
      <c r="A693" t="s">
        <v>3186</v>
      </c>
      <c r="B693" t="s">
        <v>38</v>
      </c>
      <c r="C693" t="s">
        <v>3187</v>
      </c>
      <c r="D693">
        <f>400-821-5500</f>
        <v>-5921</v>
      </c>
      <c r="E693" t="s">
        <v>3188</v>
      </c>
      <c r="F693" t="s">
        <v>2049</v>
      </c>
      <c r="G693" t="s">
        <v>2050</v>
      </c>
      <c r="H693">
        <v>115.97199071621</v>
      </c>
      <c r="I693">
        <v>29.701709349095999</v>
      </c>
      <c r="J693">
        <v>210</v>
      </c>
      <c r="K693" t="s">
        <v>27</v>
      </c>
      <c r="L693" t="s">
        <v>27</v>
      </c>
      <c r="M693" t="s">
        <v>27</v>
      </c>
      <c r="N693" t="s">
        <v>27</v>
      </c>
      <c r="O693" t="s">
        <v>77</v>
      </c>
      <c r="P693" t="s">
        <v>77</v>
      </c>
      <c r="Q693" t="s">
        <v>27</v>
      </c>
      <c r="R693" t="s">
        <v>3189</v>
      </c>
      <c r="T693" t="s">
        <v>2620</v>
      </c>
      <c r="U693" t="s">
        <v>3190</v>
      </c>
    </row>
    <row r="694" spans="1:21" x14ac:dyDescent="0.25">
      <c r="A694" t="s">
        <v>3191</v>
      </c>
      <c r="C694" t="s">
        <v>3192</v>
      </c>
      <c r="D694">
        <f>400-821-5500</f>
        <v>-5921</v>
      </c>
      <c r="E694" t="s">
        <v>3121</v>
      </c>
      <c r="F694" t="s">
        <v>2049</v>
      </c>
      <c r="G694" t="s">
        <v>2050</v>
      </c>
      <c r="H694">
        <v>110.316819026367</v>
      </c>
      <c r="I694">
        <v>19.908065856262599</v>
      </c>
      <c r="R694" t="s">
        <v>3192</v>
      </c>
      <c r="S694" t="s">
        <v>3193</v>
      </c>
      <c r="U694" t="s">
        <v>3194</v>
      </c>
    </row>
    <row r="695" spans="1:21" x14ac:dyDescent="0.25">
      <c r="A695" t="s">
        <v>3195</v>
      </c>
      <c r="B695" t="s">
        <v>38</v>
      </c>
      <c r="C695" t="s">
        <v>3196</v>
      </c>
      <c r="D695">
        <f>86-400-821-5500</f>
        <v>-6635</v>
      </c>
      <c r="E695" t="s">
        <v>3197</v>
      </c>
      <c r="F695" t="s">
        <v>2049</v>
      </c>
      <c r="G695" t="s">
        <v>2050</v>
      </c>
      <c r="H695">
        <v>106.27997999999999</v>
      </c>
      <c r="I695">
        <v>38.465299999999999</v>
      </c>
      <c r="J695">
        <v>210</v>
      </c>
      <c r="K695" t="s">
        <v>27</v>
      </c>
      <c r="L695" t="s">
        <v>27</v>
      </c>
      <c r="M695" t="s">
        <v>27</v>
      </c>
      <c r="N695" t="s">
        <v>27</v>
      </c>
      <c r="O695" t="s">
        <v>27</v>
      </c>
      <c r="P695" t="s">
        <v>27</v>
      </c>
      <c r="Q695" t="s">
        <v>27</v>
      </c>
      <c r="R695" t="s">
        <v>3198</v>
      </c>
      <c r="T695" t="s">
        <v>3199</v>
      </c>
      <c r="U695" t="s">
        <v>3200</v>
      </c>
    </row>
    <row r="696" spans="1:21" x14ac:dyDescent="0.25">
      <c r="A696" t="s">
        <v>3201</v>
      </c>
      <c r="B696" t="s">
        <v>2322</v>
      </c>
      <c r="C696" t="s">
        <v>3202</v>
      </c>
      <c r="D696">
        <f>400-821-5500</f>
        <v>-5921</v>
      </c>
      <c r="E696" t="s">
        <v>2093</v>
      </c>
      <c r="F696" t="s">
        <v>2049</v>
      </c>
      <c r="G696" t="s">
        <v>2050</v>
      </c>
      <c r="H696">
        <v>113.32546468382201</v>
      </c>
      <c r="I696">
        <v>23.132694689356899</v>
      </c>
      <c r="J696">
        <v>210</v>
      </c>
      <c r="K696" t="s">
        <v>27</v>
      </c>
      <c r="L696" t="s">
        <v>27</v>
      </c>
      <c r="M696" t="s">
        <v>27</v>
      </c>
      <c r="N696" t="s">
        <v>27</v>
      </c>
      <c r="O696" t="s">
        <v>27</v>
      </c>
      <c r="P696" t="s">
        <v>27</v>
      </c>
      <c r="Q696" t="s">
        <v>27</v>
      </c>
      <c r="R696" t="s">
        <v>3203</v>
      </c>
      <c r="T696" t="s">
        <v>2095</v>
      </c>
      <c r="U696" t="s">
        <v>3204</v>
      </c>
    </row>
    <row r="697" spans="1:21" x14ac:dyDescent="0.25">
      <c r="A697" t="s">
        <v>3205</v>
      </c>
      <c r="B697" t="s">
        <v>22</v>
      </c>
      <c r="C697" t="s">
        <v>3206</v>
      </c>
      <c r="D697">
        <f>86-400-821-5500</f>
        <v>-6635</v>
      </c>
      <c r="E697" t="s">
        <v>2336</v>
      </c>
      <c r="F697" t="s">
        <v>2049</v>
      </c>
      <c r="G697" t="s">
        <v>2050</v>
      </c>
      <c r="H697">
        <v>117.00127126353701</v>
      </c>
      <c r="I697">
        <v>36.593514689438898</v>
      </c>
      <c r="J697">
        <v>210</v>
      </c>
      <c r="K697" t="s">
        <v>27</v>
      </c>
      <c r="L697" t="s">
        <v>27</v>
      </c>
      <c r="M697" t="s">
        <v>27</v>
      </c>
      <c r="N697" t="s">
        <v>27</v>
      </c>
      <c r="O697" t="s">
        <v>27</v>
      </c>
      <c r="P697" t="s">
        <v>27</v>
      </c>
      <c r="Q697" t="s">
        <v>27</v>
      </c>
      <c r="R697" t="s">
        <v>3207</v>
      </c>
      <c r="T697" t="s">
        <v>2071</v>
      </c>
      <c r="U697" t="s">
        <v>3208</v>
      </c>
    </row>
    <row r="698" spans="1:21" x14ac:dyDescent="0.25">
      <c r="A698" t="s">
        <v>3209</v>
      </c>
      <c r="B698" t="s">
        <v>22</v>
      </c>
      <c r="C698" t="s">
        <v>3210</v>
      </c>
      <c r="D698">
        <f>86-400-821-5500</f>
        <v>-6635</v>
      </c>
      <c r="E698" t="s">
        <v>3211</v>
      </c>
      <c r="F698" t="s">
        <v>2049</v>
      </c>
      <c r="G698" t="s">
        <v>2050</v>
      </c>
      <c r="H698">
        <v>119.533089143212</v>
      </c>
      <c r="I698">
        <v>35.421382148863103</v>
      </c>
      <c r="J698">
        <v>210</v>
      </c>
      <c r="K698" t="s">
        <v>2137</v>
      </c>
      <c r="L698" t="s">
        <v>2137</v>
      </c>
      <c r="M698" t="s">
        <v>2137</v>
      </c>
      <c r="N698" t="s">
        <v>2137</v>
      </c>
      <c r="O698" t="s">
        <v>27</v>
      </c>
      <c r="P698" t="s">
        <v>27</v>
      </c>
      <c r="Q698" t="s">
        <v>2137</v>
      </c>
      <c r="R698" t="s">
        <v>3212</v>
      </c>
      <c r="T698" t="s">
        <v>2071</v>
      </c>
      <c r="U698" t="s">
        <v>3213</v>
      </c>
    </row>
    <row r="699" spans="1:21" x14ac:dyDescent="0.25">
      <c r="A699" t="s">
        <v>3214</v>
      </c>
      <c r="B699" t="s">
        <v>38</v>
      </c>
      <c r="C699" t="s">
        <v>3215</v>
      </c>
      <c r="D699">
        <f>86-400-821-5500</f>
        <v>-6635</v>
      </c>
      <c r="E699" t="s">
        <v>2081</v>
      </c>
      <c r="F699" t="s">
        <v>2049</v>
      </c>
      <c r="G699" t="s">
        <v>2050</v>
      </c>
      <c r="H699">
        <v>123.489175074218</v>
      </c>
      <c r="I699">
        <v>41.808335899579497</v>
      </c>
      <c r="J699">
        <v>210</v>
      </c>
      <c r="K699" t="s">
        <v>290</v>
      </c>
      <c r="L699" t="s">
        <v>290</v>
      </c>
      <c r="M699" t="s">
        <v>290</v>
      </c>
      <c r="N699" t="s">
        <v>290</v>
      </c>
      <c r="O699" t="s">
        <v>290</v>
      </c>
      <c r="P699" t="s">
        <v>290</v>
      </c>
      <c r="Q699" t="s">
        <v>290</v>
      </c>
      <c r="R699" t="s">
        <v>3216</v>
      </c>
      <c r="T699" t="s">
        <v>2083</v>
      </c>
      <c r="U699" t="s">
        <v>3217</v>
      </c>
    </row>
    <row r="700" spans="1:21" x14ac:dyDescent="0.25">
      <c r="A700" t="s">
        <v>3218</v>
      </c>
      <c r="B700" t="s">
        <v>38</v>
      </c>
      <c r="C700" t="s">
        <v>3219</v>
      </c>
      <c r="D700">
        <f>86-400-821-5500</f>
        <v>-6635</v>
      </c>
      <c r="E700" t="s">
        <v>3220</v>
      </c>
      <c r="F700" t="s">
        <v>2049</v>
      </c>
      <c r="G700" t="s">
        <v>2050</v>
      </c>
      <c r="H700">
        <v>130.33811002269201</v>
      </c>
      <c r="I700">
        <v>46.795348744601299</v>
      </c>
      <c r="J700">
        <v>210</v>
      </c>
      <c r="K700" t="s">
        <v>290</v>
      </c>
      <c r="L700" t="s">
        <v>290</v>
      </c>
      <c r="M700" t="s">
        <v>290</v>
      </c>
      <c r="N700" t="s">
        <v>290</v>
      </c>
      <c r="O700" t="s">
        <v>290</v>
      </c>
      <c r="P700" t="s">
        <v>290</v>
      </c>
      <c r="Q700" t="s">
        <v>290</v>
      </c>
      <c r="R700" t="s">
        <v>3221</v>
      </c>
      <c r="T700" t="s">
        <v>2254</v>
      </c>
      <c r="U700" t="s">
        <v>3222</v>
      </c>
    </row>
    <row r="701" spans="1:21" x14ac:dyDescent="0.25">
      <c r="A701" t="s">
        <v>3223</v>
      </c>
      <c r="B701" t="s">
        <v>22</v>
      </c>
      <c r="C701" t="s">
        <v>3224</v>
      </c>
      <c r="D701">
        <f>400-821-5500</f>
        <v>-5921</v>
      </c>
      <c r="E701" t="s">
        <v>3225</v>
      </c>
      <c r="F701" t="s">
        <v>2049</v>
      </c>
      <c r="G701" t="s">
        <v>2050</v>
      </c>
      <c r="H701">
        <v>110.299159289814</v>
      </c>
      <c r="I701">
        <v>25.278328782002902</v>
      </c>
      <c r="J701">
        <v>210</v>
      </c>
      <c r="K701" t="s">
        <v>27</v>
      </c>
      <c r="L701" t="s">
        <v>27</v>
      </c>
      <c r="M701" t="s">
        <v>27</v>
      </c>
      <c r="N701" t="s">
        <v>27</v>
      </c>
      <c r="O701" t="s">
        <v>27</v>
      </c>
      <c r="P701" t="s">
        <v>27</v>
      </c>
      <c r="Q701" t="s">
        <v>27</v>
      </c>
      <c r="R701" t="s">
        <v>3226</v>
      </c>
      <c r="T701" t="s">
        <v>2156</v>
      </c>
      <c r="U701" t="s">
        <v>3227</v>
      </c>
    </row>
    <row r="702" spans="1:21" x14ac:dyDescent="0.25">
      <c r="A702" t="s">
        <v>3228</v>
      </c>
      <c r="B702" t="s">
        <v>22</v>
      </c>
      <c r="C702" t="s">
        <v>3229</v>
      </c>
      <c r="D702">
        <f>400-821-5500</f>
        <v>-5921</v>
      </c>
      <c r="E702" t="s">
        <v>2093</v>
      </c>
      <c r="F702" t="s">
        <v>2049</v>
      </c>
      <c r="G702" t="s">
        <v>2050</v>
      </c>
      <c r="H702">
        <v>113.35073800000001</v>
      </c>
      <c r="I702">
        <v>23.129398999999999</v>
      </c>
      <c r="J702">
        <v>210</v>
      </c>
      <c r="K702" t="s">
        <v>27</v>
      </c>
      <c r="L702" t="s">
        <v>27</v>
      </c>
      <c r="M702" t="s">
        <v>27</v>
      </c>
      <c r="N702" t="s">
        <v>27</v>
      </c>
      <c r="O702" t="s">
        <v>27</v>
      </c>
      <c r="P702" t="s">
        <v>27</v>
      </c>
      <c r="Q702" t="s">
        <v>27</v>
      </c>
      <c r="R702" t="s">
        <v>3230</v>
      </c>
      <c r="T702" t="s">
        <v>2095</v>
      </c>
      <c r="U702" t="s">
        <v>3231</v>
      </c>
    </row>
    <row r="703" spans="1:21" x14ac:dyDescent="0.25">
      <c r="A703" t="s">
        <v>3232</v>
      </c>
      <c r="B703" t="s">
        <v>22</v>
      </c>
      <c r="C703" t="s">
        <v>3233</v>
      </c>
      <c r="D703">
        <f>86-400-821-5500</f>
        <v>-6635</v>
      </c>
      <c r="E703" t="s">
        <v>2061</v>
      </c>
      <c r="F703" t="s">
        <v>2049</v>
      </c>
      <c r="G703" t="s">
        <v>2050</v>
      </c>
      <c r="H703">
        <v>120.54826105792201</v>
      </c>
      <c r="I703">
        <v>31.300990817092</v>
      </c>
      <c r="J703">
        <v>210</v>
      </c>
      <c r="K703" t="s">
        <v>27</v>
      </c>
      <c r="L703" t="s">
        <v>27</v>
      </c>
      <c r="M703" t="s">
        <v>27</v>
      </c>
      <c r="N703" t="s">
        <v>27</v>
      </c>
      <c r="O703" t="s">
        <v>27</v>
      </c>
      <c r="P703" t="s">
        <v>27</v>
      </c>
      <c r="Q703" t="s">
        <v>27</v>
      </c>
      <c r="R703" t="s">
        <v>3234</v>
      </c>
      <c r="T703" t="s">
        <v>2063</v>
      </c>
      <c r="U703" t="s">
        <v>3235</v>
      </c>
    </row>
    <row r="704" spans="1:21" x14ac:dyDescent="0.25">
      <c r="A704" t="s">
        <v>3236</v>
      </c>
      <c r="B704" t="s">
        <v>22</v>
      </c>
      <c r="C704" t="s">
        <v>3237</v>
      </c>
      <c r="D704">
        <f>400-821-5500</f>
        <v>-5921</v>
      </c>
      <c r="E704" t="s">
        <v>2075</v>
      </c>
      <c r="F704" t="s">
        <v>2049</v>
      </c>
      <c r="G704" t="s">
        <v>2050</v>
      </c>
      <c r="H704">
        <v>102.714301962241</v>
      </c>
      <c r="I704">
        <v>24.9791216867998</v>
      </c>
      <c r="J704">
        <v>210</v>
      </c>
      <c r="R704" t="s">
        <v>3237</v>
      </c>
      <c r="S704" t="s">
        <v>3238</v>
      </c>
      <c r="U704" t="s">
        <v>3239</v>
      </c>
    </row>
    <row r="705" spans="1:21" x14ac:dyDescent="0.25">
      <c r="A705" t="s">
        <v>3240</v>
      </c>
      <c r="B705" t="s">
        <v>22</v>
      </c>
      <c r="C705" t="s">
        <v>3241</v>
      </c>
      <c r="D705">
        <f>86-400-821-5500</f>
        <v>-6635</v>
      </c>
      <c r="E705" t="s">
        <v>2198</v>
      </c>
      <c r="F705" t="s">
        <v>2049</v>
      </c>
      <c r="G705" t="s">
        <v>2050</v>
      </c>
      <c r="H705">
        <v>113.112512721787</v>
      </c>
      <c r="I705">
        <v>23.0274641140564</v>
      </c>
      <c r="J705">
        <v>210</v>
      </c>
      <c r="K705" t="s">
        <v>27</v>
      </c>
      <c r="L705" t="s">
        <v>27</v>
      </c>
      <c r="M705" t="s">
        <v>27</v>
      </c>
      <c r="N705" t="s">
        <v>27</v>
      </c>
      <c r="O705" t="s">
        <v>27</v>
      </c>
      <c r="P705" t="s">
        <v>27</v>
      </c>
      <c r="Q705" t="s">
        <v>27</v>
      </c>
      <c r="R705" t="s">
        <v>3242</v>
      </c>
      <c r="T705" t="s">
        <v>2095</v>
      </c>
      <c r="U705" t="s">
        <v>3243</v>
      </c>
    </row>
    <row r="706" spans="1:21" x14ac:dyDescent="0.25">
      <c r="A706" t="s">
        <v>3244</v>
      </c>
      <c r="B706" t="s">
        <v>38</v>
      </c>
      <c r="C706" t="s">
        <v>3245</v>
      </c>
      <c r="E706" t="s">
        <v>2439</v>
      </c>
      <c r="F706" t="s">
        <v>2049</v>
      </c>
      <c r="G706" t="s">
        <v>2050</v>
      </c>
      <c r="H706">
        <v>109.07366587402301</v>
      </c>
      <c r="I706">
        <v>34.278619304416999</v>
      </c>
      <c r="J706">
        <v>210</v>
      </c>
      <c r="K706" t="s">
        <v>27</v>
      </c>
      <c r="L706" t="s">
        <v>27</v>
      </c>
      <c r="M706" t="s">
        <v>27</v>
      </c>
      <c r="N706" t="s">
        <v>27</v>
      </c>
      <c r="O706" t="s">
        <v>27</v>
      </c>
      <c r="P706" t="s">
        <v>27</v>
      </c>
      <c r="Q706" t="s">
        <v>27</v>
      </c>
      <c r="R706" t="s">
        <v>3246</v>
      </c>
      <c r="T706" t="s">
        <v>2441</v>
      </c>
      <c r="U706" t="s">
        <v>3247</v>
      </c>
    </row>
    <row r="707" spans="1:21" x14ac:dyDescent="0.25">
      <c r="A707" t="s">
        <v>3248</v>
      </c>
      <c r="B707" t="s">
        <v>22</v>
      </c>
      <c r="C707" t="s">
        <v>3249</v>
      </c>
      <c r="D707">
        <f>400-821-5500</f>
        <v>-5921</v>
      </c>
      <c r="E707" t="s">
        <v>2116</v>
      </c>
      <c r="F707" t="s">
        <v>2049</v>
      </c>
      <c r="G707" t="s">
        <v>2050</v>
      </c>
      <c r="H707">
        <v>113.88822707753199</v>
      </c>
      <c r="I707">
        <v>22.550815565174599</v>
      </c>
      <c r="J707">
        <v>210</v>
      </c>
      <c r="K707" t="s">
        <v>27</v>
      </c>
      <c r="L707" t="s">
        <v>27</v>
      </c>
      <c r="M707" t="s">
        <v>27</v>
      </c>
      <c r="N707" t="s">
        <v>27</v>
      </c>
      <c r="O707" t="s">
        <v>77</v>
      </c>
      <c r="P707" t="s">
        <v>77</v>
      </c>
      <c r="Q707" t="s">
        <v>27</v>
      </c>
      <c r="R707" t="s">
        <v>3250</v>
      </c>
      <c r="T707" t="s">
        <v>2095</v>
      </c>
      <c r="U707" t="s">
        <v>3251</v>
      </c>
    </row>
    <row r="708" spans="1:21" x14ac:dyDescent="0.25">
      <c r="A708" t="s">
        <v>3252</v>
      </c>
      <c r="B708" t="s">
        <v>38</v>
      </c>
      <c r="C708" t="s">
        <v>3253</v>
      </c>
      <c r="D708">
        <f>86-400-821-5500</f>
        <v>-6635</v>
      </c>
      <c r="E708" t="s">
        <v>2312</v>
      </c>
      <c r="F708" t="s">
        <v>2049</v>
      </c>
      <c r="G708" t="s">
        <v>2050</v>
      </c>
      <c r="H708">
        <v>120.28407352478</v>
      </c>
      <c r="I708">
        <v>30.431956019502099</v>
      </c>
      <c r="J708">
        <v>210</v>
      </c>
      <c r="K708" t="s">
        <v>27</v>
      </c>
      <c r="L708" t="s">
        <v>27</v>
      </c>
      <c r="M708" t="s">
        <v>27</v>
      </c>
      <c r="N708" t="s">
        <v>27</v>
      </c>
      <c r="O708" t="s">
        <v>27</v>
      </c>
      <c r="P708" t="s">
        <v>27</v>
      </c>
      <c r="Q708" t="s">
        <v>27</v>
      </c>
      <c r="R708" t="s">
        <v>3254</v>
      </c>
      <c r="T708" t="s">
        <v>2052</v>
      </c>
      <c r="U708" t="s">
        <v>3255</v>
      </c>
    </row>
    <row r="709" spans="1:21" x14ac:dyDescent="0.25">
      <c r="A709" t="s">
        <v>3256</v>
      </c>
      <c r="B709" t="s">
        <v>38</v>
      </c>
      <c r="C709" t="s">
        <v>3257</v>
      </c>
      <c r="E709" t="s">
        <v>3258</v>
      </c>
      <c r="F709" t="s">
        <v>2049</v>
      </c>
      <c r="G709" t="s">
        <v>2050</v>
      </c>
      <c r="H709">
        <v>112.908686756347</v>
      </c>
      <c r="I709">
        <v>27.856111228260399</v>
      </c>
      <c r="J709">
        <v>210</v>
      </c>
      <c r="K709" t="s">
        <v>27</v>
      </c>
      <c r="L709" t="s">
        <v>27</v>
      </c>
      <c r="M709" t="s">
        <v>27</v>
      </c>
      <c r="N709" t="s">
        <v>27</v>
      </c>
      <c r="O709" t="s">
        <v>27</v>
      </c>
      <c r="P709" t="s">
        <v>27</v>
      </c>
      <c r="Q709" t="s">
        <v>27</v>
      </c>
      <c r="R709" t="s">
        <v>3259</v>
      </c>
      <c r="T709" t="s">
        <v>2308</v>
      </c>
      <c r="U709" t="s">
        <v>3260</v>
      </c>
    </row>
    <row r="710" spans="1:21" x14ac:dyDescent="0.25">
      <c r="A710" t="s">
        <v>3261</v>
      </c>
      <c r="B710" t="s">
        <v>22</v>
      </c>
      <c r="C710" t="s">
        <v>3262</v>
      </c>
      <c r="D710">
        <f>86-400-821-5500</f>
        <v>-6635</v>
      </c>
      <c r="E710" t="s">
        <v>2143</v>
      </c>
      <c r="F710" t="s">
        <v>2049</v>
      </c>
      <c r="G710" t="s">
        <v>2050</v>
      </c>
      <c r="H710">
        <v>113.722445424011</v>
      </c>
      <c r="I710">
        <v>34.784615450999901</v>
      </c>
      <c r="J710">
        <v>210</v>
      </c>
      <c r="K710" t="s">
        <v>2137</v>
      </c>
      <c r="L710" t="s">
        <v>2137</v>
      </c>
      <c r="M710" t="s">
        <v>2137</v>
      </c>
      <c r="N710" t="s">
        <v>2137</v>
      </c>
      <c r="O710" t="s">
        <v>77</v>
      </c>
      <c r="P710" t="s">
        <v>77</v>
      </c>
      <c r="Q710" t="s">
        <v>77</v>
      </c>
      <c r="R710" t="s">
        <v>3263</v>
      </c>
      <c r="T710" t="s">
        <v>2139</v>
      </c>
      <c r="U710" t="s">
        <v>3264</v>
      </c>
    </row>
    <row r="711" spans="1:21" x14ac:dyDescent="0.25">
      <c r="A711" t="s">
        <v>3265</v>
      </c>
      <c r="B711" t="s">
        <v>38</v>
      </c>
      <c r="C711" t="s">
        <v>3266</v>
      </c>
      <c r="D711">
        <f>86-400-821-5500</f>
        <v>-6635</v>
      </c>
      <c r="E711" t="s">
        <v>3267</v>
      </c>
      <c r="F711" t="s">
        <v>2049</v>
      </c>
      <c r="G711" t="s">
        <v>2050</v>
      </c>
      <c r="H711">
        <v>118.934000121704</v>
      </c>
      <c r="I711">
        <v>42.285378295251</v>
      </c>
      <c r="J711">
        <v>210</v>
      </c>
      <c r="K711" t="s">
        <v>2068</v>
      </c>
      <c r="L711" t="s">
        <v>2068</v>
      </c>
      <c r="M711" t="s">
        <v>2068</v>
      </c>
      <c r="N711" t="s">
        <v>2068</v>
      </c>
      <c r="O711" t="s">
        <v>2069</v>
      </c>
      <c r="P711" t="s">
        <v>2069</v>
      </c>
      <c r="Q711" t="s">
        <v>2069</v>
      </c>
      <c r="R711" t="s">
        <v>3268</v>
      </c>
      <c r="T711" t="s">
        <v>2275</v>
      </c>
      <c r="U711" t="s">
        <v>3269</v>
      </c>
    </row>
    <row r="712" spans="1:21" x14ac:dyDescent="0.25">
      <c r="A712" t="s">
        <v>3270</v>
      </c>
      <c r="B712" t="s">
        <v>22</v>
      </c>
      <c r="C712" t="s">
        <v>3271</v>
      </c>
      <c r="D712">
        <f>86-400-821-5500</f>
        <v>-6635</v>
      </c>
      <c r="E712" t="s">
        <v>2288</v>
      </c>
      <c r="F712" t="s">
        <v>2049</v>
      </c>
      <c r="G712" t="s">
        <v>2050</v>
      </c>
      <c r="H712">
        <v>112.561287812858</v>
      </c>
      <c r="I712">
        <v>37.882505390727196</v>
      </c>
      <c r="J712">
        <v>210</v>
      </c>
      <c r="K712" t="s">
        <v>27</v>
      </c>
      <c r="L712" t="s">
        <v>27</v>
      </c>
      <c r="M712" t="s">
        <v>27</v>
      </c>
      <c r="N712" t="s">
        <v>27</v>
      </c>
      <c r="O712" t="s">
        <v>27</v>
      </c>
      <c r="P712" t="s">
        <v>27</v>
      </c>
      <c r="Q712" t="s">
        <v>27</v>
      </c>
      <c r="R712" t="s">
        <v>3272</v>
      </c>
      <c r="T712" t="s">
        <v>2269</v>
      </c>
      <c r="U712" t="s">
        <v>3273</v>
      </c>
    </row>
    <row r="713" spans="1:21" x14ac:dyDescent="0.25">
      <c r="A713" t="s">
        <v>3274</v>
      </c>
      <c r="B713" t="s">
        <v>22</v>
      </c>
      <c r="C713" t="s">
        <v>3275</v>
      </c>
      <c r="D713">
        <f>86-400-821-5500</f>
        <v>-6635</v>
      </c>
      <c r="E713" t="s">
        <v>3276</v>
      </c>
      <c r="F713" t="s">
        <v>2049</v>
      </c>
      <c r="G713" t="s">
        <v>2050</v>
      </c>
      <c r="H713">
        <v>87.588459999999998</v>
      </c>
      <c r="I713">
        <v>43.820390000000003</v>
      </c>
      <c r="J713">
        <v>210</v>
      </c>
      <c r="K713" t="s">
        <v>1501</v>
      </c>
      <c r="L713" t="s">
        <v>1501</v>
      </c>
      <c r="M713" t="s">
        <v>1501</v>
      </c>
      <c r="N713" t="s">
        <v>1501</v>
      </c>
      <c r="O713" t="s">
        <v>2229</v>
      </c>
      <c r="P713" t="s">
        <v>2229</v>
      </c>
      <c r="Q713" t="s">
        <v>2229</v>
      </c>
      <c r="R713" t="s">
        <v>3277</v>
      </c>
      <c r="T713" t="s">
        <v>2232</v>
      </c>
      <c r="U713" t="s">
        <v>3278</v>
      </c>
    </row>
    <row r="714" spans="1:21" x14ac:dyDescent="0.25">
      <c r="A714" t="s">
        <v>3279</v>
      </c>
      <c r="B714" t="s">
        <v>22</v>
      </c>
      <c r="C714" t="s">
        <v>3280</v>
      </c>
      <c r="E714" t="s">
        <v>3280</v>
      </c>
      <c r="F714" t="s">
        <v>2049</v>
      </c>
      <c r="G714" t="s">
        <v>2050</v>
      </c>
      <c r="H714">
        <v>114.538961999999</v>
      </c>
      <c r="I714">
        <v>36.625656999999997</v>
      </c>
      <c r="J714">
        <v>210</v>
      </c>
      <c r="R714" t="s">
        <v>3280</v>
      </c>
      <c r="U714" t="s">
        <v>3281</v>
      </c>
    </row>
    <row r="715" spans="1:21" x14ac:dyDescent="0.25">
      <c r="A715" t="s">
        <v>3282</v>
      </c>
      <c r="B715" t="s">
        <v>22</v>
      </c>
      <c r="C715" t="s">
        <v>3283</v>
      </c>
      <c r="D715">
        <f t="shared" ref="D715:D721" si="18">86-400-821-5500</f>
        <v>-6635</v>
      </c>
      <c r="E715" t="s">
        <v>2218</v>
      </c>
      <c r="F715" t="s">
        <v>2049</v>
      </c>
      <c r="G715" t="s">
        <v>2050</v>
      </c>
      <c r="H715">
        <v>101.757710465454</v>
      </c>
      <c r="I715">
        <v>36.627880257899101</v>
      </c>
      <c r="J715">
        <v>210</v>
      </c>
      <c r="K715" t="s">
        <v>290</v>
      </c>
      <c r="L715" t="s">
        <v>290</v>
      </c>
      <c r="M715" t="s">
        <v>290</v>
      </c>
      <c r="N715" t="s">
        <v>290</v>
      </c>
      <c r="O715" t="s">
        <v>290</v>
      </c>
      <c r="P715" t="s">
        <v>290</v>
      </c>
      <c r="Q715" t="s">
        <v>290</v>
      </c>
      <c r="R715" t="s">
        <v>3284</v>
      </c>
      <c r="T715" t="s">
        <v>3285</v>
      </c>
      <c r="U715" t="s">
        <v>3286</v>
      </c>
    </row>
    <row r="716" spans="1:21" x14ac:dyDescent="0.25">
      <c r="A716" t="s">
        <v>3287</v>
      </c>
      <c r="B716" t="s">
        <v>38</v>
      </c>
      <c r="C716" t="s">
        <v>3288</v>
      </c>
      <c r="D716">
        <f t="shared" si="18"/>
        <v>-6635</v>
      </c>
      <c r="E716" t="s">
        <v>2439</v>
      </c>
      <c r="F716" t="s">
        <v>2049</v>
      </c>
      <c r="G716" t="s">
        <v>2050</v>
      </c>
      <c r="H716">
        <v>108.94799183016301</v>
      </c>
      <c r="I716">
        <v>34.293856952161001</v>
      </c>
      <c r="J716">
        <v>210</v>
      </c>
      <c r="K716" t="s">
        <v>27</v>
      </c>
      <c r="L716" t="s">
        <v>27</v>
      </c>
      <c r="M716" t="s">
        <v>27</v>
      </c>
      <c r="N716" t="s">
        <v>27</v>
      </c>
      <c r="O716" t="s">
        <v>27</v>
      </c>
      <c r="P716" t="s">
        <v>27</v>
      </c>
      <c r="Q716" t="s">
        <v>27</v>
      </c>
      <c r="R716" t="s">
        <v>3289</v>
      </c>
      <c r="T716" t="s">
        <v>2269</v>
      </c>
      <c r="U716" t="s">
        <v>3290</v>
      </c>
    </row>
    <row r="717" spans="1:21" x14ac:dyDescent="0.25">
      <c r="A717" t="s">
        <v>3291</v>
      </c>
      <c r="B717" t="s">
        <v>38</v>
      </c>
      <c r="C717" t="s">
        <v>3292</v>
      </c>
      <c r="D717">
        <f t="shared" si="18"/>
        <v>-6635</v>
      </c>
      <c r="E717" t="s">
        <v>3293</v>
      </c>
      <c r="F717" t="s">
        <v>2049</v>
      </c>
      <c r="G717" t="s">
        <v>2050</v>
      </c>
      <c r="H717">
        <v>112.122415</v>
      </c>
      <c r="I717">
        <v>32.008986</v>
      </c>
      <c r="J717">
        <v>210</v>
      </c>
      <c r="K717" t="s">
        <v>27</v>
      </c>
      <c r="L717" t="s">
        <v>27</v>
      </c>
      <c r="M717" t="s">
        <v>27</v>
      </c>
      <c r="N717" t="s">
        <v>27</v>
      </c>
      <c r="O717" t="s">
        <v>27</v>
      </c>
      <c r="P717" t="s">
        <v>27</v>
      </c>
      <c r="Q717" t="s">
        <v>27</v>
      </c>
      <c r="R717" t="s">
        <v>3294</v>
      </c>
      <c r="T717" t="s">
        <v>2431</v>
      </c>
      <c r="U717" t="s">
        <v>3295</v>
      </c>
    </row>
    <row r="718" spans="1:21" x14ac:dyDescent="0.25">
      <c r="A718" t="s">
        <v>3296</v>
      </c>
      <c r="B718" t="s">
        <v>38</v>
      </c>
      <c r="C718" t="s">
        <v>3297</v>
      </c>
      <c r="D718">
        <f t="shared" si="18"/>
        <v>-6635</v>
      </c>
      <c r="E718" t="s">
        <v>3298</v>
      </c>
      <c r="F718" t="s">
        <v>2049</v>
      </c>
      <c r="G718" t="s">
        <v>2050</v>
      </c>
      <c r="H718">
        <v>122.07637882543899</v>
      </c>
      <c r="I718">
        <v>41.124232038889097</v>
      </c>
      <c r="J718">
        <v>210</v>
      </c>
      <c r="K718" t="s">
        <v>290</v>
      </c>
      <c r="L718" t="s">
        <v>290</v>
      </c>
      <c r="M718" t="s">
        <v>290</v>
      </c>
      <c r="N718" t="s">
        <v>290</v>
      </c>
      <c r="O718" t="s">
        <v>290</v>
      </c>
      <c r="P718" t="s">
        <v>290</v>
      </c>
      <c r="Q718" t="s">
        <v>290</v>
      </c>
      <c r="R718" t="s">
        <v>3299</v>
      </c>
      <c r="T718" t="s">
        <v>2083</v>
      </c>
      <c r="U718" t="s">
        <v>3300</v>
      </c>
    </row>
    <row r="719" spans="1:21" x14ac:dyDescent="0.25">
      <c r="A719" t="s">
        <v>3301</v>
      </c>
      <c r="B719" t="s">
        <v>38</v>
      </c>
      <c r="C719" t="s">
        <v>3302</v>
      </c>
      <c r="D719">
        <f t="shared" si="18"/>
        <v>-6635</v>
      </c>
      <c r="E719" t="s">
        <v>2317</v>
      </c>
      <c r="F719" t="s">
        <v>2049</v>
      </c>
      <c r="G719" t="s">
        <v>2050</v>
      </c>
      <c r="H719">
        <v>126.562852736511</v>
      </c>
      <c r="I719">
        <v>43.831300391083403</v>
      </c>
      <c r="J719">
        <v>210</v>
      </c>
      <c r="K719" t="s">
        <v>312</v>
      </c>
      <c r="L719" t="s">
        <v>312</v>
      </c>
      <c r="M719" t="s">
        <v>312</v>
      </c>
      <c r="N719" t="s">
        <v>312</v>
      </c>
      <c r="O719" t="s">
        <v>312</v>
      </c>
      <c r="P719" t="s">
        <v>312</v>
      </c>
      <c r="Q719" t="s">
        <v>312</v>
      </c>
      <c r="R719" t="s">
        <v>3303</v>
      </c>
      <c r="T719" t="s">
        <v>2319</v>
      </c>
      <c r="U719" t="s">
        <v>3304</v>
      </c>
    </row>
    <row r="720" spans="1:21" x14ac:dyDescent="0.25">
      <c r="A720" t="s">
        <v>3305</v>
      </c>
      <c r="B720" t="s">
        <v>22</v>
      </c>
      <c r="C720" t="s">
        <v>3306</v>
      </c>
      <c r="D720">
        <f t="shared" si="18"/>
        <v>-6635</v>
      </c>
      <c r="E720" t="s">
        <v>2104</v>
      </c>
      <c r="F720" t="s">
        <v>2049</v>
      </c>
      <c r="G720" t="s">
        <v>2050</v>
      </c>
      <c r="H720">
        <v>121.44877109999899</v>
      </c>
      <c r="I720">
        <v>31.2259055</v>
      </c>
      <c r="J720">
        <v>210</v>
      </c>
      <c r="K720" t="s">
        <v>27</v>
      </c>
      <c r="L720" t="s">
        <v>27</v>
      </c>
      <c r="M720" t="s">
        <v>27</v>
      </c>
      <c r="N720" t="s">
        <v>27</v>
      </c>
      <c r="O720" t="s">
        <v>27</v>
      </c>
      <c r="P720" t="s">
        <v>27</v>
      </c>
      <c r="Q720" t="s">
        <v>27</v>
      </c>
      <c r="R720" t="s">
        <v>3307</v>
      </c>
      <c r="T720" t="s">
        <v>2106</v>
      </c>
      <c r="U720" t="s">
        <v>3308</v>
      </c>
    </row>
    <row r="721" spans="1:21" x14ac:dyDescent="0.25">
      <c r="A721" t="s">
        <v>3309</v>
      </c>
      <c r="B721" t="s">
        <v>22</v>
      </c>
      <c r="C721" t="s">
        <v>3310</v>
      </c>
      <c r="D721">
        <f t="shared" si="18"/>
        <v>-6635</v>
      </c>
      <c r="E721" t="s">
        <v>2104</v>
      </c>
      <c r="F721" t="s">
        <v>2049</v>
      </c>
      <c r="G721" t="s">
        <v>2050</v>
      </c>
      <c r="H721">
        <v>121.3564148</v>
      </c>
      <c r="I721">
        <v>30.7607389</v>
      </c>
      <c r="J721">
        <v>210</v>
      </c>
      <c r="K721" t="s">
        <v>27</v>
      </c>
      <c r="L721" t="s">
        <v>27</v>
      </c>
      <c r="M721" t="s">
        <v>27</v>
      </c>
      <c r="N721" t="s">
        <v>27</v>
      </c>
      <c r="O721" t="s">
        <v>27</v>
      </c>
      <c r="P721" t="s">
        <v>27</v>
      </c>
      <c r="Q721" t="s">
        <v>27</v>
      </c>
      <c r="R721" t="s">
        <v>3311</v>
      </c>
      <c r="T721" t="s">
        <v>2106</v>
      </c>
      <c r="U721" t="s">
        <v>3312</v>
      </c>
    </row>
    <row r="722" spans="1:21" x14ac:dyDescent="0.25">
      <c r="A722" t="s">
        <v>3313</v>
      </c>
      <c r="B722" t="s">
        <v>22</v>
      </c>
      <c r="C722" t="s">
        <v>3314</v>
      </c>
      <c r="D722">
        <f>400-821-5500</f>
        <v>-5921</v>
      </c>
      <c r="E722" t="s">
        <v>3121</v>
      </c>
      <c r="F722" t="s">
        <v>2049</v>
      </c>
      <c r="G722" t="s">
        <v>2050</v>
      </c>
      <c r="H722">
        <v>110.346774149575</v>
      </c>
      <c r="I722">
        <v>20.016190420125302</v>
      </c>
      <c r="J722">
        <v>210</v>
      </c>
      <c r="K722" t="s">
        <v>2069</v>
      </c>
      <c r="L722" t="s">
        <v>2069</v>
      </c>
      <c r="M722" t="s">
        <v>2069</v>
      </c>
      <c r="N722" t="s">
        <v>2069</v>
      </c>
      <c r="O722" t="s">
        <v>3122</v>
      </c>
      <c r="P722" t="s">
        <v>3122</v>
      </c>
      <c r="Q722" t="s">
        <v>2069</v>
      </c>
      <c r="R722" t="s">
        <v>3315</v>
      </c>
      <c r="T722" t="s">
        <v>2378</v>
      </c>
      <c r="U722" t="s">
        <v>3316</v>
      </c>
    </row>
    <row r="723" spans="1:21" x14ac:dyDescent="0.25">
      <c r="A723" t="s">
        <v>3317</v>
      </c>
      <c r="B723" t="s">
        <v>22</v>
      </c>
      <c r="C723" t="s">
        <v>3318</v>
      </c>
      <c r="D723">
        <f>86-400-821-5500</f>
        <v>-6635</v>
      </c>
      <c r="E723" t="s">
        <v>2104</v>
      </c>
      <c r="F723" t="s">
        <v>2049</v>
      </c>
      <c r="G723" t="s">
        <v>2050</v>
      </c>
      <c r="H723">
        <v>121.50733471796801</v>
      </c>
      <c r="I723">
        <v>31.328557834328901</v>
      </c>
      <c r="J723">
        <v>210</v>
      </c>
      <c r="K723" t="s">
        <v>27</v>
      </c>
      <c r="L723" t="s">
        <v>27</v>
      </c>
      <c r="M723" t="s">
        <v>27</v>
      </c>
      <c r="N723" t="s">
        <v>27</v>
      </c>
      <c r="O723" t="s">
        <v>27</v>
      </c>
      <c r="P723" t="s">
        <v>27</v>
      </c>
      <c r="Q723" t="s">
        <v>27</v>
      </c>
      <c r="R723" t="s">
        <v>3319</v>
      </c>
      <c r="T723" t="s">
        <v>2106</v>
      </c>
      <c r="U723" t="s">
        <v>3320</v>
      </c>
    </row>
    <row r="724" spans="1:21" x14ac:dyDescent="0.25">
      <c r="A724" t="s">
        <v>3321</v>
      </c>
      <c r="B724" t="s">
        <v>22</v>
      </c>
      <c r="C724" t="s">
        <v>3322</v>
      </c>
      <c r="D724">
        <f>86-400-821-5500</f>
        <v>-6635</v>
      </c>
      <c r="E724" t="s">
        <v>3197</v>
      </c>
      <c r="F724" t="s">
        <v>2049</v>
      </c>
      <c r="G724" t="s">
        <v>2050</v>
      </c>
      <c r="H724">
        <v>106.27997999999999</v>
      </c>
      <c r="I724">
        <v>38.465299999999999</v>
      </c>
      <c r="J724">
        <v>210</v>
      </c>
      <c r="K724" t="s">
        <v>2137</v>
      </c>
      <c r="L724" t="s">
        <v>2137</v>
      </c>
      <c r="M724" t="s">
        <v>2137</v>
      </c>
      <c r="N724" t="s">
        <v>2137</v>
      </c>
      <c r="O724" t="s">
        <v>2137</v>
      </c>
      <c r="P724" t="s">
        <v>2069</v>
      </c>
      <c r="Q724" t="s">
        <v>2069</v>
      </c>
      <c r="R724" t="s">
        <v>3323</v>
      </c>
      <c r="T724" t="s">
        <v>3199</v>
      </c>
      <c r="U724" t="s">
        <v>3324</v>
      </c>
    </row>
    <row r="725" spans="1:21" x14ac:dyDescent="0.25">
      <c r="A725" t="s">
        <v>3325</v>
      </c>
      <c r="B725" t="s">
        <v>38</v>
      </c>
      <c r="C725" t="s">
        <v>3326</v>
      </c>
      <c r="D725">
        <f>86-400-821-5500</f>
        <v>-6635</v>
      </c>
      <c r="E725" t="s">
        <v>3327</v>
      </c>
      <c r="F725" t="s">
        <v>2049</v>
      </c>
      <c r="G725" t="s">
        <v>2050</v>
      </c>
      <c r="H725">
        <v>114.32165294445799</v>
      </c>
      <c r="I725">
        <v>34.807608706871797</v>
      </c>
      <c r="J725">
        <v>210</v>
      </c>
      <c r="K725" t="s">
        <v>2137</v>
      </c>
      <c r="L725" t="s">
        <v>2137</v>
      </c>
      <c r="M725" t="s">
        <v>2137</v>
      </c>
      <c r="N725" t="s">
        <v>2137</v>
      </c>
      <c r="O725" t="s">
        <v>2137</v>
      </c>
      <c r="P725" t="s">
        <v>2137</v>
      </c>
      <c r="Q725" t="s">
        <v>2137</v>
      </c>
      <c r="R725" t="s">
        <v>3328</v>
      </c>
      <c r="T725" t="s">
        <v>2139</v>
      </c>
      <c r="U725" t="s">
        <v>3329</v>
      </c>
    </row>
    <row r="726" spans="1:21" x14ac:dyDescent="0.25">
      <c r="A726" t="s">
        <v>3330</v>
      </c>
      <c r="B726" t="s">
        <v>38</v>
      </c>
      <c r="C726" t="s">
        <v>3331</v>
      </c>
      <c r="E726" t="s">
        <v>3332</v>
      </c>
      <c r="F726" t="s">
        <v>2049</v>
      </c>
      <c r="G726" t="s">
        <v>2050</v>
      </c>
      <c r="H726">
        <v>108.69102772216699</v>
      </c>
      <c r="I726">
        <v>34.341465939686302</v>
      </c>
      <c r="J726">
        <v>210</v>
      </c>
      <c r="K726" t="s">
        <v>27</v>
      </c>
      <c r="L726" t="s">
        <v>27</v>
      </c>
      <c r="M726" t="s">
        <v>27</v>
      </c>
      <c r="N726" t="s">
        <v>27</v>
      </c>
      <c r="O726" t="s">
        <v>27</v>
      </c>
      <c r="P726" t="s">
        <v>27</v>
      </c>
      <c r="Q726" t="s">
        <v>27</v>
      </c>
      <c r="R726" t="s">
        <v>3333</v>
      </c>
      <c r="T726" t="s">
        <v>2269</v>
      </c>
      <c r="U726" t="s">
        <v>3334</v>
      </c>
    </row>
    <row r="727" spans="1:21" x14ac:dyDescent="0.25">
      <c r="A727" t="s">
        <v>3335</v>
      </c>
      <c r="B727" t="s">
        <v>22</v>
      </c>
      <c r="C727" t="s">
        <v>3336</v>
      </c>
      <c r="D727">
        <f t="shared" ref="D727:D736" si="19">86-400-821-5500</f>
        <v>-6635</v>
      </c>
      <c r="E727" t="s">
        <v>3276</v>
      </c>
      <c r="F727" t="s">
        <v>2049</v>
      </c>
      <c r="G727" t="s">
        <v>2050</v>
      </c>
      <c r="H727">
        <v>87.557209999999998</v>
      </c>
      <c r="I727">
        <v>43.876069999999999</v>
      </c>
      <c r="J727">
        <v>210</v>
      </c>
      <c r="K727" t="s">
        <v>1501</v>
      </c>
      <c r="L727" t="s">
        <v>1501</v>
      </c>
      <c r="M727" t="s">
        <v>1501</v>
      </c>
      <c r="N727" t="s">
        <v>1501</v>
      </c>
      <c r="O727" t="s">
        <v>2229</v>
      </c>
      <c r="P727" t="s">
        <v>2229</v>
      </c>
      <c r="Q727" t="s">
        <v>2229</v>
      </c>
      <c r="R727" t="s">
        <v>3337</v>
      </c>
      <c r="T727" t="s">
        <v>2232</v>
      </c>
      <c r="U727" t="s">
        <v>3338</v>
      </c>
    </row>
    <row r="728" spans="1:21" x14ac:dyDescent="0.25">
      <c r="A728" t="s">
        <v>3339</v>
      </c>
      <c r="B728" t="s">
        <v>38</v>
      </c>
      <c r="C728" t="s">
        <v>3340</v>
      </c>
      <c r="D728">
        <f t="shared" si="19"/>
        <v>-6635</v>
      </c>
      <c r="E728" t="s">
        <v>2081</v>
      </c>
      <c r="F728" t="s">
        <v>2049</v>
      </c>
      <c r="G728" t="s">
        <v>2050</v>
      </c>
      <c r="H728">
        <v>123.459416026611</v>
      </c>
      <c r="I728">
        <v>41.735475346084698</v>
      </c>
      <c r="J728">
        <v>210</v>
      </c>
      <c r="K728" t="s">
        <v>2137</v>
      </c>
      <c r="L728" t="s">
        <v>2137</v>
      </c>
      <c r="M728" t="s">
        <v>2137</v>
      </c>
      <c r="N728" t="s">
        <v>2137</v>
      </c>
      <c r="O728" t="s">
        <v>2137</v>
      </c>
      <c r="P728" t="s">
        <v>2137</v>
      </c>
      <c r="Q728" t="s">
        <v>2137</v>
      </c>
      <c r="R728" t="s">
        <v>3341</v>
      </c>
      <c r="T728" t="s">
        <v>2083</v>
      </c>
      <c r="U728" t="s">
        <v>3342</v>
      </c>
    </row>
    <row r="729" spans="1:21" x14ac:dyDescent="0.25">
      <c r="A729" t="s">
        <v>3343</v>
      </c>
      <c r="B729" t="s">
        <v>38</v>
      </c>
      <c r="C729" t="s">
        <v>2272</v>
      </c>
      <c r="D729">
        <f t="shared" si="19"/>
        <v>-6635</v>
      </c>
      <c r="E729" t="s">
        <v>3344</v>
      </c>
      <c r="F729" t="s">
        <v>2049</v>
      </c>
      <c r="G729" t="s">
        <v>2050</v>
      </c>
      <c r="H729">
        <v>117.086787879623</v>
      </c>
      <c r="I729">
        <v>36.182596924724201</v>
      </c>
      <c r="J729">
        <v>210</v>
      </c>
      <c r="K729" t="s">
        <v>27</v>
      </c>
      <c r="L729" t="s">
        <v>27</v>
      </c>
      <c r="M729" t="s">
        <v>27</v>
      </c>
      <c r="N729" t="s">
        <v>27</v>
      </c>
      <c r="O729" t="s">
        <v>27</v>
      </c>
      <c r="P729" t="s">
        <v>27</v>
      </c>
      <c r="Q729" t="s">
        <v>27</v>
      </c>
      <c r="R729" t="s">
        <v>3345</v>
      </c>
      <c r="T729" t="s">
        <v>2071</v>
      </c>
      <c r="U729" t="s">
        <v>3346</v>
      </c>
    </row>
    <row r="730" spans="1:21" x14ac:dyDescent="0.25">
      <c r="A730" t="s">
        <v>3347</v>
      </c>
      <c r="B730" t="s">
        <v>22</v>
      </c>
      <c r="C730" t="s">
        <v>3348</v>
      </c>
      <c r="D730">
        <f t="shared" si="19"/>
        <v>-6635</v>
      </c>
      <c r="E730" t="s">
        <v>3349</v>
      </c>
      <c r="F730" t="s">
        <v>2049</v>
      </c>
      <c r="G730" t="s">
        <v>2050</v>
      </c>
      <c r="H730">
        <v>119.604186624633</v>
      </c>
      <c r="I730">
        <v>39.931502772145002</v>
      </c>
      <c r="J730">
        <v>210</v>
      </c>
      <c r="K730" t="s">
        <v>290</v>
      </c>
      <c r="L730" t="s">
        <v>290</v>
      </c>
      <c r="M730" t="s">
        <v>290</v>
      </c>
      <c r="N730" t="s">
        <v>290</v>
      </c>
      <c r="O730" t="s">
        <v>290</v>
      </c>
      <c r="P730" t="s">
        <v>290</v>
      </c>
      <c r="Q730" t="s">
        <v>290</v>
      </c>
      <c r="R730" t="s">
        <v>3350</v>
      </c>
      <c r="T730" t="s">
        <v>2128</v>
      </c>
      <c r="U730" t="s">
        <v>3351</v>
      </c>
    </row>
    <row r="731" spans="1:21" x14ac:dyDescent="0.25">
      <c r="A731" t="s">
        <v>3352</v>
      </c>
      <c r="B731" t="s">
        <v>22</v>
      </c>
      <c r="C731" t="s">
        <v>3353</v>
      </c>
      <c r="D731">
        <f t="shared" si="19"/>
        <v>-6635</v>
      </c>
      <c r="E731" t="s">
        <v>2104</v>
      </c>
      <c r="F731" t="s">
        <v>2049</v>
      </c>
      <c r="G731" t="s">
        <v>2050</v>
      </c>
      <c r="H731">
        <v>121.19736293627901</v>
      </c>
      <c r="I731">
        <v>31.015399391921999</v>
      </c>
      <c r="J731">
        <v>210</v>
      </c>
      <c r="K731" t="s">
        <v>27</v>
      </c>
      <c r="L731" t="s">
        <v>27</v>
      </c>
      <c r="M731" t="s">
        <v>27</v>
      </c>
      <c r="N731" t="s">
        <v>27</v>
      </c>
      <c r="O731" t="s">
        <v>27</v>
      </c>
      <c r="P731" t="s">
        <v>27</v>
      </c>
      <c r="Q731" t="s">
        <v>27</v>
      </c>
      <c r="R731" t="s">
        <v>3354</v>
      </c>
      <c r="T731" t="s">
        <v>2106</v>
      </c>
      <c r="U731" t="s">
        <v>3355</v>
      </c>
    </row>
    <row r="732" spans="1:21" x14ac:dyDescent="0.25">
      <c r="A732" t="s">
        <v>3356</v>
      </c>
      <c r="B732" t="s">
        <v>22</v>
      </c>
      <c r="C732" t="s">
        <v>3357</v>
      </c>
      <c r="D732">
        <f t="shared" si="19"/>
        <v>-6635</v>
      </c>
      <c r="E732" t="s">
        <v>2468</v>
      </c>
      <c r="F732" t="s">
        <v>2049</v>
      </c>
      <c r="G732" t="s">
        <v>2050</v>
      </c>
      <c r="H732">
        <v>125.241103049316</v>
      </c>
      <c r="I732">
        <v>43.8401925166403</v>
      </c>
      <c r="J732">
        <v>210</v>
      </c>
      <c r="K732" t="s">
        <v>3358</v>
      </c>
      <c r="L732" t="s">
        <v>3358</v>
      </c>
      <c r="M732" t="s">
        <v>3358</v>
      </c>
      <c r="N732" t="s">
        <v>3358</v>
      </c>
      <c r="O732" t="s">
        <v>3358</v>
      </c>
      <c r="P732" t="s">
        <v>3358</v>
      </c>
      <c r="Q732" t="s">
        <v>3358</v>
      </c>
      <c r="R732" t="s">
        <v>3359</v>
      </c>
      <c r="T732" t="s">
        <v>2319</v>
      </c>
      <c r="U732" t="s">
        <v>3360</v>
      </c>
    </row>
    <row r="733" spans="1:21" x14ac:dyDescent="0.25">
      <c r="A733" t="s">
        <v>3361</v>
      </c>
      <c r="B733" t="s">
        <v>38</v>
      </c>
      <c r="C733" t="s">
        <v>3362</v>
      </c>
      <c r="D733">
        <f t="shared" si="19"/>
        <v>-6635</v>
      </c>
      <c r="E733" t="s">
        <v>3363</v>
      </c>
      <c r="F733" t="s">
        <v>2049</v>
      </c>
      <c r="G733" t="s">
        <v>2050</v>
      </c>
      <c r="H733">
        <v>124.87059699999899</v>
      </c>
      <c r="I733">
        <v>46.652358</v>
      </c>
      <c r="J733">
        <v>210</v>
      </c>
      <c r="K733" t="s">
        <v>1434</v>
      </c>
      <c r="L733" t="s">
        <v>1434</v>
      </c>
      <c r="M733" t="s">
        <v>1434</v>
      </c>
      <c r="N733" t="s">
        <v>1434</v>
      </c>
      <c r="O733" t="s">
        <v>1434</v>
      </c>
      <c r="P733" t="s">
        <v>1434</v>
      </c>
      <c r="Q733" t="s">
        <v>1434</v>
      </c>
      <c r="R733" t="s">
        <v>3364</v>
      </c>
      <c r="T733" t="s">
        <v>2254</v>
      </c>
      <c r="U733" t="s">
        <v>3365</v>
      </c>
    </row>
    <row r="734" spans="1:21" x14ac:dyDescent="0.25">
      <c r="A734" t="s">
        <v>3366</v>
      </c>
      <c r="B734" t="s">
        <v>22</v>
      </c>
      <c r="C734" t="s">
        <v>3367</v>
      </c>
      <c r="D734">
        <f t="shared" si="19"/>
        <v>-6635</v>
      </c>
      <c r="E734" t="s">
        <v>2439</v>
      </c>
      <c r="F734" t="s">
        <v>2049</v>
      </c>
      <c r="G734" t="s">
        <v>2050</v>
      </c>
      <c r="H734">
        <v>108.94543625507799</v>
      </c>
      <c r="I734">
        <v>34.338572913411298</v>
      </c>
      <c r="J734">
        <v>210</v>
      </c>
      <c r="K734" t="s">
        <v>27</v>
      </c>
      <c r="L734" t="s">
        <v>27</v>
      </c>
      <c r="M734" t="s">
        <v>27</v>
      </c>
      <c r="N734" t="s">
        <v>27</v>
      </c>
      <c r="O734" t="s">
        <v>27</v>
      </c>
      <c r="P734" t="s">
        <v>27</v>
      </c>
      <c r="Q734" t="s">
        <v>27</v>
      </c>
      <c r="R734" t="s">
        <v>3368</v>
      </c>
      <c r="T734" t="s">
        <v>2269</v>
      </c>
      <c r="U734" t="s">
        <v>3369</v>
      </c>
    </row>
    <row r="735" spans="1:21" x14ac:dyDescent="0.25">
      <c r="A735" t="s">
        <v>3370</v>
      </c>
      <c r="B735" t="s">
        <v>22</v>
      </c>
      <c r="C735" t="s">
        <v>3371</v>
      </c>
      <c r="D735">
        <f t="shared" si="19"/>
        <v>-6635</v>
      </c>
      <c r="E735" t="s">
        <v>2306</v>
      </c>
      <c r="F735" t="s">
        <v>2049</v>
      </c>
      <c r="G735" t="s">
        <v>2050</v>
      </c>
      <c r="H735">
        <v>113.013505430938</v>
      </c>
      <c r="I735">
        <v>28.110631334743399</v>
      </c>
      <c r="J735">
        <v>210</v>
      </c>
      <c r="K735" t="s">
        <v>27</v>
      </c>
      <c r="L735" t="s">
        <v>27</v>
      </c>
      <c r="M735" t="s">
        <v>27</v>
      </c>
      <c r="N735" t="s">
        <v>27</v>
      </c>
      <c r="O735" t="s">
        <v>27</v>
      </c>
      <c r="P735" t="s">
        <v>27</v>
      </c>
      <c r="Q735" t="s">
        <v>27</v>
      </c>
      <c r="R735" t="s">
        <v>3372</v>
      </c>
      <c r="T735" t="s">
        <v>2308</v>
      </c>
      <c r="U735" t="s">
        <v>3373</v>
      </c>
    </row>
    <row r="736" spans="1:21" x14ac:dyDescent="0.25">
      <c r="A736" t="s">
        <v>3374</v>
      </c>
      <c r="B736" t="s">
        <v>38</v>
      </c>
      <c r="C736" t="s">
        <v>3375</v>
      </c>
      <c r="D736">
        <f t="shared" si="19"/>
        <v>-6635</v>
      </c>
      <c r="E736" t="s">
        <v>2439</v>
      </c>
      <c r="F736" t="s">
        <v>2049</v>
      </c>
      <c r="G736" t="s">
        <v>2050</v>
      </c>
      <c r="H736">
        <v>108.868401662683</v>
      </c>
      <c r="I736">
        <v>34.170490935572097</v>
      </c>
      <c r="J736">
        <v>210</v>
      </c>
      <c r="K736" t="s">
        <v>27</v>
      </c>
      <c r="L736" t="s">
        <v>27</v>
      </c>
      <c r="M736" t="s">
        <v>27</v>
      </c>
      <c r="N736" t="s">
        <v>27</v>
      </c>
      <c r="O736" t="s">
        <v>27</v>
      </c>
      <c r="P736" t="s">
        <v>27</v>
      </c>
      <c r="Q736" t="s">
        <v>27</v>
      </c>
      <c r="R736" t="s">
        <v>3376</v>
      </c>
      <c r="T736" t="s">
        <v>2269</v>
      </c>
      <c r="U736" t="s">
        <v>3377</v>
      </c>
    </row>
    <row r="737" spans="1:21" x14ac:dyDescent="0.25">
      <c r="A737" t="s">
        <v>3378</v>
      </c>
      <c r="B737" t="s">
        <v>22</v>
      </c>
      <c r="C737" t="s">
        <v>3379</v>
      </c>
      <c r="D737">
        <f>400-821-5500</f>
        <v>-5921</v>
      </c>
      <c r="E737" t="s">
        <v>2116</v>
      </c>
      <c r="F737" t="s">
        <v>2049</v>
      </c>
      <c r="G737" t="s">
        <v>2050</v>
      </c>
      <c r="H737">
        <v>114.10477299999999</v>
      </c>
      <c r="I737">
        <v>22.545482</v>
      </c>
      <c r="J737">
        <v>210</v>
      </c>
      <c r="K737" t="s">
        <v>27</v>
      </c>
      <c r="L737" t="s">
        <v>27</v>
      </c>
      <c r="M737" t="s">
        <v>27</v>
      </c>
      <c r="N737" t="s">
        <v>27</v>
      </c>
      <c r="O737" t="s">
        <v>27</v>
      </c>
      <c r="P737" t="s">
        <v>27</v>
      </c>
      <c r="Q737" t="s">
        <v>27</v>
      </c>
      <c r="R737" t="s">
        <v>3380</v>
      </c>
      <c r="T737" t="s">
        <v>2095</v>
      </c>
      <c r="U737" t="s">
        <v>3381</v>
      </c>
    </row>
    <row r="738" spans="1:21" x14ac:dyDescent="0.25">
      <c r="A738" t="s">
        <v>3382</v>
      </c>
      <c r="B738" t="s">
        <v>38</v>
      </c>
      <c r="C738" t="s">
        <v>3383</v>
      </c>
      <c r="D738">
        <f>400-821-5500</f>
        <v>-5921</v>
      </c>
      <c r="E738" t="s">
        <v>2165</v>
      </c>
      <c r="F738" t="s">
        <v>2049</v>
      </c>
      <c r="G738" t="s">
        <v>2050</v>
      </c>
      <c r="H738">
        <v>113.235809</v>
      </c>
      <c r="I738">
        <v>22.692029999999999</v>
      </c>
      <c r="J738">
        <v>210</v>
      </c>
      <c r="K738" t="s">
        <v>27</v>
      </c>
      <c r="L738" t="s">
        <v>27</v>
      </c>
      <c r="M738" t="s">
        <v>27</v>
      </c>
      <c r="N738" t="s">
        <v>27</v>
      </c>
      <c r="O738" t="s">
        <v>77</v>
      </c>
      <c r="P738" t="s">
        <v>77</v>
      </c>
      <c r="Q738" t="s">
        <v>27</v>
      </c>
      <c r="R738" t="s">
        <v>3384</v>
      </c>
      <c r="T738" t="s">
        <v>2095</v>
      </c>
      <c r="U738" t="s">
        <v>3385</v>
      </c>
    </row>
    <row r="739" spans="1:21" x14ac:dyDescent="0.25">
      <c r="A739" t="s">
        <v>3386</v>
      </c>
      <c r="B739" t="s">
        <v>22</v>
      </c>
      <c r="C739" t="s">
        <v>3387</v>
      </c>
      <c r="D739">
        <f>86-400-821-5500</f>
        <v>-6635</v>
      </c>
      <c r="E739" t="s">
        <v>3008</v>
      </c>
      <c r="F739" t="s">
        <v>2049</v>
      </c>
      <c r="G739" t="s">
        <v>2050</v>
      </c>
      <c r="H739">
        <v>119.425652481689</v>
      </c>
      <c r="I739">
        <v>32.393908640034901</v>
      </c>
      <c r="J739">
        <v>210</v>
      </c>
      <c r="K739" t="s">
        <v>2137</v>
      </c>
      <c r="L739" t="s">
        <v>2137</v>
      </c>
      <c r="M739" t="s">
        <v>2137</v>
      </c>
      <c r="N739" t="s">
        <v>2137</v>
      </c>
      <c r="O739" t="s">
        <v>27</v>
      </c>
      <c r="P739" t="s">
        <v>27</v>
      </c>
      <c r="Q739" t="s">
        <v>2137</v>
      </c>
      <c r="R739" t="s">
        <v>3388</v>
      </c>
      <c r="T739" t="s">
        <v>2063</v>
      </c>
      <c r="U739" t="s">
        <v>3389</v>
      </c>
    </row>
    <row r="740" spans="1:21" x14ac:dyDescent="0.25">
      <c r="A740" t="s">
        <v>3390</v>
      </c>
      <c r="B740" t="s">
        <v>22</v>
      </c>
      <c r="C740" t="s">
        <v>3391</v>
      </c>
      <c r="D740">
        <f>400-821-5500</f>
        <v>-5921</v>
      </c>
      <c r="E740" t="s">
        <v>2154</v>
      </c>
      <c r="F740" t="s">
        <v>2049</v>
      </c>
      <c r="G740" t="s">
        <v>2050</v>
      </c>
      <c r="H740">
        <v>109.44350152373001</v>
      </c>
      <c r="I740">
        <v>24.328697789472699</v>
      </c>
      <c r="J740">
        <v>210</v>
      </c>
      <c r="K740" t="s">
        <v>27</v>
      </c>
      <c r="L740" t="s">
        <v>27</v>
      </c>
      <c r="M740" t="s">
        <v>27</v>
      </c>
      <c r="N740" t="s">
        <v>27</v>
      </c>
      <c r="O740" t="s">
        <v>77</v>
      </c>
      <c r="P740" t="s">
        <v>77</v>
      </c>
      <c r="Q740" t="s">
        <v>27</v>
      </c>
      <c r="R740" t="s">
        <v>3392</v>
      </c>
      <c r="T740" t="s">
        <v>2156</v>
      </c>
      <c r="U740" t="s">
        <v>3393</v>
      </c>
    </row>
    <row r="741" spans="1:21" x14ac:dyDescent="0.25">
      <c r="A741" t="s">
        <v>3394</v>
      </c>
      <c r="B741" t="s">
        <v>22</v>
      </c>
      <c r="C741" t="s">
        <v>2086</v>
      </c>
      <c r="D741">
        <f>400-821-5500</f>
        <v>-5921</v>
      </c>
      <c r="E741" t="s">
        <v>3395</v>
      </c>
      <c r="F741" t="s">
        <v>2049</v>
      </c>
      <c r="G741" t="s">
        <v>2050</v>
      </c>
      <c r="H741">
        <v>105.40355205267301</v>
      </c>
      <c r="I741">
        <v>28.895125800135801</v>
      </c>
      <c r="J741">
        <v>210</v>
      </c>
      <c r="K741" t="s">
        <v>27</v>
      </c>
      <c r="L741" t="s">
        <v>27</v>
      </c>
      <c r="M741" t="s">
        <v>27</v>
      </c>
      <c r="N741" t="s">
        <v>27</v>
      </c>
      <c r="O741" t="s">
        <v>77</v>
      </c>
      <c r="P741" t="s">
        <v>77</v>
      </c>
      <c r="Q741" t="s">
        <v>27</v>
      </c>
      <c r="R741" t="s">
        <v>3396</v>
      </c>
      <c r="T741" t="s">
        <v>2150</v>
      </c>
      <c r="U741" t="s">
        <v>3397</v>
      </c>
    </row>
    <row r="742" spans="1:21" x14ac:dyDescent="0.25">
      <c r="A742" t="s">
        <v>3398</v>
      </c>
      <c r="B742" t="s">
        <v>22</v>
      </c>
      <c r="C742" t="s">
        <v>3399</v>
      </c>
      <c r="D742">
        <f>400-821-5500</f>
        <v>-5921</v>
      </c>
      <c r="E742" t="s">
        <v>3400</v>
      </c>
      <c r="F742" t="s">
        <v>2049</v>
      </c>
      <c r="G742" t="s">
        <v>2050</v>
      </c>
      <c r="H742">
        <v>109.490354553242</v>
      </c>
      <c r="I742">
        <v>18.286755937801299</v>
      </c>
      <c r="J742">
        <v>210</v>
      </c>
      <c r="K742" t="s">
        <v>27</v>
      </c>
      <c r="L742" t="s">
        <v>27</v>
      </c>
      <c r="M742" t="s">
        <v>27</v>
      </c>
      <c r="N742" t="s">
        <v>27</v>
      </c>
      <c r="O742" t="s">
        <v>27</v>
      </c>
      <c r="P742" t="s">
        <v>27</v>
      </c>
      <c r="Q742" t="s">
        <v>27</v>
      </c>
      <c r="R742" t="s">
        <v>3401</v>
      </c>
      <c r="T742" t="s">
        <v>2378</v>
      </c>
      <c r="U742" t="s">
        <v>3402</v>
      </c>
    </row>
    <row r="743" spans="1:21" x14ac:dyDescent="0.25">
      <c r="A743" t="s">
        <v>3403</v>
      </c>
      <c r="B743" t="s">
        <v>38</v>
      </c>
      <c r="C743" t="s">
        <v>3404</v>
      </c>
      <c r="D743">
        <f>400-821-5500</f>
        <v>-5921</v>
      </c>
      <c r="E743" t="s">
        <v>3021</v>
      </c>
      <c r="F743" t="s">
        <v>2049</v>
      </c>
      <c r="G743" t="s">
        <v>2050</v>
      </c>
      <c r="H743">
        <v>119.029052281906</v>
      </c>
      <c r="I743">
        <v>25.4190115493234</v>
      </c>
      <c r="J743">
        <v>210</v>
      </c>
      <c r="K743" t="s">
        <v>27</v>
      </c>
      <c r="L743" t="s">
        <v>27</v>
      </c>
      <c r="M743" t="s">
        <v>27</v>
      </c>
      <c r="N743" t="s">
        <v>27</v>
      </c>
      <c r="O743" t="s">
        <v>77</v>
      </c>
      <c r="P743" t="s">
        <v>77</v>
      </c>
      <c r="Q743" t="s">
        <v>27</v>
      </c>
      <c r="R743" t="s">
        <v>3405</v>
      </c>
      <c r="T743" t="s">
        <v>2209</v>
      </c>
      <c r="U743" t="s">
        <v>3406</v>
      </c>
    </row>
    <row r="744" spans="1:21" x14ac:dyDescent="0.25">
      <c r="A744" t="s">
        <v>3407</v>
      </c>
      <c r="B744" t="s">
        <v>38</v>
      </c>
      <c r="C744" t="s">
        <v>3408</v>
      </c>
      <c r="D744">
        <f>86-400-821-5500</f>
        <v>-6635</v>
      </c>
      <c r="E744" t="s">
        <v>3188</v>
      </c>
      <c r="F744" t="s">
        <v>2049</v>
      </c>
      <c r="G744" t="s">
        <v>2050</v>
      </c>
      <c r="H744">
        <v>115.97726930355201</v>
      </c>
      <c r="I744">
        <v>29.685846739287701</v>
      </c>
      <c r="J744">
        <v>210</v>
      </c>
      <c r="K744" t="s">
        <v>27</v>
      </c>
      <c r="L744" t="s">
        <v>27</v>
      </c>
      <c r="M744" t="s">
        <v>27</v>
      </c>
      <c r="N744" t="s">
        <v>27</v>
      </c>
      <c r="O744" t="s">
        <v>27</v>
      </c>
      <c r="P744" t="s">
        <v>27</v>
      </c>
      <c r="Q744" t="s">
        <v>27</v>
      </c>
      <c r="R744" t="s">
        <v>3409</v>
      </c>
      <c r="T744" t="s">
        <v>2620</v>
      </c>
      <c r="U744" t="s">
        <v>3410</v>
      </c>
    </row>
    <row r="745" spans="1:21" x14ac:dyDescent="0.25">
      <c r="A745" t="s">
        <v>3411</v>
      </c>
      <c r="B745" t="s">
        <v>22</v>
      </c>
      <c r="C745" t="s">
        <v>3412</v>
      </c>
      <c r="D745">
        <f>86-400-821-5500</f>
        <v>-6635</v>
      </c>
      <c r="E745" t="s">
        <v>2468</v>
      </c>
      <c r="F745" t="s">
        <v>2049</v>
      </c>
      <c r="G745" t="s">
        <v>2050</v>
      </c>
      <c r="H745">
        <v>125.28900614691101</v>
      </c>
      <c r="I745">
        <v>43.831461484947802</v>
      </c>
      <c r="J745">
        <v>210</v>
      </c>
      <c r="K745" t="s">
        <v>290</v>
      </c>
      <c r="L745" t="s">
        <v>290</v>
      </c>
      <c r="M745" t="s">
        <v>290</v>
      </c>
      <c r="N745" t="s">
        <v>290</v>
      </c>
      <c r="O745" t="s">
        <v>2068</v>
      </c>
      <c r="P745" t="s">
        <v>2068</v>
      </c>
      <c r="Q745" t="s">
        <v>2068</v>
      </c>
      <c r="R745" t="s">
        <v>3413</v>
      </c>
      <c r="T745" t="s">
        <v>2319</v>
      </c>
      <c r="U745" t="s">
        <v>3414</v>
      </c>
    </row>
    <row r="746" spans="1:21" x14ac:dyDescent="0.25">
      <c r="A746" t="s">
        <v>3415</v>
      </c>
      <c r="B746" t="s">
        <v>38</v>
      </c>
      <c r="C746" t="s">
        <v>2272</v>
      </c>
      <c r="D746">
        <f>86-391-6399699</f>
        <v>-6400004</v>
      </c>
      <c r="E746" t="s">
        <v>3416</v>
      </c>
      <c r="F746" t="s">
        <v>2049</v>
      </c>
      <c r="G746" t="s">
        <v>2050</v>
      </c>
      <c r="H746">
        <v>113.241823</v>
      </c>
      <c r="I746">
        <v>35.215893000000001</v>
      </c>
      <c r="J746">
        <v>210</v>
      </c>
      <c r="K746" t="s">
        <v>27</v>
      </c>
      <c r="L746" t="s">
        <v>27</v>
      </c>
      <c r="M746" t="s">
        <v>27</v>
      </c>
      <c r="N746" t="s">
        <v>27</v>
      </c>
      <c r="O746" t="s">
        <v>27</v>
      </c>
      <c r="P746" t="s">
        <v>27</v>
      </c>
      <c r="Q746" t="s">
        <v>27</v>
      </c>
      <c r="R746" t="s">
        <v>3417</v>
      </c>
      <c r="T746" t="s">
        <v>2139</v>
      </c>
      <c r="U746" t="s">
        <v>3418</v>
      </c>
    </row>
    <row r="747" spans="1:21" x14ac:dyDescent="0.25">
      <c r="A747" t="s">
        <v>3419</v>
      </c>
      <c r="B747" t="s">
        <v>22</v>
      </c>
      <c r="C747" t="s">
        <v>3420</v>
      </c>
      <c r="D747">
        <f>400-821-5500</f>
        <v>-5921</v>
      </c>
      <c r="E747" t="s">
        <v>2396</v>
      </c>
      <c r="F747" t="s">
        <v>2049</v>
      </c>
      <c r="G747" t="s">
        <v>2050</v>
      </c>
      <c r="H747">
        <v>106.522912680426</v>
      </c>
      <c r="I747">
        <v>29.599404378394599</v>
      </c>
      <c r="J747">
        <v>210</v>
      </c>
      <c r="K747" t="s">
        <v>27</v>
      </c>
      <c r="L747" t="s">
        <v>27</v>
      </c>
      <c r="M747" t="s">
        <v>27</v>
      </c>
      <c r="N747" t="s">
        <v>27</v>
      </c>
      <c r="O747" t="s">
        <v>27</v>
      </c>
      <c r="P747" t="s">
        <v>27</v>
      </c>
      <c r="Q747" t="s">
        <v>27</v>
      </c>
      <c r="R747" t="s">
        <v>3421</v>
      </c>
      <c r="T747" t="s">
        <v>2398</v>
      </c>
      <c r="U747" t="s">
        <v>3422</v>
      </c>
    </row>
    <row r="748" spans="1:21" x14ac:dyDescent="0.25">
      <c r="A748" t="s">
        <v>3423</v>
      </c>
      <c r="B748" t="s">
        <v>38</v>
      </c>
      <c r="C748" t="s">
        <v>2857</v>
      </c>
      <c r="D748">
        <f>400-821-5500</f>
        <v>-5921</v>
      </c>
      <c r="E748" t="s">
        <v>3424</v>
      </c>
      <c r="F748" t="s">
        <v>2049</v>
      </c>
      <c r="G748" t="s">
        <v>2050</v>
      </c>
      <c r="H748">
        <v>117.02754400000001</v>
      </c>
      <c r="I748">
        <v>25.089566000000001</v>
      </c>
      <c r="J748">
        <v>210</v>
      </c>
      <c r="K748" t="s">
        <v>27</v>
      </c>
      <c r="L748" t="s">
        <v>27</v>
      </c>
      <c r="M748" t="s">
        <v>27</v>
      </c>
      <c r="N748" t="s">
        <v>27</v>
      </c>
      <c r="O748" t="s">
        <v>77</v>
      </c>
      <c r="P748" t="s">
        <v>77</v>
      </c>
      <c r="Q748" t="s">
        <v>27</v>
      </c>
      <c r="R748" t="s">
        <v>3425</v>
      </c>
      <c r="T748" t="s">
        <v>2209</v>
      </c>
      <c r="U748" t="s">
        <v>3426</v>
      </c>
    </row>
    <row r="749" spans="1:21" x14ac:dyDescent="0.25">
      <c r="A749" t="s">
        <v>3427</v>
      </c>
      <c r="B749" t="s">
        <v>22</v>
      </c>
      <c r="C749" t="s">
        <v>3428</v>
      </c>
      <c r="D749">
        <f>400-821-5500</f>
        <v>-5921</v>
      </c>
      <c r="E749" t="s">
        <v>2075</v>
      </c>
      <c r="F749" t="s">
        <v>2049</v>
      </c>
      <c r="G749" t="s">
        <v>2050</v>
      </c>
      <c r="H749">
        <v>102.76805916949399</v>
      </c>
      <c r="I749">
        <v>24.969867920103301</v>
      </c>
      <c r="J749">
        <v>210</v>
      </c>
      <c r="K749" t="s">
        <v>27</v>
      </c>
      <c r="L749" t="s">
        <v>27</v>
      </c>
      <c r="M749" t="s">
        <v>27</v>
      </c>
      <c r="N749" t="s">
        <v>27</v>
      </c>
      <c r="O749" t="s">
        <v>77</v>
      </c>
      <c r="P749" t="s">
        <v>77</v>
      </c>
      <c r="Q749" t="s">
        <v>27</v>
      </c>
      <c r="R749" t="s">
        <v>3429</v>
      </c>
      <c r="T749" t="s">
        <v>2077</v>
      </c>
      <c r="U749" t="s">
        <v>3430</v>
      </c>
    </row>
    <row r="750" spans="1:21" x14ac:dyDescent="0.25">
      <c r="A750" t="s">
        <v>3431</v>
      </c>
      <c r="B750" t="s">
        <v>22</v>
      </c>
      <c r="C750" t="s">
        <v>2272</v>
      </c>
      <c r="D750">
        <f t="shared" ref="D750:D756" si="20">86-400-821-5500</f>
        <v>-6635</v>
      </c>
      <c r="E750" t="s">
        <v>3074</v>
      </c>
      <c r="F750" t="s">
        <v>2049</v>
      </c>
      <c r="G750" t="s">
        <v>2050</v>
      </c>
      <c r="H750">
        <v>120.811855452484</v>
      </c>
      <c r="I750">
        <v>27.920246140686601</v>
      </c>
      <c r="J750">
        <v>210</v>
      </c>
      <c r="K750" t="s">
        <v>27</v>
      </c>
      <c r="L750" t="s">
        <v>27</v>
      </c>
      <c r="M750" t="s">
        <v>27</v>
      </c>
      <c r="N750" t="s">
        <v>27</v>
      </c>
      <c r="O750" t="s">
        <v>77</v>
      </c>
      <c r="P750" t="s">
        <v>77</v>
      </c>
      <c r="Q750" t="s">
        <v>27</v>
      </c>
      <c r="R750" t="s">
        <v>3432</v>
      </c>
      <c r="T750" t="s">
        <v>2052</v>
      </c>
      <c r="U750" t="s">
        <v>3433</v>
      </c>
    </row>
    <row r="751" spans="1:21" x14ac:dyDescent="0.25">
      <c r="A751" t="s">
        <v>3434</v>
      </c>
      <c r="B751" t="s">
        <v>22</v>
      </c>
      <c r="C751" t="s">
        <v>3435</v>
      </c>
      <c r="D751">
        <f t="shared" si="20"/>
        <v>-6635</v>
      </c>
      <c r="E751" t="s">
        <v>2104</v>
      </c>
      <c r="F751" t="s">
        <v>2049</v>
      </c>
      <c r="G751" t="s">
        <v>2050</v>
      </c>
      <c r="H751">
        <v>121.305145392828</v>
      </c>
      <c r="I751">
        <v>31.191508163000801</v>
      </c>
      <c r="J751">
        <v>210</v>
      </c>
      <c r="K751" t="s">
        <v>27</v>
      </c>
      <c r="L751" t="s">
        <v>27</v>
      </c>
      <c r="M751" t="s">
        <v>27</v>
      </c>
      <c r="N751" t="s">
        <v>27</v>
      </c>
      <c r="O751" t="s">
        <v>27</v>
      </c>
      <c r="P751" t="s">
        <v>27</v>
      </c>
      <c r="Q751" t="s">
        <v>27</v>
      </c>
      <c r="R751" t="s">
        <v>3436</v>
      </c>
      <c r="T751" t="s">
        <v>2106</v>
      </c>
      <c r="U751" t="s">
        <v>3437</v>
      </c>
    </row>
    <row r="752" spans="1:21" x14ac:dyDescent="0.25">
      <c r="A752" t="s">
        <v>3438</v>
      </c>
      <c r="B752" t="s">
        <v>22</v>
      </c>
      <c r="C752" t="s">
        <v>3439</v>
      </c>
      <c r="D752">
        <f t="shared" si="20"/>
        <v>-6635</v>
      </c>
      <c r="E752" t="s">
        <v>2104</v>
      </c>
      <c r="F752" t="s">
        <v>2049</v>
      </c>
      <c r="G752" t="s">
        <v>2050</v>
      </c>
      <c r="H752">
        <v>121.351367999999</v>
      </c>
      <c r="I752">
        <v>31.157657</v>
      </c>
      <c r="J752">
        <v>210</v>
      </c>
      <c r="K752" t="s">
        <v>27</v>
      </c>
      <c r="L752" t="s">
        <v>27</v>
      </c>
      <c r="M752" t="s">
        <v>27</v>
      </c>
      <c r="N752" t="s">
        <v>27</v>
      </c>
      <c r="O752" t="s">
        <v>27</v>
      </c>
      <c r="P752" t="s">
        <v>27</v>
      </c>
      <c r="Q752" t="s">
        <v>27</v>
      </c>
      <c r="R752" t="s">
        <v>3440</v>
      </c>
      <c r="T752" t="s">
        <v>2106</v>
      </c>
      <c r="U752" t="s">
        <v>3441</v>
      </c>
    </row>
    <row r="753" spans="1:21" x14ac:dyDescent="0.25">
      <c r="A753" t="s">
        <v>3442</v>
      </c>
      <c r="B753" t="s">
        <v>22</v>
      </c>
      <c r="C753" t="s">
        <v>3443</v>
      </c>
      <c r="D753">
        <f t="shared" si="20"/>
        <v>-6635</v>
      </c>
      <c r="E753" t="s">
        <v>2104</v>
      </c>
      <c r="F753" t="s">
        <v>2049</v>
      </c>
      <c r="G753" t="s">
        <v>2050</v>
      </c>
      <c r="H753">
        <v>121.462501349902</v>
      </c>
      <c r="I753">
        <v>30.927072441252701</v>
      </c>
      <c r="J753">
        <v>210</v>
      </c>
      <c r="K753" t="s">
        <v>27</v>
      </c>
      <c r="L753" t="s">
        <v>27</v>
      </c>
      <c r="M753" t="s">
        <v>27</v>
      </c>
      <c r="N753" t="s">
        <v>27</v>
      </c>
      <c r="O753" t="s">
        <v>27</v>
      </c>
      <c r="P753" t="s">
        <v>27</v>
      </c>
      <c r="Q753" t="s">
        <v>27</v>
      </c>
      <c r="R753" t="s">
        <v>3444</v>
      </c>
      <c r="T753" t="s">
        <v>2106</v>
      </c>
      <c r="U753" t="s">
        <v>3445</v>
      </c>
    </row>
    <row r="754" spans="1:21" x14ac:dyDescent="0.25">
      <c r="A754" t="s">
        <v>3446</v>
      </c>
      <c r="B754" t="s">
        <v>38</v>
      </c>
      <c r="C754" t="s">
        <v>3447</v>
      </c>
      <c r="D754">
        <f t="shared" si="20"/>
        <v>-6635</v>
      </c>
      <c r="E754" t="s">
        <v>2950</v>
      </c>
      <c r="F754" t="s">
        <v>2049</v>
      </c>
      <c r="G754" t="s">
        <v>2050</v>
      </c>
      <c r="H754">
        <v>120.163561999999</v>
      </c>
      <c r="I754">
        <v>33.347383000000001</v>
      </c>
      <c r="J754">
        <v>210</v>
      </c>
      <c r="K754" t="s">
        <v>2068</v>
      </c>
      <c r="L754" t="s">
        <v>2068</v>
      </c>
      <c r="M754" t="s">
        <v>2068</v>
      </c>
      <c r="N754" t="s">
        <v>2068</v>
      </c>
      <c r="O754" t="s">
        <v>2069</v>
      </c>
      <c r="P754" t="s">
        <v>2069</v>
      </c>
      <c r="Q754" t="s">
        <v>2068</v>
      </c>
      <c r="R754" t="s">
        <v>3448</v>
      </c>
      <c r="T754" t="s">
        <v>2063</v>
      </c>
      <c r="U754" t="s">
        <v>3449</v>
      </c>
    </row>
    <row r="755" spans="1:21" x14ac:dyDescent="0.25">
      <c r="A755" t="s">
        <v>3450</v>
      </c>
      <c r="B755" t="s">
        <v>38</v>
      </c>
      <c r="C755" t="s">
        <v>3451</v>
      </c>
      <c r="D755">
        <f t="shared" si="20"/>
        <v>-6635</v>
      </c>
      <c r="E755" t="s">
        <v>2306</v>
      </c>
      <c r="F755" t="s">
        <v>2049</v>
      </c>
      <c r="G755" t="s">
        <v>2050</v>
      </c>
      <c r="H755">
        <v>112.86233885656701</v>
      </c>
      <c r="I755">
        <v>28.200640892819099</v>
      </c>
      <c r="J755">
        <v>210</v>
      </c>
      <c r="K755" t="s">
        <v>2068</v>
      </c>
      <c r="L755" t="s">
        <v>2068</v>
      </c>
      <c r="M755" t="s">
        <v>2068</v>
      </c>
      <c r="N755" t="s">
        <v>2068</v>
      </c>
      <c r="O755" t="s">
        <v>2069</v>
      </c>
      <c r="P755" t="s">
        <v>2069</v>
      </c>
      <c r="Q755" t="s">
        <v>2068</v>
      </c>
      <c r="R755" t="s">
        <v>3452</v>
      </c>
      <c r="T755" t="s">
        <v>2308</v>
      </c>
      <c r="U755" t="s">
        <v>3453</v>
      </c>
    </row>
    <row r="756" spans="1:21" x14ac:dyDescent="0.25">
      <c r="A756" t="s">
        <v>3454</v>
      </c>
      <c r="B756" t="s">
        <v>22</v>
      </c>
      <c r="C756" t="s">
        <v>3455</v>
      </c>
      <c r="D756">
        <f t="shared" si="20"/>
        <v>-6635</v>
      </c>
      <c r="E756" t="s">
        <v>3456</v>
      </c>
      <c r="F756" t="s">
        <v>2049</v>
      </c>
      <c r="G756" t="s">
        <v>2050</v>
      </c>
      <c r="H756">
        <v>113.85114523145999</v>
      </c>
      <c r="I756">
        <v>34.024556882538697</v>
      </c>
      <c r="J756">
        <v>210</v>
      </c>
      <c r="K756" t="s">
        <v>2137</v>
      </c>
      <c r="L756" t="s">
        <v>2137</v>
      </c>
      <c r="M756" t="s">
        <v>2137</v>
      </c>
      <c r="N756" t="s">
        <v>2137</v>
      </c>
      <c r="O756" t="s">
        <v>27</v>
      </c>
      <c r="P756" t="s">
        <v>27</v>
      </c>
      <c r="Q756" t="s">
        <v>2137</v>
      </c>
      <c r="R756" t="s">
        <v>3457</v>
      </c>
      <c r="T756" t="s">
        <v>2139</v>
      </c>
      <c r="U756" t="s">
        <v>3458</v>
      </c>
    </row>
    <row r="757" spans="1:21" x14ac:dyDescent="0.25">
      <c r="A757" t="s">
        <v>3459</v>
      </c>
      <c r="B757" t="s">
        <v>38</v>
      </c>
      <c r="C757" t="s">
        <v>2524</v>
      </c>
      <c r="D757">
        <f>400-821-5500</f>
        <v>-5921</v>
      </c>
      <c r="E757" t="s">
        <v>2402</v>
      </c>
      <c r="F757" t="s">
        <v>2049</v>
      </c>
      <c r="G757" t="s">
        <v>2050</v>
      </c>
      <c r="H757">
        <v>104.010626</v>
      </c>
      <c r="I757">
        <v>30.626518000000001</v>
      </c>
      <c r="J757">
        <v>210</v>
      </c>
      <c r="K757" t="s">
        <v>27</v>
      </c>
      <c r="L757" t="s">
        <v>27</v>
      </c>
      <c r="M757" t="s">
        <v>27</v>
      </c>
      <c r="N757" t="s">
        <v>27</v>
      </c>
      <c r="O757" t="s">
        <v>77</v>
      </c>
      <c r="P757" t="s">
        <v>77</v>
      </c>
      <c r="Q757" t="s">
        <v>77</v>
      </c>
      <c r="R757" t="s">
        <v>3460</v>
      </c>
      <c r="T757" t="s">
        <v>2150</v>
      </c>
      <c r="U757" t="s">
        <v>3461</v>
      </c>
    </row>
    <row r="758" spans="1:21" x14ac:dyDescent="0.25">
      <c r="A758" t="s">
        <v>3462</v>
      </c>
      <c r="B758" t="s">
        <v>38</v>
      </c>
      <c r="C758" t="s">
        <v>3463</v>
      </c>
      <c r="D758">
        <f t="shared" ref="D758:D765" si="21">86-400-821-5500</f>
        <v>-6635</v>
      </c>
      <c r="E758" t="s">
        <v>3464</v>
      </c>
      <c r="F758" t="s">
        <v>2049</v>
      </c>
      <c r="G758" t="s">
        <v>2050</v>
      </c>
      <c r="H758">
        <v>118.800044</v>
      </c>
      <c r="I758">
        <v>34.105074999999999</v>
      </c>
      <c r="J758">
        <v>210</v>
      </c>
      <c r="K758" t="s">
        <v>2137</v>
      </c>
      <c r="L758" t="s">
        <v>2137</v>
      </c>
      <c r="M758" t="s">
        <v>2137</v>
      </c>
      <c r="N758" t="s">
        <v>2137</v>
      </c>
      <c r="O758" t="s">
        <v>27</v>
      </c>
      <c r="P758" t="s">
        <v>27</v>
      </c>
      <c r="Q758" t="s">
        <v>2137</v>
      </c>
      <c r="R758" t="s">
        <v>3465</v>
      </c>
      <c r="T758" t="s">
        <v>2063</v>
      </c>
      <c r="U758" t="s">
        <v>3466</v>
      </c>
    </row>
    <row r="759" spans="1:21" x14ac:dyDescent="0.25">
      <c r="A759" t="s">
        <v>3467</v>
      </c>
      <c r="B759" t="s">
        <v>22</v>
      </c>
      <c r="C759" t="s">
        <v>3468</v>
      </c>
      <c r="D759">
        <f t="shared" si="21"/>
        <v>-6635</v>
      </c>
      <c r="E759" t="s">
        <v>3469</v>
      </c>
      <c r="F759" t="s">
        <v>2049</v>
      </c>
      <c r="G759" t="s">
        <v>2050</v>
      </c>
      <c r="H759">
        <v>110.0073254</v>
      </c>
      <c r="I759">
        <v>39.819985199999998</v>
      </c>
      <c r="J759">
        <v>210</v>
      </c>
      <c r="K759" t="s">
        <v>536</v>
      </c>
      <c r="L759" t="s">
        <v>536</v>
      </c>
      <c r="M759" t="s">
        <v>536</v>
      </c>
      <c r="N759" t="s">
        <v>536</v>
      </c>
      <c r="O759" t="s">
        <v>536</v>
      </c>
      <c r="P759" t="s">
        <v>536</v>
      </c>
      <c r="Q759" t="s">
        <v>536</v>
      </c>
      <c r="R759" t="s">
        <v>3470</v>
      </c>
      <c r="T759" t="s">
        <v>2275</v>
      </c>
      <c r="U759" t="s">
        <v>3471</v>
      </c>
    </row>
    <row r="760" spans="1:21" x14ac:dyDescent="0.25">
      <c r="A760" t="s">
        <v>3472</v>
      </c>
      <c r="B760" t="s">
        <v>38</v>
      </c>
      <c r="C760" t="s">
        <v>2272</v>
      </c>
      <c r="D760">
        <f t="shared" si="21"/>
        <v>-6635</v>
      </c>
      <c r="E760" t="s">
        <v>2503</v>
      </c>
      <c r="F760" t="s">
        <v>2049</v>
      </c>
      <c r="G760" t="s">
        <v>2050</v>
      </c>
      <c r="H760">
        <v>119.12946220345999</v>
      </c>
      <c r="I760">
        <v>36.7173013450792</v>
      </c>
      <c r="J760">
        <v>210</v>
      </c>
      <c r="K760" t="s">
        <v>2069</v>
      </c>
      <c r="L760" t="s">
        <v>2069</v>
      </c>
      <c r="M760" t="s">
        <v>2069</v>
      </c>
      <c r="N760" t="s">
        <v>2069</v>
      </c>
      <c r="O760" t="s">
        <v>2069</v>
      </c>
      <c r="P760" t="s">
        <v>2069</v>
      </c>
      <c r="Q760" t="s">
        <v>2069</v>
      </c>
      <c r="R760" t="s">
        <v>3473</v>
      </c>
      <c r="T760" t="s">
        <v>2071</v>
      </c>
      <c r="U760" t="s">
        <v>3474</v>
      </c>
    </row>
    <row r="761" spans="1:21" x14ac:dyDescent="0.25">
      <c r="A761" t="s">
        <v>3475</v>
      </c>
      <c r="B761" t="s">
        <v>22</v>
      </c>
      <c r="C761" t="s">
        <v>3476</v>
      </c>
      <c r="D761">
        <f t="shared" si="21"/>
        <v>-6635</v>
      </c>
      <c r="E761" t="s">
        <v>2198</v>
      </c>
      <c r="F761" t="s">
        <v>2049</v>
      </c>
      <c r="G761" t="s">
        <v>2050</v>
      </c>
      <c r="H761">
        <v>113.156293029078</v>
      </c>
      <c r="I761">
        <v>23.044854618838901</v>
      </c>
      <c r="J761">
        <v>210</v>
      </c>
      <c r="K761" t="s">
        <v>27</v>
      </c>
      <c r="L761" t="s">
        <v>27</v>
      </c>
      <c r="M761" t="s">
        <v>27</v>
      </c>
      <c r="N761" t="s">
        <v>27</v>
      </c>
      <c r="O761" t="s">
        <v>27</v>
      </c>
      <c r="P761" t="s">
        <v>27</v>
      </c>
      <c r="Q761" t="s">
        <v>27</v>
      </c>
      <c r="R761" t="s">
        <v>3477</v>
      </c>
      <c r="T761" t="s">
        <v>2095</v>
      </c>
      <c r="U761" t="s">
        <v>3478</v>
      </c>
    </row>
    <row r="762" spans="1:21" x14ac:dyDescent="0.25">
      <c r="A762" t="s">
        <v>3479</v>
      </c>
      <c r="B762" t="s">
        <v>22</v>
      </c>
      <c r="C762" t="s">
        <v>3480</v>
      </c>
      <c r="D762">
        <f t="shared" si="21"/>
        <v>-6635</v>
      </c>
      <c r="E762" t="s">
        <v>3074</v>
      </c>
      <c r="F762" t="s">
        <v>2049</v>
      </c>
      <c r="G762" t="s">
        <v>2050</v>
      </c>
      <c r="H762">
        <v>120.66302766560599</v>
      </c>
      <c r="I762">
        <v>28.010441130755801</v>
      </c>
      <c r="J762">
        <v>210</v>
      </c>
      <c r="K762" t="s">
        <v>27</v>
      </c>
      <c r="L762" t="s">
        <v>27</v>
      </c>
      <c r="M762" t="s">
        <v>27</v>
      </c>
      <c r="N762" t="s">
        <v>27</v>
      </c>
      <c r="O762" t="s">
        <v>27</v>
      </c>
      <c r="P762" t="s">
        <v>27</v>
      </c>
      <c r="Q762" t="s">
        <v>27</v>
      </c>
      <c r="R762" t="s">
        <v>3481</v>
      </c>
      <c r="T762" t="s">
        <v>2052</v>
      </c>
      <c r="U762" t="s">
        <v>3482</v>
      </c>
    </row>
    <row r="763" spans="1:21" x14ac:dyDescent="0.25">
      <c r="A763" t="s">
        <v>3483</v>
      </c>
      <c r="B763" t="s">
        <v>38</v>
      </c>
      <c r="C763" t="s">
        <v>3484</v>
      </c>
      <c r="D763">
        <f t="shared" si="21"/>
        <v>-6635</v>
      </c>
      <c r="E763" t="s">
        <v>3485</v>
      </c>
      <c r="F763" t="s">
        <v>2049</v>
      </c>
      <c r="G763" t="s">
        <v>2050</v>
      </c>
      <c r="H763">
        <v>107.241862873046</v>
      </c>
      <c r="I763">
        <v>34.345185861908703</v>
      </c>
      <c r="J763">
        <v>210</v>
      </c>
      <c r="K763" t="s">
        <v>2137</v>
      </c>
      <c r="L763" t="s">
        <v>2137</v>
      </c>
      <c r="M763" t="s">
        <v>2137</v>
      </c>
      <c r="N763" t="s">
        <v>2137</v>
      </c>
      <c r="O763" t="s">
        <v>2137</v>
      </c>
      <c r="P763" t="s">
        <v>2137</v>
      </c>
      <c r="Q763" t="s">
        <v>2137</v>
      </c>
      <c r="R763" t="s">
        <v>3486</v>
      </c>
      <c r="T763" t="s">
        <v>2269</v>
      </c>
      <c r="U763" t="s">
        <v>3487</v>
      </c>
    </row>
    <row r="764" spans="1:21" x14ac:dyDescent="0.25">
      <c r="A764" t="s">
        <v>3488</v>
      </c>
      <c r="B764" t="s">
        <v>38</v>
      </c>
      <c r="C764" t="s">
        <v>3489</v>
      </c>
      <c r="D764">
        <f t="shared" si="21"/>
        <v>-6635</v>
      </c>
      <c r="E764" t="s">
        <v>2087</v>
      </c>
      <c r="F764" t="s">
        <v>2049</v>
      </c>
      <c r="G764" t="s">
        <v>2050</v>
      </c>
      <c r="H764">
        <v>116.32119953109699</v>
      </c>
      <c r="I764">
        <v>39.687024737558097</v>
      </c>
      <c r="J764">
        <v>210</v>
      </c>
      <c r="K764" t="s">
        <v>2137</v>
      </c>
      <c r="L764" t="s">
        <v>2137</v>
      </c>
      <c r="M764" t="s">
        <v>2137</v>
      </c>
      <c r="N764" t="s">
        <v>2137</v>
      </c>
      <c r="O764" t="s">
        <v>27</v>
      </c>
      <c r="P764" t="s">
        <v>27</v>
      </c>
      <c r="Q764" t="s">
        <v>27</v>
      </c>
      <c r="R764" t="s">
        <v>3490</v>
      </c>
      <c r="T764" t="s">
        <v>2089</v>
      </c>
      <c r="U764" t="s">
        <v>3491</v>
      </c>
    </row>
    <row r="765" spans="1:21" x14ac:dyDescent="0.25">
      <c r="A765" t="s">
        <v>3492</v>
      </c>
      <c r="B765" t="s">
        <v>22</v>
      </c>
      <c r="C765" t="s">
        <v>3493</v>
      </c>
      <c r="D765">
        <f t="shared" si="21"/>
        <v>-6635</v>
      </c>
      <c r="E765" t="s">
        <v>2312</v>
      </c>
      <c r="F765" t="s">
        <v>2049</v>
      </c>
      <c r="G765" t="s">
        <v>2050</v>
      </c>
      <c r="H765">
        <v>120.167291087927</v>
      </c>
      <c r="I765">
        <v>30.1867444945584</v>
      </c>
      <c r="J765">
        <v>210</v>
      </c>
      <c r="K765" t="s">
        <v>27</v>
      </c>
      <c r="L765" t="s">
        <v>27</v>
      </c>
      <c r="M765" t="s">
        <v>27</v>
      </c>
      <c r="N765" t="s">
        <v>27</v>
      </c>
      <c r="O765" t="s">
        <v>77</v>
      </c>
      <c r="P765" t="s">
        <v>77</v>
      </c>
      <c r="Q765" t="s">
        <v>27</v>
      </c>
      <c r="R765" t="s">
        <v>3494</v>
      </c>
      <c r="T765" t="s">
        <v>2052</v>
      </c>
      <c r="U765" t="s">
        <v>3495</v>
      </c>
    </row>
    <row r="766" spans="1:21" x14ac:dyDescent="0.25">
      <c r="A766" t="s">
        <v>3496</v>
      </c>
      <c r="B766" t="s">
        <v>38</v>
      </c>
      <c r="C766" t="s">
        <v>3497</v>
      </c>
      <c r="D766">
        <f>400-821-5500</f>
        <v>-5921</v>
      </c>
      <c r="E766" t="s">
        <v>3498</v>
      </c>
      <c r="F766" t="s">
        <v>2049</v>
      </c>
      <c r="G766" t="s">
        <v>2050</v>
      </c>
      <c r="H766">
        <v>111.97157</v>
      </c>
      <c r="I766">
        <v>21.860510999999999</v>
      </c>
      <c r="J766">
        <v>210</v>
      </c>
      <c r="K766" t="s">
        <v>27</v>
      </c>
      <c r="L766" t="s">
        <v>27</v>
      </c>
      <c r="M766" t="s">
        <v>27</v>
      </c>
      <c r="N766" t="s">
        <v>27</v>
      </c>
      <c r="O766" t="s">
        <v>27</v>
      </c>
      <c r="P766" t="s">
        <v>27</v>
      </c>
      <c r="Q766" t="s">
        <v>27</v>
      </c>
      <c r="R766" t="s">
        <v>3499</v>
      </c>
      <c r="T766" t="s">
        <v>2095</v>
      </c>
      <c r="U766" t="s">
        <v>3500</v>
      </c>
    </row>
    <row r="767" spans="1:21" x14ac:dyDescent="0.25">
      <c r="A767" t="s">
        <v>3501</v>
      </c>
      <c r="B767" t="s">
        <v>22</v>
      </c>
      <c r="C767" t="s">
        <v>3502</v>
      </c>
      <c r="D767">
        <f>86-400-821-5500</f>
        <v>-6635</v>
      </c>
      <c r="E767" t="s">
        <v>3503</v>
      </c>
      <c r="F767" t="s">
        <v>2049</v>
      </c>
      <c r="G767" t="s">
        <v>2050</v>
      </c>
      <c r="H767">
        <v>121.377426</v>
      </c>
      <c r="I767">
        <v>28.579360000000001</v>
      </c>
      <c r="J767">
        <v>210</v>
      </c>
      <c r="K767" t="s">
        <v>27</v>
      </c>
      <c r="L767" t="s">
        <v>27</v>
      </c>
      <c r="M767" t="s">
        <v>27</v>
      </c>
      <c r="N767" t="s">
        <v>27</v>
      </c>
      <c r="O767" t="s">
        <v>77</v>
      </c>
      <c r="P767" t="s">
        <v>77</v>
      </c>
      <c r="Q767" t="s">
        <v>27</v>
      </c>
      <c r="R767" t="s">
        <v>3504</v>
      </c>
      <c r="T767" t="s">
        <v>2052</v>
      </c>
      <c r="U767" t="s">
        <v>3505</v>
      </c>
    </row>
    <row r="768" spans="1:21" x14ac:dyDescent="0.25">
      <c r="A768" t="s">
        <v>3506</v>
      </c>
      <c r="B768" t="s">
        <v>22</v>
      </c>
      <c r="C768" t="s">
        <v>2623</v>
      </c>
      <c r="D768">
        <f>86-400-821-5500</f>
        <v>-6635</v>
      </c>
      <c r="E768" t="s">
        <v>2170</v>
      </c>
      <c r="F768" t="s">
        <v>2049</v>
      </c>
      <c r="G768" t="s">
        <v>2050</v>
      </c>
      <c r="H768">
        <v>117.286900564758</v>
      </c>
      <c r="I768">
        <v>31.740572484491999</v>
      </c>
      <c r="J768">
        <v>210</v>
      </c>
      <c r="K768" t="s">
        <v>2137</v>
      </c>
      <c r="L768" t="s">
        <v>2137</v>
      </c>
      <c r="M768" t="s">
        <v>2137</v>
      </c>
      <c r="N768" t="s">
        <v>2137</v>
      </c>
      <c r="O768" t="s">
        <v>27</v>
      </c>
      <c r="P768" t="s">
        <v>27</v>
      </c>
      <c r="Q768" t="s">
        <v>2137</v>
      </c>
      <c r="R768" t="s">
        <v>3507</v>
      </c>
      <c r="T768" t="s">
        <v>2172</v>
      </c>
      <c r="U768" t="s">
        <v>3508</v>
      </c>
    </row>
    <row r="769" spans="1:21" x14ac:dyDescent="0.25">
      <c r="A769" t="s">
        <v>3509</v>
      </c>
      <c r="B769" t="s">
        <v>22</v>
      </c>
      <c r="C769" t="s">
        <v>2086</v>
      </c>
      <c r="D769">
        <f>86-400-821-5500</f>
        <v>-6635</v>
      </c>
      <c r="E769" t="s">
        <v>2439</v>
      </c>
      <c r="F769" t="s">
        <v>2049</v>
      </c>
      <c r="G769" t="s">
        <v>2050</v>
      </c>
      <c r="H769">
        <v>108.830697956848</v>
      </c>
      <c r="I769">
        <v>34.289817328624203</v>
      </c>
      <c r="J769">
        <v>210</v>
      </c>
      <c r="K769" t="s">
        <v>27</v>
      </c>
      <c r="L769" t="s">
        <v>27</v>
      </c>
      <c r="M769" t="s">
        <v>27</v>
      </c>
      <c r="N769" t="s">
        <v>27</v>
      </c>
      <c r="O769" t="s">
        <v>27</v>
      </c>
      <c r="P769" t="s">
        <v>27</v>
      </c>
      <c r="Q769" t="s">
        <v>27</v>
      </c>
      <c r="R769" t="s">
        <v>3510</v>
      </c>
      <c r="T769" t="s">
        <v>2269</v>
      </c>
      <c r="U769" t="s">
        <v>3511</v>
      </c>
    </row>
    <row r="770" spans="1:21" x14ac:dyDescent="0.25">
      <c r="A770" t="s">
        <v>3512</v>
      </c>
      <c r="B770" t="s">
        <v>22</v>
      </c>
      <c r="C770" t="s">
        <v>3513</v>
      </c>
      <c r="D770">
        <f>86-400-821-5500</f>
        <v>-6635</v>
      </c>
      <c r="E770" t="s">
        <v>2093</v>
      </c>
      <c r="F770" t="s">
        <v>2049</v>
      </c>
      <c r="G770" t="s">
        <v>2050</v>
      </c>
      <c r="H770">
        <v>113.31358496353199</v>
      </c>
      <c r="I770">
        <v>23.0857624932401</v>
      </c>
      <c r="J770">
        <v>210</v>
      </c>
      <c r="K770" t="s">
        <v>27</v>
      </c>
      <c r="L770" t="s">
        <v>27</v>
      </c>
      <c r="M770" t="s">
        <v>27</v>
      </c>
      <c r="N770" t="s">
        <v>27</v>
      </c>
      <c r="O770" t="s">
        <v>27</v>
      </c>
      <c r="P770" t="s">
        <v>27</v>
      </c>
      <c r="Q770" t="s">
        <v>27</v>
      </c>
      <c r="R770" t="s">
        <v>3514</v>
      </c>
      <c r="T770" t="s">
        <v>2095</v>
      </c>
      <c r="U770" t="s">
        <v>3515</v>
      </c>
    </row>
    <row r="771" spans="1:21" x14ac:dyDescent="0.25">
      <c r="A771" t="s">
        <v>3516</v>
      </c>
      <c r="B771" t="s">
        <v>22</v>
      </c>
      <c r="C771" t="s">
        <v>3517</v>
      </c>
      <c r="D771">
        <f>400-821-5500</f>
        <v>-5921</v>
      </c>
      <c r="E771" t="s">
        <v>3518</v>
      </c>
      <c r="F771" t="s">
        <v>2049</v>
      </c>
      <c r="G771" t="s">
        <v>2050</v>
      </c>
      <c r="H771">
        <v>104.387675899999</v>
      </c>
      <c r="I771">
        <v>31.121465700000002</v>
      </c>
      <c r="J771">
        <v>210</v>
      </c>
      <c r="K771" t="s">
        <v>2069</v>
      </c>
      <c r="L771" t="s">
        <v>2069</v>
      </c>
      <c r="M771" t="s">
        <v>2069</v>
      </c>
      <c r="N771" t="s">
        <v>2069</v>
      </c>
      <c r="O771" t="s">
        <v>2069</v>
      </c>
      <c r="P771" t="s">
        <v>2069</v>
      </c>
      <c r="Q771" t="s">
        <v>2069</v>
      </c>
      <c r="R771" t="s">
        <v>3519</v>
      </c>
      <c r="T771" t="s">
        <v>2150</v>
      </c>
      <c r="U771" t="s">
        <v>3520</v>
      </c>
    </row>
    <row r="772" spans="1:21" x14ac:dyDescent="0.25">
      <c r="A772" t="s">
        <v>3521</v>
      </c>
      <c r="B772" t="s">
        <v>38</v>
      </c>
      <c r="C772" t="s">
        <v>3522</v>
      </c>
      <c r="D772">
        <f>86-400-821-5500</f>
        <v>-6635</v>
      </c>
      <c r="E772" t="s">
        <v>2306</v>
      </c>
      <c r="F772" t="s">
        <v>2049</v>
      </c>
      <c r="G772" t="s">
        <v>2050</v>
      </c>
      <c r="H772">
        <v>112.904444250292</v>
      </c>
      <c r="I772">
        <v>28.188855942522501</v>
      </c>
      <c r="J772">
        <v>210</v>
      </c>
      <c r="K772" t="s">
        <v>77</v>
      </c>
      <c r="L772" t="s">
        <v>77</v>
      </c>
      <c r="M772" t="s">
        <v>77</v>
      </c>
      <c r="N772" t="s">
        <v>77</v>
      </c>
      <c r="O772" t="s">
        <v>77</v>
      </c>
      <c r="P772" t="s">
        <v>77</v>
      </c>
      <c r="Q772" t="s">
        <v>77</v>
      </c>
      <c r="R772" t="s">
        <v>3523</v>
      </c>
      <c r="T772" t="s">
        <v>2308</v>
      </c>
      <c r="U772" t="s">
        <v>3524</v>
      </c>
    </row>
    <row r="773" spans="1:21" x14ac:dyDescent="0.25">
      <c r="A773" t="s">
        <v>3525</v>
      </c>
      <c r="B773" t="s">
        <v>38</v>
      </c>
      <c r="C773" t="s">
        <v>3526</v>
      </c>
      <c r="E773" t="s">
        <v>2306</v>
      </c>
      <c r="F773" t="s">
        <v>2049</v>
      </c>
      <c r="G773" t="s">
        <v>2050</v>
      </c>
      <c r="H773">
        <v>112.988595799316</v>
      </c>
      <c r="I773">
        <v>28.067843919440499</v>
      </c>
      <c r="J773">
        <v>210</v>
      </c>
      <c r="K773" t="s">
        <v>27</v>
      </c>
      <c r="L773" t="s">
        <v>27</v>
      </c>
      <c r="M773" t="s">
        <v>27</v>
      </c>
      <c r="N773" t="s">
        <v>27</v>
      </c>
      <c r="O773" t="s">
        <v>27</v>
      </c>
      <c r="P773" t="s">
        <v>27</v>
      </c>
      <c r="Q773" t="s">
        <v>27</v>
      </c>
      <c r="R773" t="s">
        <v>3527</v>
      </c>
      <c r="T773" t="s">
        <v>2308</v>
      </c>
      <c r="U773" t="s">
        <v>3528</v>
      </c>
    </row>
    <row r="774" spans="1:21" x14ac:dyDescent="0.25">
      <c r="A774" t="s">
        <v>3529</v>
      </c>
      <c r="B774" t="s">
        <v>38</v>
      </c>
      <c r="C774" t="s">
        <v>3530</v>
      </c>
      <c r="E774" t="s">
        <v>2618</v>
      </c>
      <c r="F774" t="s">
        <v>2049</v>
      </c>
      <c r="G774" t="s">
        <v>2050</v>
      </c>
      <c r="H774">
        <v>115.89555652421799</v>
      </c>
      <c r="I774">
        <v>28.587264167567501</v>
      </c>
      <c r="J774">
        <v>210</v>
      </c>
      <c r="K774" t="s">
        <v>27</v>
      </c>
      <c r="L774" t="s">
        <v>27</v>
      </c>
      <c r="M774" t="s">
        <v>27</v>
      </c>
      <c r="N774" t="s">
        <v>27</v>
      </c>
      <c r="O774" t="s">
        <v>27</v>
      </c>
      <c r="P774" t="s">
        <v>27</v>
      </c>
      <c r="Q774" t="s">
        <v>27</v>
      </c>
      <c r="R774" t="s">
        <v>3531</v>
      </c>
      <c r="T774" t="s">
        <v>2620</v>
      </c>
      <c r="U774" t="s">
        <v>3532</v>
      </c>
    </row>
    <row r="775" spans="1:21" x14ac:dyDescent="0.25">
      <c r="A775" t="s">
        <v>3533</v>
      </c>
      <c r="B775" t="s">
        <v>38</v>
      </c>
      <c r="C775" t="s">
        <v>3534</v>
      </c>
      <c r="D775">
        <f>86-400-821-5500</f>
        <v>-6635</v>
      </c>
      <c r="E775" t="s">
        <v>3535</v>
      </c>
      <c r="F775" t="s">
        <v>2049</v>
      </c>
      <c r="G775" t="s">
        <v>2050</v>
      </c>
      <c r="H775">
        <v>113.597522</v>
      </c>
      <c r="I775">
        <v>24.810403000000001</v>
      </c>
      <c r="J775">
        <v>210</v>
      </c>
      <c r="R775" t="s">
        <v>3534</v>
      </c>
      <c r="S775" t="s">
        <v>3535</v>
      </c>
      <c r="T775" t="s">
        <v>2095</v>
      </c>
      <c r="U775" t="s">
        <v>3536</v>
      </c>
    </row>
    <row r="776" spans="1:21" x14ac:dyDescent="0.25">
      <c r="A776" t="s">
        <v>3537</v>
      </c>
      <c r="B776" t="s">
        <v>22</v>
      </c>
      <c r="C776" t="s">
        <v>3538</v>
      </c>
      <c r="D776">
        <f>86-400-821-5500</f>
        <v>-6635</v>
      </c>
      <c r="E776" t="s">
        <v>2218</v>
      </c>
      <c r="F776" t="s">
        <v>2049</v>
      </c>
      <c r="G776" t="s">
        <v>2050</v>
      </c>
      <c r="H776">
        <v>101.706812867187</v>
      </c>
      <c r="I776">
        <v>36.641069929935902</v>
      </c>
      <c r="J776">
        <v>210</v>
      </c>
      <c r="K776" t="s">
        <v>2137</v>
      </c>
      <c r="L776" t="s">
        <v>2137</v>
      </c>
      <c r="M776" t="s">
        <v>2137</v>
      </c>
      <c r="N776" t="s">
        <v>2137</v>
      </c>
      <c r="O776" t="s">
        <v>27</v>
      </c>
      <c r="P776" t="s">
        <v>27</v>
      </c>
      <c r="Q776" t="s">
        <v>2137</v>
      </c>
      <c r="R776" t="s">
        <v>3539</v>
      </c>
      <c r="T776" t="s">
        <v>3285</v>
      </c>
      <c r="U776" t="s">
        <v>3540</v>
      </c>
    </row>
    <row r="777" spans="1:21" x14ac:dyDescent="0.25">
      <c r="A777" t="s">
        <v>3541</v>
      </c>
      <c r="B777" t="s">
        <v>38</v>
      </c>
      <c r="C777" t="s">
        <v>3542</v>
      </c>
      <c r="D777">
        <f>400-821-5500</f>
        <v>-5921</v>
      </c>
      <c r="E777" t="s">
        <v>2116</v>
      </c>
      <c r="F777" t="s">
        <v>2049</v>
      </c>
      <c r="G777" t="s">
        <v>2050</v>
      </c>
      <c r="H777">
        <v>113.85837565206</v>
      </c>
      <c r="I777">
        <v>22.760606272476402</v>
      </c>
      <c r="J777">
        <v>210</v>
      </c>
      <c r="K777" t="s">
        <v>3543</v>
      </c>
      <c r="L777" t="s">
        <v>3543</v>
      </c>
      <c r="M777" t="s">
        <v>3543</v>
      </c>
      <c r="N777" t="s">
        <v>3543</v>
      </c>
      <c r="O777" t="s">
        <v>3543</v>
      </c>
      <c r="P777" t="s">
        <v>3543</v>
      </c>
      <c r="Q777" t="s">
        <v>3543</v>
      </c>
      <c r="R777" t="s">
        <v>3544</v>
      </c>
      <c r="T777" t="s">
        <v>2095</v>
      </c>
      <c r="U777" t="s">
        <v>3545</v>
      </c>
    </row>
    <row r="778" spans="1:21" x14ac:dyDescent="0.25">
      <c r="A778" t="s">
        <v>3546</v>
      </c>
      <c r="B778" t="s">
        <v>38</v>
      </c>
      <c r="C778" t="s">
        <v>3547</v>
      </c>
      <c r="D778">
        <f>86-400-821-5500</f>
        <v>-6635</v>
      </c>
      <c r="E778" t="s">
        <v>3548</v>
      </c>
      <c r="F778" t="s">
        <v>2049</v>
      </c>
      <c r="G778" t="s">
        <v>2050</v>
      </c>
      <c r="H778">
        <v>122.283999000305</v>
      </c>
      <c r="I778">
        <v>43.629628483589798</v>
      </c>
      <c r="J778">
        <v>210</v>
      </c>
      <c r="K778" t="s">
        <v>2137</v>
      </c>
      <c r="L778" t="s">
        <v>2137</v>
      </c>
      <c r="M778" t="s">
        <v>2137</v>
      </c>
      <c r="N778" t="s">
        <v>2137</v>
      </c>
      <c r="O778" t="s">
        <v>27</v>
      </c>
      <c r="P778" t="s">
        <v>27</v>
      </c>
      <c r="Q778" t="s">
        <v>2137</v>
      </c>
      <c r="R778" t="s">
        <v>3549</v>
      </c>
      <c r="T778" t="s">
        <v>2275</v>
      </c>
      <c r="U778" t="s">
        <v>3550</v>
      </c>
    </row>
    <row r="779" spans="1:21" x14ac:dyDescent="0.25">
      <c r="A779" t="s">
        <v>3551</v>
      </c>
      <c r="B779" t="s">
        <v>22</v>
      </c>
      <c r="C779" t="s">
        <v>2272</v>
      </c>
      <c r="D779">
        <f>86-400-821-5500</f>
        <v>-6635</v>
      </c>
      <c r="E779" t="s">
        <v>2618</v>
      </c>
      <c r="F779" t="s">
        <v>2049</v>
      </c>
      <c r="G779" t="s">
        <v>2050</v>
      </c>
      <c r="H779">
        <v>115.816999269531</v>
      </c>
      <c r="I779">
        <v>28.613745302261002</v>
      </c>
      <c r="J779">
        <v>210</v>
      </c>
      <c r="K779" t="s">
        <v>27</v>
      </c>
      <c r="L779" t="s">
        <v>27</v>
      </c>
      <c r="M779" t="s">
        <v>27</v>
      </c>
      <c r="N779" t="s">
        <v>27</v>
      </c>
      <c r="O779" t="s">
        <v>27</v>
      </c>
      <c r="P779" t="s">
        <v>27</v>
      </c>
      <c r="Q779" t="s">
        <v>27</v>
      </c>
      <c r="R779" t="s">
        <v>3552</v>
      </c>
      <c r="T779" t="s">
        <v>2620</v>
      </c>
      <c r="U779" t="s">
        <v>3553</v>
      </c>
    </row>
    <row r="780" spans="1:21" x14ac:dyDescent="0.25">
      <c r="A780" t="s">
        <v>3554</v>
      </c>
      <c r="B780" t="s">
        <v>38</v>
      </c>
      <c r="C780" t="s">
        <v>3555</v>
      </c>
      <c r="E780" t="s">
        <v>2921</v>
      </c>
      <c r="F780" t="s">
        <v>2049</v>
      </c>
      <c r="G780" t="s">
        <v>2050</v>
      </c>
      <c r="H780">
        <v>113.060267</v>
      </c>
      <c r="I780">
        <v>22.502502</v>
      </c>
      <c r="J780">
        <v>210</v>
      </c>
      <c r="K780" t="s">
        <v>27</v>
      </c>
      <c r="L780" t="s">
        <v>27</v>
      </c>
      <c r="M780" t="s">
        <v>27</v>
      </c>
      <c r="N780" t="s">
        <v>27</v>
      </c>
      <c r="O780" t="s">
        <v>77</v>
      </c>
      <c r="P780" t="s">
        <v>77</v>
      </c>
      <c r="Q780" t="s">
        <v>27</v>
      </c>
      <c r="R780" t="s">
        <v>3556</v>
      </c>
      <c r="T780" t="s">
        <v>2095</v>
      </c>
      <c r="U780" t="s">
        <v>3557</v>
      </c>
    </row>
    <row r="781" spans="1:21" x14ac:dyDescent="0.25">
      <c r="A781" t="s">
        <v>3558</v>
      </c>
      <c r="B781" t="s">
        <v>38</v>
      </c>
      <c r="C781" t="s">
        <v>3559</v>
      </c>
      <c r="E781" t="s">
        <v>3560</v>
      </c>
      <c r="F781" t="s">
        <v>2049</v>
      </c>
      <c r="G781" t="s">
        <v>2050</v>
      </c>
      <c r="H781">
        <v>113.94449756634501</v>
      </c>
      <c r="I781">
        <v>30.930126857739001</v>
      </c>
      <c r="J781">
        <v>210</v>
      </c>
      <c r="K781" t="s">
        <v>2137</v>
      </c>
      <c r="L781" t="s">
        <v>2137</v>
      </c>
      <c r="M781" t="s">
        <v>2137</v>
      </c>
      <c r="N781" t="s">
        <v>2137</v>
      </c>
      <c r="O781" t="s">
        <v>27</v>
      </c>
      <c r="P781" t="s">
        <v>27</v>
      </c>
      <c r="Q781" t="s">
        <v>2137</v>
      </c>
      <c r="R781" t="s">
        <v>3561</v>
      </c>
      <c r="T781" t="s">
        <v>2128</v>
      </c>
      <c r="U781" t="s">
        <v>3562</v>
      </c>
    </row>
    <row r="782" spans="1:21" x14ac:dyDescent="0.25">
      <c r="A782" t="s">
        <v>3563</v>
      </c>
      <c r="B782" t="s">
        <v>22</v>
      </c>
      <c r="C782" t="s">
        <v>3564</v>
      </c>
      <c r="D782">
        <f>86-400-821-5500</f>
        <v>-6635</v>
      </c>
      <c r="E782" t="s">
        <v>2104</v>
      </c>
      <c r="F782" t="s">
        <v>2049</v>
      </c>
      <c r="G782" t="s">
        <v>2050</v>
      </c>
      <c r="H782">
        <v>121.49872064569</v>
      </c>
      <c r="I782">
        <v>31.263547078274701</v>
      </c>
      <c r="J782">
        <v>210</v>
      </c>
      <c r="K782" t="s">
        <v>27</v>
      </c>
      <c r="L782" t="s">
        <v>27</v>
      </c>
      <c r="M782" t="s">
        <v>27</v>
      </c>
      <c r="N782" t="s">
        <v>27</v>
      </c>
      <c r="O782" t="s">
        <v>27</v>
      </c>
      <c r="P782" t="s">
        <v>27</v>
      </c>
      <c r="Q782" t="s">
        <v>27</v>
      </c>
      <c r="R782" t="s">
        <v>3565</v>
      </c>
      <c r="T782" t="s">
        <v>2106</v>
      </c>
      <c r="U782" t="s">
        <v>3566</v>
      </c>
    </row>
    <row r="783" spans="1:21" x14ac:dyDescent="0.25">
      <c r="A783" t="s">
        <v>3567</v>
      </c>
      <c r="B783" t="s">
        <v>38</v>
      </c>
      <c r="C783" t="s">
        <v>3568</v>
      </c>
      <c r="D783">
        <f>86-400-821-5500</f>
        <v>-6635</v>
      </c>
      <c r="E783" t="s">
        <v>2288</v>
      </c>
      <c r="F783" t="s">
        <v>2049</v>
      </c>
      <c r="G783" t="s">
        <v>2050</v>
      </c>
      <c r="H783">
        <v>112.568105074218</v>
      </c>
      <c r="I783">
        <v>37.789307356662398</v>
      </c>
      <c r="J783">
        <v>210</v>
      </c>
      <c r="K783" t="s">
        <v>27</v>
      </c>
      <c r="L783" t="s">
        <v>27</v>
      </c>
      <c r="M783" t="s">
        <v>27</v>
      </c>
      <c r="N783" t="s">
        <v>27</v>
      </c>
      <c r="O783" t="s">
        <v>27</v>
      </c>
      <c r="P783" t="s">
        <v>27</v>
      </c>
      <c r="Q783" t="s">
        <v>27</v>
      </c>
      <c r="R783" t="s">
        <v>3569</v>
      </c>
      <c r="T783" t="s">
        <v>2269</v>
      </c>
      <c r="U783" t="s">
        <v>3570</v>
      </c>
    </row>
    <row r="784" spans="1:21" x14ac:dyDescent="0.25">
      <c r="A784" t="s">
        <v>3571</v>
      </c>
      <c r="B784" t="s">
        <v>38</v>
      </c>
      <c r="C784" t="s">
        <v>2272</v>
      </c>
      <c r="D784">
        <f>86-3525366047</f>
        <v>-3525365961</v>
      </c>
      <c r="E784" t="s">
        <v>3572</v>
      </c>
      <c r="F784" t="s">
        <v>2049</v>
      </c>
      <c r="G784" t="s">
        <v>2050</v>
      </c>
      <c r="H784">
        <v>113.30210310583399</v>
      </c>
      <c r="I784">
        <v>40.063938524998797</v>
      </c>
      <c r="J784">
        <v>210</v>
      </c>
      <c r="K784" t="s">
        <v>27</v>
      </c>
      <c r="L784" t="s">
        <v>27</v>
      </c>
      <c r="M784" t="s">
        <v>27</v>
      </c>
      <c r="N784" t="s">
        <v>27</v>
      </c>
      <c r="O784" t="s">
        <v>27</v>
      </c>
      <c r="P784" t="s">
        <v>27</v>
      </c>
      <c r="Q784" t="s">
        <v>27</v>
      </c>
      <c r="R784" t="s">
        <v>3573</v>
      </c>
      <c r="T784" t="s">
        <v>2441</v>
      </c>
      <c r="U784" t="s">
        <v>3574</v>
      </c>
    </row>
    <row r="785" spans="1:21" x14ac:dyDescent="0.25">
      <c r="A785" t="s">
        <v>3575</v>
      </c>
      <c r="B785" t="s">
        <v>22</v>
      </c>
      <c r="C785" t="s">
        <v>3576</v>
      </c>
      <c r="D785">
        <f>86-400-821-5500</f>
        <v>-6635</v>
      </c>
      <c r="E785" t="s">
        <v>2998</v>
      </c>
      <c r="F785" t="s">
        <v>2049</v>
      </c>
      <c r="G785" t="s">
        <v>2050</v>
      </c>
      <c r="H785">
        <v>129.59257108435</v>
      </c>
      <c r="I785">
        <v>44.567370158166703</v>
      </c>
      <c r="J785">
        <v>210</v>
      </c>
      <c r="K785" t="s">
        <v>3543</v>
      </c>
      <c r="L785" t="s">
        <v>3543</v>
      </c>
      <c r="M785" t="s">
        <v>3543</v>
      </c>
      <c r="N785" t="s">
        <v>3543</v>
      </c>
      <c r="O785" t="s">
        <v>3543</v>
      </c>
      <c r="P785" t="s">
        <v>3543</v>
      </c>
      <c r="Q785" t="s">
        <v>3543</v>
      </c>
      <c r="R785" t="s">
        <v>3577</v>
      </c>
      <c r="T785" t="s">
        <v>2071</v>
      </c>
      <c r="U785" t="s">
        <v>3578</v>
      </c>
    </row>
    <row r="786" spans="1:21" x14ac:dyDescent="0.25">
      <c r="A786" t="s">
        <v>3579</v>
      </c>
      <c r="B786" t="s">
        <v>22</v>
      </c>
      <c r="C786" t="s">
        <v>3580</v>
      </c>
      <c r="D786">
        <f>86-400-821-5500</f>
        <v>-6635</v>
      </c>
      <c r="E786" t="s">
        <v>2297</v>
      </c>
      <c r="F786" t="s">
        <v>2049</v>
      </c>
      <c r="G786" t="s">
        <v>2050</v>
      </c>
      <c r="H786">
        <v>119.974062</v>
      </c>
      <c r="I786">
        <v>31.811226000000001</v>
      </c>
      <c r="J786">
        <v>210</v>
      </c>
      <c r="K786" t="s">
        <v>27</v>
      </c>
      <c r="L786" t="s">
        <v>27</v>
      </c>
      <c r="M786" t="s">
        <v>27</v>
      </c>
      <c r="N786" t="s">
        <v>27</v>
      </c>
      <c r="O786" t="s">
        <v>27</v>
      </c>
      <c r="P786" t="s">
        <v>27</v>
      </c>
      <c r="Q786" t="s">
        <v>27</v>
      </c>
      <c r="R786" t="s">
        <v>3581</v>
      </c>
      <c r="T786" t="s">
        <v>2063</v>
      </c>
      <c r="U786" t="s">
        <v>3582</v>
      </c>
    </row>
    <row r="787" spans="1:21" x14ac:dyDescent="0.25">
      <c r="A787" t="s">
        <v>3583</v>
      </c>
      <c r="B787" t="s">
        <v>38</v>
      </c>
      <c r="C787" t="s">
        <v>3584</v>
      </c>
      <c r="D787">
        <f>86-25-86653716</f>
        <v>-86653655</v>
      </c>
      <c r="E787" t="s">
        <v>2160</v>
      </c>
      <c r="F787" t="s">
        <v>2049</v>
      </c>
      <c r="G787" t="s">
        <v>2050</v>
      </c>
      <c r="H787">
        <v>118.811983201171</v>
      </c>
      <c r="I787">
        <v>32.086583335455302</v>
      </c>
      <c r="J787">
        <v>210</v>
      </c>
      <c r="K787" t="s">
        <v>2137</v>
      </c>
      <c r="L787" t="s">
        <v>2137</v>
      </c>
      <c r="M787" t="s">
        <v>2137</v>
      </c>
      <c r="N787" t="s">
        <v>2137</v>
      </c>
      <c r="O787" t="s">
        <v>27</v>
      </c>
      <c r="P787" t="s">
        <v>27</v>
      </c>
      <c r="Q787" t="s">
        <v>2137</v>
      </c>
      <c r="R787" t="s">
        <v>3585</v>
      </c>
      <c r="T787" t="s">
        <v>2063</v>
      </c>
      <c r="U787" t="s">
        <v>3586</v>
      </c>
    </row>
    <row r="788" spans="1:21" x14ac:dyDescent="0.25">
      <c r="A788" t="s">
        <v>3587</v>
      </c>
      <c r="B788" t="s">
        <v>22</v>
      </c>
      <c r="C788" t="s">
        <v>3588</v>
      </c>
      <c r="D788">
        <f>400-821-5500</f>
        <v>-5921</v>
      </c>
      <c r="E788" t="s">
        <v>2483</v>
      </c>
      <c r="F788" t="s">
        <v>2049</v>
      </c>
      <c r="G788" t="s">
        <v>2050</v>
      </c>
      <c r="H788">
        <v>118.12065</v>
      </c>
      <c r="I788">
        <v>24.473566000000002</v>
      </c>
      <c r="J788">
        <v>210</v>
      </c>
      <c r="K788" t="s">
        <v>3589</v>
      </c>
      <c r="L788" t="s">
        <v>3589</v>
      </c>
      <c r="M788" t="s">
        <v>3589</v>
      </c>
      <c r="N788" t="s">
        <v>3589</v>
      </c>
      <c r="O788" t="s">
        <v>3590</v>
      </c>
      <c r="P788" t="s">
        <v>3590</v>
      </c>
      <c r="Q788" t="s">
        <v>3589</v>
      </c>
      <c r="R788" t="s">
        <v>3591</v>
      </c>
      <c r="T788" t="s">
        <v>2209</v>
      </c>
      <c r="U788" t="s">
        <v>3592</v>
      </c>
    </row>
    <row r="789" spans="1:21" x14ac:dyDescent="0.25">
      <c r="A789" t="s">
        <v>3593</v>
      </c>
      <c r="B789" t="s">
        <v>38</v>
      </c>
      <c r="C789" t="s">
        <v>3594</v>
      </c>
      <c r="E789" t="s">
        <v>3595</v>
      </c>
      <c r="F789" t="s">
        <v>2049</v>
      </c>
      <c r="G789" t="s">
        <v>2050</v>
      </c>
      <c r="H789">
        <v>103.79146519499</v>
      </c>
      <c r="I789">
        <v>25.491212880006898</v>
      </c>
      <c r="J789">
        <v>210</v>
      </c>
      <c r="K789" t="s">
        <v>27</v>
      </c>
      <c r="L789" t="s">
        <v>27</v>
      </c>
      <c r="M789" t="s">
        <v>27</v>
      </c>
      <c r="N789" t="s">
        <v>27</v>
      </c>
      <c r="O789" t="s">
        <v>77</v>
      </c>
      <c r="P789" t="s">
        <v>77</v>
      </c>
      <c r="Q789" t="s">
        <v>27</v>
      </c>
      <c r="R789" t="s">
        <v>3596</v>
      </c>
      <c r="T789" t="s">
        <v>2077</v>
      </c>
      <c r="U789" t="s">
        <v>3597</v>
      </c>
    </row>
    <row r="790" spans="1:21" x14ac:dyDescent="0.25">
      <c r="A790" t="s">
        <v>3598</v>
      </c>
      <c r="B790" t="s">
        <v>22</v>
      </c>
      <c r="C790" t="s">
        <v>3599</v>
      </c>
      <c r="D790">
        <f>86-551-62615778</f>
        <v>-62616243</v>
      </c>
      <c r="E790" t="s">
        <v>2170</v>
      </c>
      <c r="F790" t="s">
        <v>2049</v>
      </c>
      <c r="G790" t="s">
        <v>2050</v>
      </c>
      <c r="H790">
        <v>117.227239</v>
      </c>
      <c r="I790">
        <v>31.820587</v>
      </c>
      <c r="J790">
        <v>210</v>
      </c>
      <c r="K790" t="s">
        <v>27</v>
      </c>
      <c r="L790" t="s">
        <v>27</v>
      </c>
      <c r="M790" t="s">
        <v>27</v>
      </c>
      <c r="N790" t="s">
        <v>27</v>
      </c>
      <c r="O790" t="s">
        <v>27</v>
      </c>
      <c r="P790" t="s">
        <v>27</v>
      </c>
      <c r="Q790" t="s">
        <v>27</v>
      </c>
      <c r="R790" t="s">
        <v>3600</v>
      </c>
      <c r="T790" t="s">
        <v>2172</v>
      </c>
      <c r="U790" t="s">
        <v>3601</v>
      </c>
    </row>
    <row r="791" spans="1:21" x14ac:dyDescent="0.25">
      <c r="A791" t="s">
        <v>3602</v>
      </c>
      <c r="B791" t="s">
        <v>38</v>
      </c>
      <c r="C791" t="s">
        <v>3603</v>
      </c>
      <c r="D791">
        <f>86-400-821-5500</f>
        <v>-6635</v>
      </c>
      <c r="E791" t="s">
        <v>2104</v>
      </c>
      <c r="F791" t="s">
        <v>2049</v>
      </c>
      <c r="G791" t="s">
        <v>2050</v>
      </c>
      <c r="H791">
        <v>121.608755588317</v>
      </c>
      <c r="I791">
        <v>31.2671878525843</v>
      </c>
      <c r="J791">
        <v>210</v>
      </c>
      <c r="K791" t="s">
        <v>27</v>
      </c>
      <c r="L791" t="s">
        <v>27</v>
      </c>
      <c r="M791" t="s">
        <v>27</v>
      </c>
      <c r="N791" t="s">
        <v>27</v>
      </c>
      <c r="O791" t="s">
        <v>27</v>
      </c>
      <c r="P791" t="s">
        <v>27</v>
      </c>
      <c r="Q791" t="s">
        <v>27</v>
      </c>
      <c r="R791" t="s">
        <v>3604</v>
      </c>
      <c r="T791" t="s">
        <v>2106</v>
      </c>
      <c r="U791" t="s">
        <v>3605</v>
      </c>
    </row>
    <row r="792" spans="1:21" x14ac:dyDescent="0.25">
      <c r="A792" t="s">
        <v>3606</v>
      </c>
      <c r="B792" t="s">
        <v>22</v>
      </c>
      <c r="C792" t="s">
        <v>2272</v>
      </c>
      <c r="D792">
        <f>86-400-821-5500</f>
        <v>-6635</v>
      </c>
      <c r="E792" t="s">
        <v>3276</v>
      </c>
      <c r="F792" t="s">
        <v>2049</v>
      </c>
      <c r="G792" t="s">
        <v>2050</v>
      </c>
      <c r="H792">
        <v>87.518289999999993</v>
      </c>
      <c r="I792">
        <v>43.841749999999998</v>
      </c>
      <c r="J792">
        <v>210</v>
      </c>
      <c r="K792" t="s">
        <v>2229</v>
      </c>
      <c r="L792" t="s">
        <v>2229</v>
      </c>
      <c r="M792" t="s">
        <v>2229</v>
      </c>
      <c r="N792" t="s">
        <v>2229</v>
      </c>
      <c r="O792" t="s">
        <v>2230</v>
      </c>
      <c r="P792" t="s">
        <v>2230</v>
      </c>
      <c r="Q792" t="s">
        <v>2230</v>
      </c>
      <c r="R792" t="s">
        <v>3607</v>
      </c>
      <c r="T792" t="s">
        <v>2232</v>
      </c>
      <c r="U792" t="s">
        <v>3608</v>
      </c>
    </row>
    <row r="793" spans="1:21" x14ac:dyDescent="0.25">
      <c r="A793" t="s">
        <v>3609</v>
      </c>
      <c r="B793" t="s">
        <v>38</v>
      </c>
      <c r="C793" t="s">
        <v>3610</v>
      </c>
      <c r="D793">
        <f>86-400-821-5500</f>
        <v>-6635</v>
      </c>
      <c r="E793" t="s">
        <v>2110</v>
      </c>
      <c r="F793" t="s">
        <v>2049</v>
      </c>
      <c r="G793" t="s">
        <v>2050</v>
      </c>
      <c r="H793">
        <v>117.01249880810499</v>
      </c>
      <c r="I793">
        <v>39.376426766691402</v>
      </c>
      <c r="J793">
        <v>210</v>
      </c>
      <c r="K793" t="s">
        <v>536</v>
      </c>
      <c r="L793" t="s">
        <v>536</v>
      </c>
      <c r="M793" t="s">
        <v>536</v>
      </c>
      <c r="N793" t="s">
        <v>536</v>
      </c>
      <c r="O793" t="s">
        <v>536</v>
      </c>
      <c r="P793" t="s">
        <v>312</v>
      </c>
      <c r="Q793" t="s">
        <v>312</v>
      </c>
      <c r="R793" t="s">
        <v>3611</v>
      </c>
      <c r="T793" t="s">
        <v>2112</v>
      </c>
      <c r="U793" t="s">
        <v>3612</v>
      </c>
    </row>
    <row r="794" spans="1:21" x14ac:dyDescent="0.25">
      <c r="A794" t="s">
        <v>3613</v>
      </c>
      <c r="B794" t="s">
        <v>22</v>
      </c>
      <c r="C794" t="s">
        <v>3614</v>
      </c>
      <c r="D794">
        <f>400-821-5500</f>
        <v>-5921</v>
      </c>
      <c r="E794" t="s">
        <v>2396</v>
      </c>
      <c r="F794" t="s">
        <v>2049</v>
      </c>
      <c r="G794" t="s">
        <v>2050</v>
      </c>
      <c r="H794">
        <v>106.58717673571699</v>
      </c>
      <c r="I794">
        <v>29.577940236955001</v>
      </c>
      <c r="J794">
        <v>210</v>
      </c>
      <c r="K794" t="s">
        <v>27</v>
      </c>
      <c r="L794" t="s">
        <v>27</v>
      </c>
      <c r="M794" t="s">
        <v>27</v>
      </c>
      <c r="N794" t="s">
        <v>27</v>
      </c>
      <c r="O794" t="s">
        <v>27</v>
      </c>
      <c r="P794" t="s">
        <v>27</v>
      </c>
      <c r="Q794" t="s">
        <v>27</v>
      </c>
      <c r="R794" t="s">
        <v>3615</v>
      </c>
      <c r="T794" t="s">
        <v>2398</v>
      </c>
      <c r="U794" t="s">
        <v>3616</v>
      </c>
    </row>
    <row r="795" spans="1:21" x14ac:dyDescent="0.25">
      <c r="A795" t="s">
        <v>3617</v>
      </c>
      <c r="B795" t="s">
        <v>38</v>
      </c>
      <c r="C795" t="s">
        <v>3618</v>
      </c>
      <c r="D795">
        <f>86-400-821-5500</f>
        <v>-6635</v>
      </c>
      <c r="E795" t="s">
        <v>3619</v>
      </c>
      <c r="F795" t="s">
        <v>2049</v>
      </c>
      <c r="G795" t="s">
        <v>2050</v>
      </c>
      <c r="H795">
        <v>117.3688621427</v>
      </c>
      <c r="I795">
        <v>32.917007516022601</v>
      </c>
      <c r="J795">
        <v>210</v>
      </c>
      <c r="K795" t="s">
        <v>2068</v>
      </c>
      <c r="L795" t="s">
        <v>2068</v>
      </c>
      <c r="M795" t="s">
        <v>2068</v>
      </c>
      <c r="N795" t="s">
        <v>2068</v>
      </c>
      <c r="O795" t="s">
        <v>2069</v>
      </c>
      <c r="P795" t="s">
        <v>2069</v>
      </c>
      <c r="Q795" t="s">
        <v>2069</v>
      </c>
      <c r="R795" t="s">
        <v>3620</v>
      </c>
      <c r="T795" t="s">
        <v>2172</v>
      </c>
      <c r="U795" t="s">
        <v>3621</v>
      </c>
    </row>
    <row r="796" spans="1:21" x14ac:dyDescent="0.25">
      <c r="A796" t="s">
        <v>3622</v>
      </c>
      <c r="B796" t="s">
        <v>38</v>
      </c>
      <c r="C796" t="s">
        <v>2272</v>
      </c>
      <c r="D796">
        <f>86-400-821-5500</f>
        <v>-6635</v>
      </c>
      <c r="E796" t="s">
        <v>3623</v>
      </c>
      <c r="F796" t="s">
        <v>2049</v>
      </c>
      <c r="G796" t="s">
        <v>2050</v>
      </c>
      <c r="H796">
        <v>118.54009864978001</v>
      </c>
      <c r="I796">
        <v>37.456693216727601</v>
      </c>
      <c r="J796">
        <v>210</v>
      </c>
      <c r="K796" t="s">
        <v>27</v>
      </c>
      <c r="L796" t="s">
        <v>27</v>
      </c>
      <c r="M796" t="s">
        <v>27</v>
      </c>
      <c r="N796" t="s">
        <v>27</v>
      </c>
      <c r="O796" t="s">
        <v>27</v>
      </c>
      <c r="P796" t="s">
        <v>27</v>
      </c>
      <c r="Q796" t="s">
        <v>27</v>
      </c>
      <c r="R796" t="s">
        <v>3624</v>
      </c>
      <c r="T796" t="s">
        <v>2071</v>
      </c>
      <c r="U796" t="s">
        <v>3625</v>
      </c>
    </row>
    <row r="797" spans="1:21" x14ac:dyDescent="0.25">
      <c r="A797" t="s">
        <v>3626</v>
      </c>
      <c r="B797" t="s">
        <v>22</v>
      </c>
      <c r="C797" t="s">
        <v>3627</v>
      </c>
      <c r="D797">
        <f>400-821-5500</f>
        <v>-5921</v>
      </c>
      <c r="E797" t="s">
        <v>2075</v>
      </c>
      <c r="F797" t="s">
        <v>2049</v>
      </c>
      <c r="G797" t="s">
        <v>2050</v>
      </c>
      <c r="H797">
        <v>102.825553476135</v>
      </c>
      <c r="I797">
        <v>24.877836901264399</v>
      </c>
      <c r="J797">
        <v>210</v>
      </c>
      <c r="K797" t="s">
        <v>27</v>
      </c>
      <c r="L797" t="s">
        <v>27</v>
      </c>
      <c r="M797" t="s">
        <v>27</v>
      </c>
      <c r="N797" t="s">
        <v>27</v>
      </c>
      <c r="O797" t="s">
        <v>77</v>
      </c>
      <c r="P797" t="s">
        <v>77</v>
      </c>
      <c r="Q797" t="s">
        <v>27</v>
      </c>
      <c r="R797" t="s">
        <v>3628</v>
      </c>
      <c r="T797" t="s">
        <v>2077</v>
      </c>
      <c r="U797" t="s">
        <v>3629</v>
      </c>
    </row>
    <row r="798" spans="1:21" x14ac:dyDescent="0.25">
      <c r="A798" t="s">
        <v>3630</v>
      </c>
      <c r="B798" t="s">
        <v>38</v>
      </c>
      <c r="C798" t="s">
        <v>2272</v>
      </c>
      <c r="D798">
        <f t="shared" ref="D798:D805" si="22">86-400-821-5500</f>
        <v>-6635</v>
      </c>
      <c r="E798" t="s">
        <v>3057</v>
      </c>
      <c r="F798" t="s">
        <v>2049</v>
      </c>
      <c r="G798" t="s">
        <v>2050</v>
      </c>
      <c r="H798">
        <v>120.50907595709199</v>
      </c>
      <c r="I798">
        <v>30.092907043413401</v>
      </c>
      <c r="J798">
        <v>210</v>
      </c>
      <c r="K798" t="s">
        <v>27</v>
      </c>
      <c r="L798" t="s">
        <v>27</v>
      </c>
      <c r="M798" t="s">
        <v>27</v>
      </c>
      <c r="N798" t="s">
        <v>27</v>
      </c>
      <c r="O798" t="s">
        <v>27</v>
      </c>
      <c r="P798" t="s">
        <v>27</v>
      </c>
      <c r="Q798" t="s">
        <v>27</v>
      </c>
      <c r="R798" t="s">
        <v>3631</v>
      </c>
      <c r="T798" t="s">
        <v>2052</v>
      </c>
      <c r="U798" t="s">
        <v>3632</v>
      </c>
    </row>
    <row r="799" spans="1:21" x14ac:dyDescent="0.25">
      <c r="A799" t="s">
        <v>3633</v>
      </c>
      <c r="B799" t="s">
        <v>22</v>
      </c>
      <c r="C799" t="s">
        <v>3634</v>
      </c>
      <c r="D799">
        <f t="shared" si="22"/>
        <v>-6635</v>
      </c>
      <c r="E799" t="s">
        <v>2056</v>
      </c>
      <c r="F799" t="s">
        <v>2049</v>
      </c>
      <c r="G799" t="s">
        <v>2050</v>
      </c>
      <c r="H799">
        <v>120.039520264282</v>
      </c>
      <c r="I799">
        <v>29.284525510350299</v>
      </c>
      <c r="J799">
        <v>210</v>
      </c>
      <c r="K799" t="s">
        <v>27</v>
      </c>
      <c r="L799" t="s">
        <v>27</v>
      </c>
      <c r="M799" t="s">
        <v>27</v>
      </c>
      <c r="N799" t="s">
        <v>27</v>
      </c>
      <c r="O799" t="s">
        <v>77</v>
      </c>
      <c r="P799" t="s">
        <v>77</v>
      </c>
      <c r="Q799" t="s">
        <v>77</v>
      </c>
      <c r="R799" t="s">
        <v>3635</v>
      </c>
      <c r="T799" t="s">
        <v>2052</v>
      </c>
      <c r="U799" t="s">
        <v>3636</v>
      </c>
    </row>
    <row r="800" spans="1:21" x14ac:dyDescent="0.25">
      <c r="A800" t="s">
        <v>3637</v>
      </c>
      <c r="B800" t="s">
        <v>22</v>
      </c>
      <c r="C800" t="s">
        <v>2272</v>
      </c>
      <c r="D800">
        <f t="shared" si="22"/>
        <v>-6635</v>
      </c>
      <c r="E800" t="s">
        <v>2170</v>
      </c>
      <c r="F800" t="s">
        <v>2049</v>
      </c>
      <c r="G800" t="s">
        <v>2050</v>
      </c>
      <c r="H800">
        <v>117.35165204061801</v>
      </c>
      <c r="I800">
        <v>31.875510638660501</v>
      </c>
      <c r="J800">
        <v>210</v>
      </c>
      <c r="K800" t="s">
        <v>2068</v>
      </c>
      <c r="L800" t="s">
        <v>2068</v>
      </c>
      <c r="M800" t="s">
        <v>2068</v>
      </c>
      <c r="N800" t="s">
        <v>2068</v>
      </c>
      <c r="O800" t="s">
        <v>2069</v>
      </c>
      <c r="P800" t="s">
        <v>2069</v>
      </c>
      <c r="Q800" t="s">
        <v>2068</v>
      </c>
      <c r="R800" t="s">
        <v>3638</v>
      </c>
      <c r="T800" t="s">
        <v>2172</v>
      </c>
      <c r="U800" t="s">
        <v>3639</v>
      </c>
    </row>
    <row r="801" spans="1:21" x14ac:dyDescent="0.25">
      <c r="A801" t="s">
        <v>3640</v>
      </c>
      <c r="B801" t="s">
        <v>38</v>
      </c>
      <c r="C801" t="s">
        <v>2911</v>
      </c>
      <c r="D801">
        <f t="shared" si="22"/>
        <v>-6635</v>
      </c>
      <c r="E801" t="s">
        <v>3197</v>
      </c>
      <c r="F801" t="s">
        <v>2049</v>
      </c>
      <c r="G801" t="s">
        <v>2050</v>
      </c>
      <c r="H801">
        <v>106.18147999999999</v>
      </c>
      <c r="I801">
        <v>38.487540000000003</v>
      </c>
      <c r="J801">
        <v>210</v>
      </c>
      <c r="K801" t="s">
        <v>27</v>
      </c>
      <c r="L801" t="s">
        <v>27</v>
      </c>
      <c r="M801" t="s">
        <v>27</v>
      </c>
      <c r="N801" t="s">
        <v>27</v>
      </c>
      <c r="O801" t="s">
        <v>27</v>
      </c>
      <c r="P801" t="s">
        <v>27</v>
      </c>
      <c r="Q801" t="s">
        <v>27</v>
      </c>
      <c r="R801" t="s">
        <v>3641</v>
      </c>
      <c r="T801" t="s">
        <v>3199</v>
      </c>
      <c r="U801" t="s">
        <v>3642</v>
      </c>
    </row>
    <row r="802" spans="1:21" x14ac:dyDescent="0.25">
      <c r="A802" t="s">
        <v>3643</v>
      </c>
      <c r="B802" t="s">
        <v>38</v>
      </c>
      <c r="C802" t="s">
        <v>3644</v>
      </c>
      <c r="D802">
        <f t="shared" si="22"/>
        <v>-6635</v>
      </c>
      <c r="E802" t="s">
        <v>2104</v>
      </c>
      <c r="F802" t="s">
        <v>2049</v>
      </c>
      <c r="G802" t="s">
        <v>2050</v>
      </c>
      <c r="H802">
        <v>121.364379</v>
      </c>
      <c r="I802">
        <v>31.132190999999999</v>
      </c>
      <c r="J802">
        <v>210</v>
      </c>
      <c r="K802" t="s">
        <v>27</v>
      </c>
      <c r="L802" t="s">
        <v>27</v>
      </c>
      <c r="M802" t="s">
        <v>27</v>
      </c>
      <c r="N802" t="s">
        <v>27</v>
      </c>
      <c r="O802" t="s">
        <v>27</v>
      </c>
      <c r="P802" t="s">
        <v>27</v>
      </c>
      <c r="Q802" t="s">
        <v>27</v>
      </c>
      <c r="R802" t="s">
        <v>3645</v>
      </c>
      <c r="T802" t="s">
        <v>2106</v>
      </c>
      <c r="U802" t="s">
        <v>3646</v>
      </c>
    </row>
    <row r="803" spans="1:21" x14ac:dyDescent="0.25">
      <c r="A803" t="s">
        <v>3647</v>
      </c>
      <c r="B803" t="s">
        <v>38</v>
      </c>
      <c r="C803" t="s">
        <v>2272</v>
      </c>
      <c r="D803">
        <f t="shared" si="22"/>
        <v>-6635</v>
      </c>
      <c r="E803" t="s">
        <v>2930</v>
      </c>
      <c r="F803" t="s">
        <v>2049</v>
      </c>
      <c r="G803" t="s">
        <v>2050</v>
      </c>
      <c r="H803">
        <v>117.188465697692</v>
      </c>
      <c r="I803">
        <v>34.192404195692099</v>
      </c>
      <c r="J803">
        <v>210</v>
      </c>
      <c r="K803" t="s">
        <v>2137</v>
      </c>
      <c r="L803" t="s">
        <v>2137</v>
      </c>
      <c r="M803" t="s">
        <v>2137</v>
      </c>
      <c r="N803" t="s">
        <v>2137</v>
      </c>
      <c r="O803" t="s">
        <v>27</v>
      </c>
      <c r="P803" t="s">
        <v>27</v>
      </c>
      <c r="Q803" t="s">
        <v>2137</v>
      </c>
      <c r="R803" t="s">
        <v>3648</v>
      </c>
      <c r="T803" t="s">
        <v>2063</v>
      </c>
      <c r="U803" t="s">
        <v>3649</v>
      </c>
    </row>
    <row r="804" spans="1:21" x14ac:dyDescent="0.25">
      <c r="A804" t="s">
        <v>3650</v>
      </c>
      <c r="B804" t="s">
        <v>38</v>
      </c>
      <c r="C804" t="s">
        <v>3651</v>
      </c>
      <c r="D804">
        <f t="shared" si="22"/>
        <v>-6635</v>
      </c>
      <c r="E804" t="s">
        <v>3652</v>
      </c>
      <c r="F804" t="s">
        <v>2049</v>
      </c>
      <c r="G804" t="s">
        <v>2050</v>
      </c>
      <c r="H804">
        <v>112.851830999999</v>
      </c>
      <c r="I804">
        <v>35.490701999999999</v>
      </c>
      <c r="J804">
        <v>210</v>
      </c>
      <c r="K804" t="s">
        <v>27</v>
      </c>
      <c r="L804" t="s">
        <v>27</v>
      </c>
      <c r="M804" t="s">
        <v>27</v>
      </c>
      <c r="N804" t="s">
        <v>27</v>
      </c>
      <c r="O804" t="s">
        <v>27</v>
      </c>
      <c r="P804" t="s">
        <v>27</v>
      </c>
      <c r="Q804" t="s">
        <v>27</v>
      </c>
      <c r="R804" t="s">
        <v>3653</v>
      </c>
      <c r="T804" t="s">
        <v>2269</v>
      </c>
      <c r="U804" t="s">
        <v>3654</v>
      </c>
    </row>
    <row r="805" spans="1:21" x14ac:dyDescent="0.25">
      <c r="A805" t="s">
        <v>3655</v>
      </c>
      <c r="B805" t="s">
        <v>38</v>
      </c>
      <c r="C805" t="s">
        <v>2272</v>
      </c>
      <c r="D805">
        <f t="shared" si="22"/>
        <v>-6635</v>
      </c>
      <c r="E805" t="s">
        <v>3656</v>
      </c>
      <c r="F805" t="s">
        <v>2049</v>
      </c>
      <c r="G805" t="s">
        <v>2050</v>
      </c>
      <c r="H805">
        <v>111.68381995227</v>
      </c>
      <c r="I805">
        <v>29.054784640594299</v>
      </c>
      <c r="J805">
        <v>210</v>
      </c>
      <c r="K805" t="s">
        <v>27</v>
      </c>
      <c r="L805" t="s">
        <v>27</v>
      </c>
      <c r="M805" t="s">
        <v>27</v>
      </c>
      <c r="N805" t="s">
        <v>27</v>
      </c>
      <c r="O805" t="s">
        <v>27</v>
      </c>
      <c r="P805" t="s">
        <v>27</v>
      </c>
      <c r="Q805" t="s">
        <v>27</v>
      </c>
      <c r="R805" t="s">
        <v>3657</v>
      </c>
      <c r="T805" t="s">
        <v>2308</v>
      </c>
      <c r="U805" t="s">
        <v>3658</v>
      </c>
    </row>
    <row r="806" spans="1:21" x14ac:dyDescent="0.25">
      <c r="A806" t="s">
        <v>3659</v>
      </c>
      <c r="B806" t="s">
        <v>38</v>
      </c>
      <c r="C806" t="s">
        <v>3660</v>
      </c>
      <c r="E806" t="s">
        <v>3661</v>
      </c>
      <c r="F806" t="s">
        <v>2049</v>
      </c>
      <c r="G806" t="s">
        <v>2050</v>
      </c>
      <c r="H806">
        <v>111.993496999999</v>
      </c>
      <c r="I806">
        <v>27.700063</v>
      </c>
      <c r="J806">
        <v>210</v>
      </c>
      <c r="K806" t="s">
        <v>27</v>
      </c>
      <c r="L806" t="s">
        <v>27</v>
      </c>
      <c r="M806" t="s">
        <v>27</v>
      </c>
      <c r="N806" t="s">
        <v>27</v>
      </c>
      <c r="O806" t="s">
        <v>27</v>
      </c>
      <c r="P806" t="s">
        <v>27</v>
      </c>
      <c r="Q806" t="s">
        <v>27</v>
      </c>
      <c r="R806" t="s">
        <v>3662</v>
      </c>
      <c r="T806" t="s">
        <v>2308</v>
      </c>
      <c r="U806" t="s">
        <v>3663</v>
      </c>
    </row>
    <row r="807" spans="1:21" x14ac:dyDescent="0.25">
      <c r="A807" t="s">
        <v>3664</v>
      </c>
      <c r="B807" t="s">
        <v>38</v>
      </c>
      <c r="C807" t="s">
        <v>3665</v>
      </c>
      <c r="D807">
        <f>86-4008-215-500</f>
        <v>-4637</v>
      </c>
      <c r="E807" t="s">
        <v>3666</v>
      </c>
      <c r="F807" t="s">
        <v>2049</v>
      </c>
      <c r="G807" t="s">
        <v>2050</v>
      </c>
      <c r="H807">
        <v>116.724076330329</v>
      </c>
      <c r="I807">
        <v>39.527616713252002</v>
      </c>
      <c r="J807">
        <v>210</v>
      </c>
      <c r="K807" t="s">
        <v>27</v>
      </c>
      <c r="L807" t="s">
        <v>27</v>
      </c>
      <c r="M807" t="s">
        <v>27</v>
      </c>
      <c r="N807" t="s">
        <v>27</v>
      </c>
      <c r="O807" t="s">
        <v>27</v>
      </c>
      <c r="P807" t="s">
        <v>27</v>
      </c>
      <c r="Q807" t="s">
        <v>27</v>
      </c>
      <c r="R807" t="s">
        <v>3667</v>
      </c>
      <c r="T807" t="s">
        <v>2128</v>
      </c>
      <c r="U807" t="s">
        <v>3668</v>
      </c>
    </row>
    <row r="808" spans="1:21" x14ac:dyDescent="0.25">
      <c r="A808" t="s">
        <v>3669</v>
      </c>
      <c r="B808" t="s">
        <v>38</v>
      </c>
      <c r="C808" t="s">
        <v>2272</v>
      </c>
      <c r="D808">
        <f>86-400-821-5500</f>
        <v>-6635</v>
      </c>
      <c r="E808" t="s">
        <v>3670</v>
      </c>
      <c r="F808" t="s">
        <v>2049</v>
      </c>
      <c r="G808" t="s">
        <v>2050</v>
      </c>
      <c r="H808">
        <v>124.354450999999</v>
      </c>
      <c r="I808">
        <v>40.000787000000003</v>
      </c>
      <c r="J808">
        <v>210</v>
      </c>
      <c r="K808" t="s">
        <v>2068</v>
      </c>
      <c r="L808" t="s">
        <v>2068</v>
      </c>
      <c r="M808" t="s">
        <v>2068</v>
      </c>
      <c r="N808" t="s">
        <v>2068</v>
      </c>
      <c r="O808" t="s">
        <v>2068</v>
      </c>
      <c r="P808" t="s">
        <v>2068</v>
      </c>
      <c r="Q808" t="s">
        <v>2068</v>
      </c>
      <c r="R808" t="s">
        <v>3671</v>
      </c>
      <c r="T808" t="s">
        <v>2083</v>
      </c>
      <c r="U808" t="s">
        <v>3672</v>
      </c>
    </row>
    <row r="809" spans="1:21" x14ac:dyDescent="0.25">
      <c r="A809" t="s">
        <v>3673</v>
      </c>
      <c r="B809" t="s">
        <v>38</v>
      </c>
      <c r="C809" t="s">
        <v>3674</v>
      </c>
      <c r="D809">
        <f>400-821-5500</f>
        <v>-5921</v>
      </c>
      <c r="E809" t="s">
        <v>3675</v>
      </c>
      <c r="F809" t="s">
        <v>2049</v>
      </c>
      <c r="G809" t="s">
        <v>2050</v>
      </c>
      <c r="H809">
        <v>107.468023</v>
      </c>
      <c r="I809">
        <v>31.209572000000001</v>
      </c>
      <c r="J809">
        <v>210</v>
      </c>
      <c r="K809" t="s">
        <v>2068</v>
      </c>
      <c r="L809" t="s">
        <v>2068</v>
      </c>
      <c r="M809" t="s">
        <v>2068</v>
      </c>
      <c r="N809" t="s">
        <v>2068</v>
      </c>
      <c r="O809" t="s">
        <v>2068</v>
      </c>
      <c r="P809" t="s">
        <v>2069</v>
      </c>
      <c r="Q809" t="s">
        <v>2069</v>
      </c>
      <c r="R809" t="s">
        <v>3676</v>
      </c>
      <c r="T809" t="s">
        <v>2150</v>
      </c>
      <c r="U809" t="s">
        <v>3677</v>
      </c>
    </row>
    <row r="810" spans="1:21" x14ac:dyDescent="0.25">
      <c r="A810" t="s">
        <v>3678</v>
      </c>
      <c r="B810" t="s">
        <v>38</v>
      </c>
      <c r="C810" t="s">
        <v>3679</v>
      </c>
      <c r="D810">
        <f>86-400-821-5500</f>
        <v>-6635</v>
      </c>
      <c r="E810" t="s">
        <v>2473</v>
      </c>
      <c r="F810" t="s">
        <v>2049</v>
      </c>
      <c r="G810" t="s">
        <v>2050</v>
      </c>
      <c r="H810">
        <v>113.682703584034</v>
      </c>
      <c r="I810">
        <v>22.833643550440101</v>
      </c>
      <c r="J810">
        <v>210</v>
      </c>
      <c r="K810" t="s">
        <v>27</v>
      </c>
      <c r="L810" t="s">
        <v>27</v>
      </c>
      <c r="M810" t="s">
        <v>27</v>
      </c>
      <c r="N810" t="s">
        <v>27</v>
      </c>
      <c r="O810" t="s">
        <v>77</v>
      </c>
      <c r="P810" t="s">
        <v>77</v>
      </c>
      <c r="Q810" t="s">
        <v>27</v>
      </c>
      <c r="R810" t="s">
        <v>3680</v>
      </c>
      <c r="T810" t="s">
        <v>2095</v>
      </c>
      <c r="U810" t="s">
        <v>3681</v>
      </c>
    </row>
    <row r="811" spans="1:21" x14ac:dyDescent="0.25">
      <c r="A811" t="s">
        <v>3682</v>
      </c>
      <c r="B811" t="s">
        <v>38</v>
      </c>
      <c r="C811" t="s">
        <v>3683</v>
      </c>
      <c r="E811" t="s">
        <v>3684</v>
      </c>
      <c r="F811" t="s">
        <v>2049</v>
      </c>
      <c r="G811" t="s">
        <v>2050</v>
      </c>
      <c r="H811">
        <v>113.04425999999999</v>
      </c>
      <c r="I811">
        <v>23.716432999999999</v>
      </c>
      <c r="J811">
        <v>210</v>
      </c>
      <c r="K811" t="s">
        <v>27</v>
      </c>
      <c r="L811" t="s">
        <v>27</v>
      </c>
      <c r="M811" t="s">
        <v>27</v>
      </c>
      <c r="N811" t="s">
        <v>27</v>
      </c>
      <c r="O811" t="s">
        <v>77</v>
      </c>
      <c r="P811" t="s">
        <v>77</v>
      </c>
      <c r="Q811" t="s">
        <v>27</v>
      </c>
      <c r="R811" t="s">
        <v>3685</v>
      </c>
      <c r="T811" t="s">
        <v>2095</v>
      </c>
      <c r="U811" t="s">
        <v>3686</v>
      </c>
    </row>
    <row r="812" spans="1:21" x14ac:dyDescent="0.25">
      <c r="A812" t="s">
        <v>3687</v>
      </c>
      <c r="B812" t="s">
        <v>38</v>
      </c>
      <c r="C812" t="s">
        <v>3688</v>
      </c>
      <c r="D812">
        <f>86-400-821-5500</f>
        <v>-6635</v>
      </c>
      <c r="E812" t="s">
        <v>3689</v>
      </c>
      <c r="F812" t="s">
        <v>2049</v>
      </c>
      <c r="G812" t="s">
        <v>2050</v>
      </c>
      <c r="H812">
        <v>123.939128687988</v>
      </c>
      <c r="I812">
        <v>47.371440464364603</v>
      </c>
      <c r="J812">
        <v>210</v>
      </c>
      <c r="K812" t="s">
        <v>1434</v>
      </c>
      <c r="L812" t="s">
        <v>1434</v>
      </c>
      <c r="M812" t="s">
        <v>1434</v>
      </c>
      <c r="N812" t="s">
        <v>1434</v>
      </c>
      <c r="O812" t="s">
        <v>1434</v>
      </c>
      <c r="P812" t="s">
        <v>1434</v>
      </c>
      <c r="Q812" t="s">
        <v>1434</v>
      </c>
      <c r="R812" t="s">
        <v>3690</v>
      </c>
      <c r="T812" t="s">
        <v>2319</v>
      </c>
      <c r="U812" t="s">
        <v>3691</v>
      </c>
    </row>
    <row r="813" spans="1:21" x14ac:dyDescent="0.25">
      <c r="A813" t="s">
        <v>3692</v>
      </c>
      <c r="B813" t="s">
        <v>38</v>
      </c>
      <c r="C813" t="s">
        <v>3693</v>
      </c>
      <c r="E813" t="s">
        <v>3694</v>
      </c>
      <c r="F813" t="s">
        <v>2049</v>
      </c>
      <c r="G813" t="s">
        <v>2050</v>
      </c>
      <c r="H813">
        <v>123.98127155602999</v>
      </c>
      <c r="I813">
        <v>47.343706016585898</v>
      </c>
      <c r="J813">
        <v>210</v>
      </c>
      <c r="R813" t="s">
        <v>3693</v>
      </c>
      <c r="U813" t="s">
        <v>3695</v>
      </c>
    </row>
    <row r="814" spans="1:21" x14ac:dyDescent="0.25">
      <c r="A814" t="s">
        <v>3696</v>
      </c>
      <c r="B814" t="s">
        <v>38</v>
      </c>
      <c r="C814" t="s">
        <v>2272</v>
      </c>
      <c r="D814">
        <f>86-400-821-5500</f>
        <v>-6635</v>
      </c>
      <c r="E814" t="s">
        <v>2143</v>
      </c>
      <c r="F814" t="s">
        <v>2049</v>
      </c>
      <c r="G814" t="s">
        <v>2050</v>
      </c>
      <c r="H814">
        <v>113.713046963623</v>
      </c>
      <c r="I814">
        <v>34.8734591476491</v>
      </c>
      <c r="J814">
        <v>210</v>
      </c>
      <c r="K814" t="s">
        <v>27</v>
      </c>
      <c r="L814" t="s">
        <v>27</v>
      </c>
      <c r="M814" t="s">
        <v>27</v>
      </c>
      <c r="N814" t="s">
        <v>27</v>
      </c>
      <c r="O814" t="s">
        <v>27</v>
      </c>
      <c r="P814" t="s">
        <v>27</v>
      </c>
      <c r="Q814" t="s">
        <v>27</v>
      </c>
      <c r="R814" t="s">
        <v>3697</v>
      </c>
      <c r="T814" t="s">
        <v>2139</v>
      </c>
      <c r="U814" t="s">
        <v>3698</v>
      </c>
    </row>
    <row r="815" spans="1:21" x14ac:dyDescent="0.25">
      <c r="A815" t="s">
        <v>3699</v>
      </c>
      <c r="B815" t="s">
        <v>38</v>
      </c>
      <c r="C815" t="s">
        <v>653</v>
      </c>
      <c r="D815">
        <f>86-400-821-5500</f>
        <v>-6635</v>
      </c>
      <c r="E815" t="s">
        <v>3700</v>
      </c>
      <c r="F815" t="s">
        <v>2049</v>
      </c>
      <c r="G815" t="s">
        <v>2050</v>
      </c>
      <c r="H815">
        <v>119.48517039843701</v>
      </c>
      <c r="I815">
        <v>31.3948390242311</v>
      </c>
      <c r="J815">
        <v>210</v>
      </c>
      <c r="K815" t="s">
        <v>2068</v>
      </c>
      <c r="L815" t="s">
        <v>2068</v>
      </c>
      <c r="M815" t="s">
        <v>2068</v>
      </c>
      <c r="N815" t="s">
        <v>2068</v>
      </c>
      <c r="O815" t="s">
        <v>2069</v>
      </c>
      <c r="P815" t="s">
        <v>2069</v>
      </c>
      <c r="Q815" t="s">
        <v>2068</v>
      </c>
      <c r="R815" t="s">
        <v>3701</v>
      </c>
      <c r="T815" t="s">
        <v>2063</v>
      </c>
      <c r="U815" t="s">
        <v>3702</v>
      </c>
    </row>
    <row r="816" spans="1:21" x14ac:dyDescent="0.25">
      <c r="A816" t="s">
        <v>3703</v>
      </c>
      <c r="B816" t="s">
        <v>38</v>
      </c>
      <c r="C816" t="s">
        <v>3704</v>
      </c>
      <c r="E816" t="s">
        <v>3705</v>
      </c>
      <c r="F816" t="s">
        <v>2049</v>
      </c>
      <c r="G816" t="s">
        <v>2050</v>
      </c>
      <c r="H816">
        <v>115.66249176745499</v>
      </c>
      <c r="I816">
        <v>34.3770130894655</v>
      </c>
      <c r="J816">
        <v>210</v>
      </c>
      <c r="K816" t="s">
        <v>27</v>
      </c>
      <c r="L816" t="s">
        <v>27</v>
      </c>
      <c r="M816" t="s">
        <v>27</v>
      </c>
      <c r="N816" t="s">
        <v>27</v>
      </c>
      <c r="O816" t="s">
        <v>27</v>
      </c>
      <c r="P816" t="s">
        <v>27</v>
      </c>
      <c r="Q816" t="s">
        <v>27</v>
      </c>
      <c r="R816" t="s">
        <v>3706</v>
      </c>
      <c r="T816" t="s">
        <v>2139</v>
      </c>
      <c r="U816" t="s">
        <v>3707</v>
      </c>
    </row>
    <row r="817" spans="1:21" x14ac:dyDescent="0.25">
      <c r="A817" t="s">
        <v>3708</v>
      </c>
      <c r="B817" t="s">
        <v>22</v>
      </c>
      <c r="C817" t="s">
        <v>3709</v>
      </c>
      <c r="E817" t="s">
        <v>2483</v>
      </c>
      <c r="F817" t="s">
        <v>2049</v>
      </c>
      <c r="G817" t="s">
        <v>2050</v>
      </c>
      <c r="H817">
        <v>118.115088375854</v>
      </c>
      <c r="I817">
        <v>24.483974033523801</v>
      </c>
      <c r="J817">
        <v>210</v>
      </c>
      <c r="K817" t="s">
        <v>3710</v>
      </c>
      <c r="L817" t="s">
        <v>3710</v>
      </c>
      <c r="M817" t="s">
        <v>3710</v>
      </c>
      <c r="N817" t="s">
        <v>3710</v>
      </c>
      <c r="O817" t="s">
        <v>3710</v>
      </c>
      <c r="P817" t="s">
        <v>3711</v>
      </c>
      <c r="Q817" t="s">
        <v>3711</v>
      </c>
      <c r="R817" t="s">
        <v>3712</v>
      </c>
      <c r="T817" t="s">
        <v>2209</v>
      </c>
      <c r="U817" t="s">
        <v>3713</v>
      </c>
    </row>
    <row r="818" spans="1:21" x14ac:dyDescent="0.25">
      <c r="A818" t="s">
        <v>3714</v>
      </c>
      <c r="B818" t="s">
        <v>38</v>
      </c>
      <c r="C818" t="s">
        <v>3715</v>
      </c>
      <c r="E818" t="s">
        <v>2093</v>
      </c>
      <c r="F818" t="s">
        <v>2049</v>
      </c>
      <c r="G818" t="s">
        <v>2050</v>
      </c>
      <c r="H818">
        <v>113.815310732968</v>
      </c>
      <c r="I818">
        <v>23.2761099265973</v>
      </c>
      <c r="J818">
        <v>210</v>
      </c>
      <c r="K818" t="s">
        <v>27</v>
      </c>
      <c r="L818" t="s">
        <v>27</v>
      </c>
      <c r="M818" t="s">
        <v>27</v>
      </c>
      <c r="N818" t="s">
        <v>27</v>
      </c>
      <c r="O818" t="s">
        <v>77</v>
      </c>
      <c r="P818" t="s">
        <v>77</v>
      </c>
      <c r="Q818" t="s">
        <v>27</v>
      </c>
      <c r="R818" t="s">
        <v>3716</v>
      </c>
      <c r="T818" t="s">
        <v>2095</v>
      </c>
      <c r="U818" t="s">
        <v>3717</v>
      </c>
    </row>
    <row r="819" spans="1:21" x14ac:dyDescent="0.25">
      <c r="A819" t="s">
        <v>3718</v>
      </c>
      <c r="B819" t="s">
        <v>38</v>
      </c>
      <c r="C819" t="s">
        <v>3719</v>
      </c>
      <c r="E819" t="s">
        <v>2785</v>
      </c>
      <c r="F819" t="s">
        <v>2049</v>
      </c>
      <c r="G819" t="s">
        <v>2050</v>
      </c>
      <c r="H819">
        <v>106.60898242770899</v>
      </c>
      <c r="I819">
        <v>26.632750683991802</v>
      </c>
      <c r="J819">
        <v>210</v>
      </c>
      <c r="K819" t="s">
        <v>27</v>
      </c>
      <c r="L819" t="s">
        <v>27</v>
      </c>
      <c r="M819" t="s">
        <v>27</v>
      </c>
      <c r="N819" t="s">
        <v>27</v>
      </c>
      <c r="O819" t="s">
        <v>77</v>
      </c>
      <c r="P819" t="s">
        <v>77</v>
      </c>
      <c r="Q819" t="s">
        <v>27</v>
      </c>
      <c r="R819" t="s">
        <v>3720</v>
      </c>
      <c r="T819" t="s">
        <v>2787</v>
      </c>
      <c r="U819" t="s">
        <v>3721</v>
      </c>
    </row>
    <row r="820" spans="1:21" x14ac:dyDescent="0.25">
      <c r="A820" t="s">
        <v>3722</v>
      </c>
      <c r="B820" t="s">
        <v>38</v>
      </c>
      <c r="C820" t="s">
        <v>3723</v>
      </c>
      <c r="D820">
        <f>86-400-821-5500</f>
        <v>-6635</v>
      </c>
      <c r="E820" t="s">
        <v>3724</v>
      </c>
      <c r="F820" t="s">
        <v>2049</v>
      </c>
      <c r="G820" t="s">
        <v>2050</v>
      </c>
      <c r="H820">
        <v>120.718045053138</v>
      </c>
      <c r="I820">
        <v>30.752891716271002</v>
      </c>
      <c r="J820">
        <v>210</v>
      </c>
      <c r="K820" t="s">
        <v>27</v>
      </c>
      <c r="L820" t="s">
        <v>27</v>
      </c>
      <c r="M820" t="s">
        <v>27</v>
      </c>
      <c r="N820" t="s">
        <v>27</v>
      </c>
      <c r="O820" t="s">
        <v>27</v>
      </c>
      <c r="P820" t="s">
        <v>27</v>
      </c>
      <c r="Q820" t="s">
        <v>27</v>
      </c>
      <c r="R820" t="s">
        <v>3725</v>
      </c>
      <c r="T820" t="s">
        <v>2052</v>
      </c>
      <c r="U820" t="s">
        <v>3726</v>
      </c>
    </row>
    <row r="821" spans="1:21" x14ac:dyDescent="0.25">
      <c r="A821" t="s">
        <v>3727</v>
      </c>
      <c r="B821" t="s">
        <v>22</v>
      </c>
      <c r="C821" t="s">
        <v>3728</v>
      </c>
      <c r="E821" t="s">
        <v>2396</v>
      </c>
      <c r="F821" t="s">
        <v>2049</v>
      </c>
      <c r="G821" t="s">
        <v>2050</v>
      </c>
      <c r="H821">
        <v>106.512709</v>
      </c>
      <c r="I821">
        <v>29.537186999999999</v>
      </c>
      <c r="J821">
        <v>210</v>
      </c>
      <c r="K821" t="s">
        <v>27</v>
      </c>
      <c r="L821" t="s">
        <v>27</v>
      </c>
      <c r="M821" t="s">
        <v>27</v>
      </c>
      <c r="N821" t="s">
        <v>27</v>
      </c>
      <c r="O821" t="s">
        <v>27</v>
      </c>
      <c r="P821" t="s">
        <v>27</v>
      </c>
      <c r="Q821" t="s">
        <v>27</v>
      </c>
      <c r="R821" t="s">
        <v>3729</v>
      </c>
      <c r="T821" t="s">
        <v>2398</v>
      </c>
      <c r="U821" t="s">
        <v>3730</v>
      </c>
    </row>
    <row r="822" spans="1:21" x14ac:dyDescent="0.25">
      <c r="A822" t="s">
        <v>3731</v>
      </c>
      <c r="B822" t="s">
        <v>38</v>
      </c>
      <c r="C822" t="s">
        <v>2272</v>
      </c>
      <c r="E822" t="s">
        <v>3395</v>
      </c>
      <c r="F822" t="s">
        <v>2049</v>
      </c>
      <c r="G822" t="s">
        <v>2050</v>
      </c>
      <c r="H822">
        <v>105.420072042301</v>
      </c>
      <c r="I822">
        <v>28.910965734260898</v>
      </c>
      <c r="J822">
        <v>210</v>
      </c>
      <c r="K822" t="s">
        <v>27</v>
      </c>
      <c r="L822" t="s">
        <v>27</v>
      </c>
      <c r="M822" t="s">
        <v>27</v>
      </c>
      <c r="N822" t="s">
        <v>27</v>
      </c>
      <c r="O822" t="s">
        <v>77</v>
      </c>
      <c r="P822" t="s">
        <v>77</v>
      </c>
      <c r="Q822" t="s">
        <v>27</v>
      </c>
      <c r="R822" t="s">
        <v>3732</v>
      </c>
      <c r="T822" t="s">
        <v>2150</v>
      </c>
      <c r="U822" t="s">
        <v>3733</v>
      </c>
    </row>
    <row r="823" spans="1:21" x14ac:dyDescent="0.25">
      <c r="A823" t="s">
        <v>3734</v>
      </c>
      <c r="B823" t="s">
        <v>38</v>
      </c>
      <c r="C823" t="s">
        <v>3735</v>
      </c>
      <c r="E823" t="s">
        <v>3276</v>
      </c>
      <c r="F823" t="s">
        <v>2049</v>
      </c>
      <c r="G823" t="s">
        <v>2050</v>
      </c>
      <c r="H823">
        <v>87.5717325210571</v>
      </c>
      <c r="I823">
        <v>43.910696196019998</v>
      </c>
      <c r="J823">
        <v>210</v>
      </c>
      <c r="K823" t="s">
        <v>3736</v>
      </c>
      <c r="L823" t="s">
        <v>3736</v>
      </c>
      <c r="M823" t="s">
        <v>3736</v>
      </c>
      <c r="N823" t="s">
        <v>3736</v>
      </c>
      <c r="O823" t="s">
        <v>2229</v>
      </c>
      <c r="P823" t="s">
        <v>2229</v>
      </c>
      <c r="Q823" t="s">
        <v>2229</v>
      </c>
      <c r="R823" t="s">
        <v>3737</v>
      </c>
      <c r="T823" t="s">
        <v>2232</v>
      </c>
      <c r="U823" t="s">
        <v>3738</v>
      </c>
    </row>
    <row r="824" spans="1:21" x14ac:dyDescent="0.25">
      <c r="A824" t="s">
        <v>3739</v>
      </c>
      <c r="B824" t="s">
        <v>38</v>
      </c>
      <c r="C824" t="s">
        <v>3740</v>
      </c>
      <c r="E824" t="s">
        <v>3741</v>
      </c>
      <c r="F824" t="s">
        <v>2049</v>
      </c>
      <c r="G824" t="s">
        <v>2050</v>
      </c>
      <c r="H824">
        <v>113.11640399999899</v>
      </c>
      <c r="I824">
        <v>36.195408999999998</v>
      </c>
      <c r="J824">
        <v>210</v>
      </c>
      <c r="K824" t="s">
        <v>27</v>
      </c>
      <c r="L824" t="s">
        <v>27</v>
      </c>
      <c r="M824" t="s">
        <v>27</v>
      </c>
      <c r="N824" t="s">
        <v>27</v>
      </c>
      <c r="O824" t="s">
        <v>27</v>
      </c>
      <c r="P824" t="s">
        <v>27</v>
      </c>
      <c r="Q824" t="s">
        <v>27</v>
      </c>
      <c r="R824" t="s">
        <v>3742</v>
      </c>
      <c r="T824" t="s">
        <v>2269</v>
      </c>
      <c r="U824" t="s">
        <v>3743</v>
      </c>
    </row>
    <row r="825" spans="1:21" x14ac:dyDescent="0.25">
      <c r="A825" t="s">
        <v>3744</v>
      </c>
      <c r="B825" t="s">
        <v>22</v>
      </c>
      <c r="C825" t="s">
        <v>3745</v>
      </c>
      <c r="D825">
        <f>86-400-821-5500</f>
        <v>-6635</v>
      </c>
      <c r="E825" t="s">
        <v>2312</v>
      </c>
      <c r="F825" t="s">
        <v>2049</v>
      </c>
      <c r="G825" t="s">
        <v>2050</v>
      </c>
      <c r="H825">
        <v>120.16322</v>
      </c>
      <c r="I825">
        <v>30.255015</v>
      </c>
      <c r="J825">
        <v>210</v>
      </c>
      <c r="K825" t="s">
        <v>27</v>
      </c>
      <c r="L825" t="s">
        <v>27</v>
      </c>
      <c r="M825" t="s">
        <v>27</v>
      </c>
      <c r="N825" t="s">
        <v>27</v>
      </c>
      <c r="O825" t="s">
        <v>27</v>
      </c>
      <c r="P825" t="s">
        <v>27</v>
      </c>
      <c r="Q825" t="s">
        <v>27</v>
      </c>
      <c r="R825" t="s">
        <v>3746</v>
      </c>
      <c r="T825" t="s">
        <v>2052</v>
      </c>
      <c r="U825" t="s">
        <v>3747</v>
      </c>
    </row>
    <row r="826" spans="1:21" x14ac:dyDescent="0.25">
      <c r="A826" t="s">
        <v>3748</v>
      </c>
      <c r="B826" t="s">
        <v>38</v>
      </c>
      <c r="C826" t="s">
        <v>3749</v>
      </c>
      <c r="E826" t="s">
        <v>2312</v>
      </c>
      <c r="F826" t="s">
        <v>2049</v>
      </c>
      <c r="G826" t="s">
        <v>2050</v>
      </c>
      <c r="H826">
        <v>120.143934</v>
      </c>
      <c r="I826">
        <v>30.305291</v>
      </c>
      <c r="J826">
        <v>210</v>
      </c>
      <c r="R826" t="s">
        <v>3749</v>
      </c>
      <c r="S826" t="s">
        <v>3750</v>
      </c>
      <c r="U826" t="s">
        <v>3751</v>
      </c>
    </row>
    <row r="827" spans="1:21" x14ac:dyDescent="0.25">
      <c r="A827" t="s">
        <v>3752</v>
      </c>
      <c r="B827" t="s">
        <v>38</v>
      </c>
      <c r="C827" t="s">
        <v>2272</v>
      </c>
      <c r="D827">
        <f>86-400-821-5500</f>
        <v>-6635</v>
      </c>
      <c r="E827" t="s">
        <v>3178</v>
      </c>
      <c r="F827" t="s">
        <v>2049</v>
      </c>
      <c r="G827" t="s">
        <v>2050</v>
      </c>
      <c r="H827">
        <v>116.681499931213</v>
      </c>
      <c r="I827">
        <v>23.356336746770499</v>
      </c>
      <c r="J827">
        <v>210</v>
      </c>
      <c r="K827" t="s">
        <v>27</v>
      </c>
      <c r="L827" t="s">
        <v>27</v>
      </c>
      <c r="M827" t="s">
        <v>27</v>
      </c>
      <c r="N827" t="s">
        <v>27</v>
      </c>
      <c r="O827" t="s">
        <v>27</v>
      </c>
      <c r="P827" t="s">
        <v>27</v>
      </c>
      <c r="Q827" t="s">
        <v>27</v>
      </c>
      <c r="R827" t="s">
        <v>3753</v>
      </c>
      <c r="T827" t="s">
        <v>2095</v>
      </c>
      <c r="U827" t="s">
        <v>3754</v>
      </c>
    </row>
    <row r="828" spans="1:21" x14ac:dyDescent="0.25">
      <c r="A828" t="s">
        <v>3755</v>
      </c>
      <c r="B828" t="s">
        <v>38</v>
      </c>
      <c r="C828" t="s">
        <v>3756</v>
      </c>
      <c r="D828">
        <f>86-400-821-5500</f>
        <v>-6635</v>
      </c>
      <c r="E828" t="s">
        <v>3757</v>
      </c>
      <c r="F828" t="s">
        <v>2049</v>
      </c>
      <c r="G828" t="s">
        <v>2050</v>
      </c>
      <c r="H828">
        <v>110.180529035318</v>
      </c>
      <c r="I828">
        <v>22.6345556068717</v>
      </c>
      <c r="J828">
        <v>210</v>
      </c>
      <c r="K828" t="s">
        <v>27</v>
      </c>
      <c r="L828" t="s">
        <v>27</v>
      </c>
      <c r="M828" t="s">
        <v>27</v>
      </c>
      <c r="N828" t="s">
        <v>27</v>
      </c>
      <c r="O828" t="s">
        <v>77</v>
      </c>
      <c r="P828" t="s">
        <v>77</v>
      </c>
      <c r="Q828" t="s">
        <v>27</v>
      </c>
      <c r="R828" t="s">
        <v>3758</v>
      </c>
      <c r="T828" t="s">
        <v>2156</v>
      </c>
      <c r="U828" t="s">
        <v>3759</v>
      </c>
    </row>
    <row r="829" spans="1:21" x14ac:dyDescent="0.25">
      <c r="A829" t="s">
        <v>3760</v>
      </c>
      <c r="B829" t="s">
        <v>38</v>
      </c>
      <c r="C829" t="s">
        <v>3761</v>
      </c>
      <c r="E829" t="s">
        <v>3762</v>
      </c>
      <c r="F829" t="s">
        <v>2049</v>
      </c>
      <c r="G829" t="s">
        <v>2050</v>
      </c>
      <c r="H829">
        <v>119.02463400000001</v>
      </c>
      <c r="I829">
        <v>33.595441999999998</v>
      </c>
      <c r="J829">
        <v>210</v>
      </c>
      <c r="K829" t="s">
        <v>2068</v>
      </c>
      <c r="L829" t="s">
        <v>2068</v>
      </c>
      <c r="M829" t="s">
        <v>2068</v>
      </c>
      <c r="N829" t="s">
        <v>2068</v>
      </c>
      <c r="O829" t="s">
        <v>2069</v>
      </c>
      <c r="P829" t="s">
        <v>2069</v>
      </c>
      <c r="Q829" t="s">
        <v>2069</v>
      </c>
      <c r="R829" t="s">
        <v>3763</v>
      </c>
      <c r="T829" t="s">
        <v>2063</v>
      </c>
      <c r="U829" t="s">
        <v>3764</v>
      </c>
    </row>
    <row r="830" spans="1:21" x14ac:dyDescent="0.25">
      <c r="A830" t="s">
        <v>3765</v>
      </c>
      <c r="B830" t="s">
        <v>38</v>
      </c>
      <c r="C830" t="s">
        <v>3766</v>
      </c>
      <c r="E830" t="s">
        <v>2093</v>
      </c>
      <c r="F830" t="s">
        <v>2049</v>
      </c>
      <c r="G830" t="s">
        <v>2050</v>
      </c>
      <c r="H830">
        <v>113.26844497</v>
      </c>
      <c r="I830">
        <v>23.098663479999999</v>
      </c>
      <c r="J830">
        <v>210</v>
      </c>
      <c r="K830" t="s">
        <v>27</v>
      </c>
      <c r="L830" t="s">
        <v>27</v>
      </c>
      <c r="M830" t="s">
        <v>27</v>
      </c>
      <c r="N830" t="s">
        <v>27</v>
      </c>
      <c r="O830" t="s">
        <v>27</v>
      </c>
      <c r="P830" t="s">
        <v>27</v>
      </c>
      <c r="Q830" t="s">
        <v>27</v>
      </c>
      <c r="R830" t="s">
        <v>3766</v>
      </c>
      <c r="S830" t="s">
        <v>3767</v>
      </c>
      <c r="T830" t="s">
        <v>2095</v>
      </c>
      <c r="U830" t="s">
        <v>3768</v>
      </c>
    </row>
    <row r="831" spans="1:21" x14ac:dyDescent="0.25">
      <c r="A831" t="s">
        <v>3769</v>
      </c>
      <c r="B831" t="s">
        <v>38</v>
      </c>
      <c r="C831" t="s">
        <v>2272</v>
      </c>
      <c r="E831" t="s">
        <v>3021</v>
      </c>
      <c r="F831" t="s">
        <v>2049</v>
      </c>
      <c r="G831" t="s">
        <v>2050</v>
      </c>
      <c r="H831">
        <v>118.997629</v>
      </c>
      <c r="I831">
        <v>25.418709</v>
      </c>
      <c r="J831">
        <v>210</v>
      </c>
      <c r="K831" t="s">
        <v>27</v>
      </c>
      <c r="L831" t="s">
        <v>27</v>
      </c>
      <c r="M831" t="s">
        <v>27</v>
      </c>
      <c r="N831" t="s">
        <v>27</v>
      </c>
      <c r="O831" t="s">
        <v>27</v>
      </c>
      <c r="P831" t="s">
        <v>27</v>
      </c>
      <c r="Q831" t="s">
        <v>27</v>
      </c>
      <c r="R831" t="s">
        <v>3770</v>
      </c>
      <c r="T831" t="s">
        <v>2209</v>
      </c>
      <c r="U831" t="s">
        <v>3771</v>
      </c>
    </row>
    <row r="832" spans="1:21" x14ac:dyDescent="0.25">
      <c r="A832" t="s">
        <v>3772</v>
      </c>
      <c r="B832" t="s">
        <v>38</v>
      </c>
      <c r="C832" t="s">
        <v>3773</v>
      </c>
      <c r="D832">
        <f>86-400-821-5500</f>
        <v>-6635</v>
      </c>
      <c r="E832" t="s">
        <v>2093</v>
      </c>
      <c r="F832" t="s">
        <v>2049</v>
      </c>
      <c r="G832" t="s">
        <v>2050</v>
      </c>
      <c r="H832">
        <v>113.41391970620001</v>
      </c>
      <c r="I832">
        <v>23.1059207833</v>
      </c>
      <c r="J832">
        <v>210</v>
      </c>
      <c r="K832" t="s">
        <v>27</v>
      </c>
      <c r="L832" t="s">
        <v>27</v>
      </c>
      <c r="M832" t="s">
        <v>27</v>
      </c>
      <c r="N832" t="s">
        <v>27</v>
      </c>
      <c r="O832" t="s">
        <v>27</v>
      </c>
      <c r="P832" t="s">
        <v>27</v>
      </c>
      <c r="Q832" t="s">
        <v>27</v>
      </c>
      <c r="R832" t="s">
        <v>3774</v>
      </c>
      <c r="T832" t="s">
        <v>2095</v>
      </c>
      <c r="U832" t="s">
        <v>3775</v>
      </c>
    </row>
    <row r="833" spans="1:21" x14ac:dyDescent="0.25">
      <c r="A833" t="s">
        <v>3776</v>
      </c>
      <c r="B833" t="s">
        <v>38</v>
      </c>
      <c r="C833" t="s">
        <v>2272</v>
      </c>
      <c r="E833" t="s">
        <v>3777</v>
      </c>
      <c r="F833" t="s">
        <v>2049</v>
      </c>
      <c r="G833" t="s">
        <v>2050</v>
      </c>
      <c r="H833">
        <v>112.59105524565599</v>
      </c>
      <c r="I833">
        <v>26.883041189994099</v>
      </c>
      <c r="J833">
        <v>210</v>
      </c>
      <c r="K833" t="s">
        <v>3710</v>
      </c>
      <c r="L833" t="s">
        <v>3710</v>
      </c>
      <c r="M833" t="s">
        <v>3710</v>
      </c>
      <c r="N833" t="s">
        <v>3710</v>
      </c>
      <c r="O833" t="s">
        <v>3710</v>
      </c>
      <c r="P833" t="s">
        <v>3710</v>
      </c>
      <c r="Q833" t="s">
        <v>3710</v>
      </c>
      <c r="R833" t="s">
        <v>3778</v>
      </c>
      <c r="T833" t="s">
        <v>2308</v>
      </c>
      <c r="U833" t="s">
        <v>3779</v>
      </c>
    </row>
    <row r="834" spans="1:21" x14ac:dyDescent="0.25">
      <c r="A834" t="s">
        <v>3780</v>
      </c>
      <c r="B834" t="s">
        <v>38</v>
      </c>
      <c r="C834" t="s">
        <v>3781</v>
      </c>
      <c r="E834" t="s">
        <v>2203</v>
      </c>
      <c r="F834" t="s">
        <v>2049</v>
      </c>
      <c r="G834" t="s">
        <v>2050</v>
      </c>
      <c r="H834">
        <v>114.31171965692801</v>
      </c>
      <c r="I834">
        <v>30.611741944856</v>
      </c>
      <c r="J834">
        <v>210</v>
      </c>
      <c r="K834" t="s">
        <v>27</v>
      </c>
      <c r="L834" t="s">
        <v>27</v>
      </c>
      <c r="M834" t="s">
        <v>27</v>
      </c>
      <c r="N834" t="s">
        <v>27</v>
      </c>
      <c r="O834" t="s">
        <v>27</v>
      </c>
      <c r="P834" t="s">
        <v>27</v>
      </c>
      <c r="Q834" t="s">
        <v>27</v>
      </c>
      <c r="R834" t="s">
        <v>3782</v>
      </c>
      <c r="T834" t="s">
        <v>2431</v>
      </c>
      <c r="U834" t="s">
        <v>3783</v>
      </c>
    </row>
    <row r="835" spans="1:21" x14ac:dyDescent="0.25">
      <c r="A835" t="s">
        <v>3784</v>
      </c>
      <c r="B835" t="s">
        <v>38</v>
      </c>
      <c r="C835" t="s">
        <v>3785</v>
      </c>
      <c r="E835" t="s">
        <v>3786</v>
      </c>
      <c r="F835" t="s">
        <v>2049</v>
      </c>
      <c r="G835" t="s">
        <v>2050</v>
      </c>
      <c r="H835">
        <v>119.506173524414</v>
      </c>
      <c r="I835">
        <v>32.175644823308502</v>
      </c>
      <c r="J835">
        <v>210</v>
      </c>
      <c r="K835" t="s">
        <v>27</v>
      </c>
      <c r="L835" t="s">
        <v>27</v>
      </c>
      <c r="M835" t="s">
        <v>27</v>
      </c>
      <c r="N835" t="s">
        <v>27</v>
      </c>
      <c r="O835" t="s">
        <v>27</v>
      </c>
      <c r="P835" t="s">
        <v>27</v>
      </c>
      <c r="Q835" t="s">
        <v>27</v>
      </c>
      <c r="R835" t="s">
        <v>3787</v>
      </c>
      <c r="T835" t="s">
        <v>2063</v>
      </c>
      <c r="U835" t="s">
        <v>3788</v>
      </c>
    </row>
    <row r="836" spans="1:21" x14ac:dyDescent="0.25">
      <c r="A836" t="s">
        <v>3789</v>
      </c>
      <c r="B836" t="s">
        <v>22</v>
      </c>
      <c r="C836" t="s">
        <v>2524</v>
      </c>
      <c r="E836" t="s">
        <v>2087</v>
      </c>
      <c r="F836" t="s">
        <v>2049</v>
      </c>
      <c r="G836" t="s">
        <v>2050</v>
      </c>
      <c r="H836">
        <v>116.37342537238401</v>
      </c>
      <c r="I836">
        <v>39.911214704408003</v>
      </c>
      <c r="J836">
        <v>210</v>
      </c>
      <c r="K836" t="s">
        <v>27</v>
      </c>
      <c r="L836" t="s">
        <v>27</v>
      </c>
      <c r="M836" t="s">
        <v>27</v>
      </c>
      <c r="N836" t="s">
        <v>27</v>
      </c>
      <c r="O836" t="s">
        <v>27</v>
      </c>
      <c r="P836" t="s">
        <v>2069</v>
      </c>
      <c r="Q836" t="s">
        <v>2069</v>
      </c>
      <c r="R836" t="s">
        <v>3790</v>
      </c>
      <c r="T836" t="s">
        <v>2089</v>
      </c>
      <c r="U836" t="s">
        <v>3791</v>
      </c>
    </row>
    <row r="837" spans="1:21" x14ac:dyDescent="0.25">
      <c r="A837" t="s">
        <v>3792</v>
      </c>
      <c r="B837" t="s">
        <v>22</v>
      </c>
      <c r="C837" t="s">
        <v>2524</v>
      </c>
      <c r="E837" t="s">
        <v>2087</v>
      </c>
      <c r="F837" t="s">
        <v>2049</v>
      </c>
      <c r="G837" t="s">
        <v>2050</v>
      </c>
      <c r="H837">
        <v>116.373400694555</v>
      </c>
      <c r="I837">
        <v>39.911226560976502</v>
      </c>
      <c r="J837">
        <v>210</v>
      </c>
      <c r="K837" t="s">
        <v>27</v>
      </c>
      <c r="L837" t="s">
        <v>27</v>
      </c>
      <c r="M837" t="s">
        <v>27</v>
      </c>
      <c r="N837" t="s">
        <v>27</v>
      </c>
      <c r="O837" t="s">
        <v>27</v>
      </c>
      <c r="P837" t="s">
        <v>2069</v>
      </c>
      <c r="Q837" t="s">
        <v>2069</v>
      </c>
      <c r="R837" t="s">
        <v>3793</v>
      </c>
      <c r="T837" t="s">
        <v>2089</v>
      </c>
      <c r="U837" t="s">
        <v>3794</v>
      </c>
    </row>
    <row r="838" spans="1:21" x14ac:dyDescent="0.25">
      <c r="A838" t="s">
        <v>3795</v>
      </c>
      <c r="B838" t="s">
        <v>38</v>
      </c>
      <c r="C838" t="s">
        <v>3796</v>
      </c>
      <c r="E838" t="s">
        <v>3503</v>
      </c>
      <c r="F838" t="s">
        <v>2049</v>
      </c>
      <c r="G838" t="s">
        <v>2050</v>
      </c>
      <c r="H838">
        <v>121.41647399999999</v>
      </c>
      <c r="I838">
        <v>28.637225000000001</v>
      </c>
      <c r="J838">
        <v>210</v>
      </c>
      <c r="K838" t="s">
        <v>27</v>
      </c>
      <c r="L838" t="s">
        <v>27</v>
      </c>
      <c r="M838" t="s">
        <v>27</v>
      </c>
      <c r="N838" t="s">
        <v>27</v>
      </c>
      <c r="O838" t="s">
        <v>27</v>
      </c>
      <c r="P838" t="s">
        <v>27</v>
      </c>
      <c r="Q838" t="s">
        <v>27</v>
      </c>
      <c r="R838" t="s">
        <v>3797</v>
      </c>
      <c r="T838" t="s">
        <v>2052</v>
      </c>
      <c r="U838" t="s">
        <v>3798</v>
      </c>
    </row>
    <row r="839" spans="1:21" x14ac:dyDescent="0.25">
      <c r="A839" t="s">
        <v>3799</v>
      </c>
      <c r="B839" t="s">
        <v>38</v>
      </c>
      <c r="C839" t="s">
        <v>3800</v>
      </c>
      <c r="E839" t="s">
        <v>2104</v>
      </c>
      <c r="F839" t="s">
        <v>2049</v>
      </c>
      <c r="G839" t="s">
        <v>2050</v>
      </c>
      <c r="H839">
        <v>121.414822247705</v>
      </c>
      <c r="I839">
        <v>31.0273149199597</v>
      </c>
      <c r="J839">
        <v>210</v>
      </c>
      <c r="K839" t="s">
        <v>27</v>
      </c>
      <c r="L839" t="s">
        <v>27</v>
      </c>
      <c r="M839" t="s">
        <v>27</v>
      </c>
      <c r="N839" t="s">
        <v>27</v>
      </c>
      <c r="O839" t="s">
        <v>27</v>
      </c>
      <c r="P839" t="s">
        <v>27</v>
      </c>
      <c r="Q839" t="s">
        <v>27</v>
      </c>
      <c r="R839" t="s">
        <v>3801</v>
      </c>
      <c r="T839" t="s">
        <v>2106</v>
      </c>
      <c r="U839" t="s">
        <v>3802</v>
      </c>
    </row>
    <row r="840" spans="1:21" x14ac:dyDescent="0.25">
      <c r="A840" t="s">
        <v>3803</v>
      </c>
      <c r="B840" t="s">
        <v>22</v>
      </c>
      <c r="C840" t="s">
        <v>3804</v>
      </c>
      <c r="E840" t="s">
        <v>2087</v>
      </c>
      <c r="F840" t="s">
        <v>2049</v>
      </c>
      <c r="G840" t="s">
        <v>2050</v>
      </c>
      <c r="H840">
        <v>116.290904</v>
      </c>
      <c r="I840">
        <v>39.959051000000002</v>
      </c>
      <c r="J840">
        <v>210</v>
      </c>
      <c r="R840" t="s">
        <v>3805</v>
      </c>
      <c r="U840" t="s">
        <v>3806</v>
      </c>
    </row>
    <row r="841" spans="1:21" x14ac:dyDescent="0.25">
      <c r="A841" t="s">
        <v>3807</v>
      </c>
      <c r="B841" t="s">
        <v>38</v>
      </c>
      <c r="C841" t="s">
        <v>3808</v>
      </c>
      <c r="E841" t="s">
        <v>2396</v>
      </c>
      <c r="F841" t="s">
        <v>2049</v>
      </c>
      <c r="G841" t="s">
        <v>2050</v>
      </c>
      <c r="H841">
        <v>106.462441</v>
      </c>
      <c r="I841">
        <v>29.554753000000002</v>
      </c>
      <c r="J841">
        <v>210</v>
      </c>
      <c r="K841" t="s">
        <v>27</v>
      </c>
      <c r="L841" t="s">
        <v>27</v>
      </c>
      <c r="M841" t="s">
        <v>27</v>
      </c>
      <c r="N841" t="s">
        <v>27</v>
      </c>
      <c r="O841" t="s">
        <v>27</v>
      </c>
      <c r="P841" t="s">
        <v>27</v>
      </c>
      <c r="Q841" t="s">
        <v>27</v>
      </c>
      <c r="R841" t="s">
        <v>3809</v>
      </c>
      <c r="S841" t="s">
        <v>3810</v>
      </c>
      <c r="T841" t="s">
        <v>2398</v>
      </c>
      <c r="U841" t="s">
        <v>3811</v>
      </c>
    </row>
    <row r="842" spans="1:21" x14ac:dyDescent="0.25">
      <c r="A842" t="s">
        <v>3812</v>
      </c>
      <c r="B842" t="s">
        <v>22</v>
      </c>
      <c r="C842" t="s">
        <v>3813</v>
      </c>
      <c r="E842" t="s">
        <v>2785</v>
      </c>
      <c r="F842" t="s">
        <v>2049</v>
      </c>
      <c r="G842" t="s">
        <v>2050</v>
      </c>
      <c r="H842">
        <v>106.63267</v>
      </c>
      <c r="I842">
        <v>26.646149999999999</v>
      </c>
      <c r="J842">
        <v>210</v>
      </c>
      <c r="K842" t="s">
        <v>3814</v>
      </c>
      <c r="L842" t="s">
        <v>3814</v>
      </c>
      <c r="M842" t="s">
        <v>3814</v>
      </c>
      <c r="N842" t="s">
        <v>3814</v>
      </c>
      <c r="O842" t="s">
        <v>3815</v>
      </c>
      <c r="P842" t="s">
        <v>3815</v>
      </c>
      <c r="Q842" t="s">
        <v>3814</v>
      </c>
      <c r="R842" t="s">
        <v>3816</v>
      </c>
      <c r="T842" t="s">
        <v>2787</v>
      </c>
      <c r="U842" t="s">
        <v>3817</v>
      </c>
    </row>
    <row r="843" spans="1:21" x14ac:dyDescent="0.25">
      <c r="A843" t="s">
        <v>3818</v>
      </c>
      <c r="B843" t="s">
        <v>38</v>
      </c>
      <c r="C843" t="s">
        <v>3819</v>
      </c>
      <c r="E843" t="s">
        <v>2396</v>
      </c>
      <c r="F843" t="s">
        <v>2049</v>
      </c>
      <c r="G843" t="s">
        <v>2050</v>
      </c>
      <c r="H843">
        <v>106.572839</v>
      </c>
      <c r="I843">
        <v>29.521916999999998</v>
      </c>
      <c r="J843">
        <v>210</v>
      </c>
      <c r="K843" t="s">
        <v>27</v>
      </c>
      <c r="L843" t="s">
        <v>27</v>
      </c>
      <c r="M843" t="s">
        <v>27</v>
      </c>
      <c r="N843" t="s">
        <v>27</v>
      </c>
      <c r="O843" t="s">
        <v>27</v>
      </c>
      <c r="P843" t="s">
        <v>27</v>
      </c>
      <c r="Q843" t="s">
        <v>27</v>
      </c>
      <c r="R843" t="s">
        <v>3820</v>
      </c>
      <c r="T843" t="s">
        <v>2398</v>
      </c>
      <c r="U843" t="s">
        <v>3821</v>
      </c>
    </row>
    <row r="844" spans="1:21" x14ac:dyDescent="0.25">
      <c r="A844" t="s">
        <v>3822</v>
      </c>
      <c r="B844" t="s">
        <v>32</v>
      </c>
      <c r="C844" t="s">
        <v>3823</v>
      </c>
      <c r="D844" t="s">
        <v>3824</v>
      </c>
      <c r="E844" t="s">
        <v>3825</v>
      </c>
      <c r="F844" t="s">
        <v>3826</v>
      </c>
      <c r="G844" t="s">
        <v>3827</v>
      </c>
      <c r="H844">
        <v>-74.066804828411094</v>
      </c>
      <c r="I844">
        <v>4.7320192319089998</v>
      </c>
      <c r="J844">
        <v>45</v>
      </c>
      <c r="K844" t="s">
        <v>536</v>
      </c>
      <c r="L844" t="s">
        <v>536</v>
      </c>
      <c r="M844" t="s">
        <v>536</v>
      </c>
      <c r="N844" t="s">
        <v>536</v>
      </c>
      <c r="O844" t="s">
        <v>536</v>
      </c>
      <c r="P844" t="s">
        <v>536</v>
      </c>
      <c r="Q844" t="s">
        <v>45</v>
      </c>
      <c r="R844" t="s">
        <v>3823</v>
      </c>
      <c r="S844" t="s">
        <v>3828</v>
      </c>
      <c r="T844" t="s">
        <v>3829</v>
      </c>
      <c r="U844" t="s">
        <v>3830</v>
      </c>
    </row>
    <row r="845" spans="1:21" x14ac:dyDescent="0.25">
      <c r="A845" t="s">
        <v>3831</v>
      </c>
      <c r="B845" t="s">
        <v>22</v>
      </c>
      <c r="C845" t="s">
        <v>3832</v>
      </c>
      <c r="D845" t="s">
        <v>3824</v>
      </c>
      <c r="E845" t="s">
        <v>3833</v>
      </c>
      <c r="F845" t="s">
        <v>3826</v>
      </c>
      <c r="G845" t="s">
        <v>3827</v>
      </c>
      <c r="H845">
        <v>-74.035607999999996</v>
      </c>
      <c r="I845">
        <v>4.8854160000000002</v>
      </c>
      <c r="J845">
        <v>45</v>
      </c>
      <c r="K845" t="s">
        <v>45</v>
      </c>
      <c r="L845" t="s">
        <v>45</v>
      </c>
      <c r="M845" t="s">
        <v>45</v>
      </c>
      <c r="N845" t="s">
        <v>45</v>
      </c>
      <c r="O845" t="s">
        <v>536</v>
      </c>
      <c r="P845" t="s">
        <v>536</v>
      </c>
      <c r="Q845" t="s">
        <v>45</v>
      </c>
      <c r="R845" t="s">
        <v>3832</v>
      </c>
      <c r="S845" t="s">
        <v>3834</v>
      </c>
      <c r="T845" t="s">
        <v>3835</v>
      </c>
      <c r="U845" t="s">
        <v>3836</v>
      </c>
    </row>
    <row r="846" spans="1:21" x14ac:dyDescent="0.25">
      <c r="A846" t="s">
        <v>3837</v>
      </c>
      <c r="B846" t="s">
        <v>22</v>
      </c>
      <c r="C846" t="s">
        <v>3838</v>
      </c>
      <c r="D846" t="s">
        <v>3824</v>
      </c>
      <c r="E846" t="s">
        <v>3825</v>
      </c>
      <c r="F846" t="s">
        <v>3826</v>
      </c>
      <c r="G846" t="s">
        <v>3827</v>
      </c>
      <c r="H846">
        <v>-74.126045170481603</v>
      </c>
      <c r="I846">
        <v>4.6513646217501998</v>
      </c>
      <c r="J846">
        <v>45</v>
      </c>
      <c r="K846" t="s">
        <v>536</v>
      </c>
      <c r="L846" t="s">
        <v>536</v>
      </c>
      <c r="M846" t="s">
        <v>536</v>
      </c>
      <c r="N846" t="s">
        <v>536</v>
      </c>
      <c r="O846" t="s">
        <v>536</v>
      </c>
      <c r="P846" t="s">
        <v>536</v>
      </c>
      <c r="Q846" t="s">
        <v>45</v>
      </c>
      <c r="R846" t="s">
        <v>3838</v>
      </c>
      <c r="S846" t="s">
        <v>3839</v>
      </c>
      <c r="T846" t="s">
        <v>3829</v>
      </c>
      <c r="U846" t="s">
        <v>3840</v>
      </c>
    </row>
    <row r="847" spans="1:21" x14ac:dyDescent="0.25">
      <c r="A847" t="s">
        <v>3841</v>
      </c>
      <c r="B847" t="s">
        <v>22</v>
      </c>
      <c r="C847" t="s">
        <v>3842</v>
      </c>
      <c r="D847" t="s">
        <v>3824</v>
      </c>
      <c r="E847" t="s">
        <v>3825</v>
      </c>
      <c r="F847" t="s">
        <v>3826</v>
      </c>
      <c r="G847" t="s">
        <v>3827</v>
      </c>
      <c r="H847">
        <v>-74.115075953408905</v>
      </c>
      <c r="I847">
        <v>4.63179906988253</v>
      </c>
      <c r="J847">
        <v>45</v>
      </c>
      <c r="K847" t="s">
        <v>45</v>
      </c>
      <c r="L847" t="s">
        <v>45</v>
      </c>
      <c r="M847" t="s">
        <v>45</v>
      </c>
      <c r="N847" t="s">
        <v>45</v>
      </c>
      <c r="O847" t="s">
        <v>45</v>
      </c>
      <c r="P847" t="s">
        <v>45</v>
      </c>
      <c r="Q847" t="s">
        <v>45</v>
      </c>
      <c r="R847" t="s">
        <v>3842</v>
      </c>
      <c r="S847" t="s">
        <v>3843</v>
      </c>
      <c r="T847" t="s">
        <v>3829</v>
      </c>
      <c r="U847" t="s">
        <v>3844</v>
      </c>
    </row>
    <row r="848" spans="1:21" x14ac:dyDescent="0.25">
      <c r="A848" t="s">
        <v>3845</v>
      </c>
      <c r="B848" t="s">
        <v>22</v>
      </c>
      <c r="C848" t="s">
        <v>3846</v>
      </c>
      <c r="D848" t="s">
        <v>3824</v>
      </c>
      <c r="E848" t="s">
        <v>3847</v>
      </c>
      <c r="F848" t="s">
        <v>3826</v>
      </c>
      <c r="G848" t="s">
        <v>3827</v>
      </c>
      <c r="H848">
        <v>-75.559087000000005</v>
      </c>
      <c r="I848">
        <v>6.2058920000000004</v>
      </c>
      <c r="J848">
        <v>45</v>
      </c>
      <c r="K848" t="s">
        <v>45</v>
      </c>
      <c r="L848" t="s">
        <v>45</v>
      </c>
      <c r="M848" t="s">
        <v>45</v>
      </c>
      <c r="N848" t="s">
        <v>536</v>
      </c>
      <c r="O848" t="s">
        <v>536</v>
      </c>
      <c r="P848" t="s">
        <v>536</v>
      </c>
      <c r="Q848" t="s">
        <v>1035</v>
      </c>
      <c r="R848" t="s">
        <v>3848</v>
      </c>
      <c r="S848" t="s">
        <v>3849</v>
      </c>
      <c r="U848" t="s">
        <v>3850</v>
      </c>
    </row>
    <row r="849" spans="1:21" x14ac:dyDescent="0.25">
      <c r="A849" t="s">
        <v>3851</v>
      </c>
      <c r="B849" t="s">
        <v>22</v>
      </c>
      <c r="C849" t="s">
        <v>3852</v>
      </c>
      <c r="D849" t="s">
        <v>3824</v>
      </c>
      <c r="E849" t="s">
        <v>3853</v>
      </c>
      <c r="F849" t="s">
        <v>3826</v>
      </c>
      <c r="G849" t="s">
        <v>3827</v>
      </c>
      <c r="H849">
        <v>-74.821824803424406</v>
      </c>
      <c r="I849">
        <v>11.008316589294299</v>
      </c>
      <c r="J849">
        <v>45</v>
      </c>
      <c r="K849" t="s">
        <v>27</v>
      </c>
      <c r="L849" t="s">
        <v>27</v>
      </c>
      <c r="M849" t="s">
        <v>27</v>
      </c>
      <c r="N849" t="s">
        <v>27</v>
      </c>
      <c r="O849" t="s">
        <v>536</v>
      </c>
      <c r="P849" t="s">
        <v>536</v>
      </c>
      <c r="Q849" t="s">
        <v>536</v>
      </c>
      <c r="R849" t="s">
        <v>3854</v>
      </c>
      <c r="S849" t="s">
        <v>3855</v>
      </c>
      <c r="T849" t="s">
        <v>3856</v>
      </c>
      <c r="U849" t="s">
        <v>3857</v>
      </c>
    </row>
    <row r="850" spans="1:21" x14ac:dyDescent="0.25">
      <c r="A850" t="s">
        <v>3858</v>
      </c>
      <c r="B850" t="s">
        <v>22</v>
      </c>
      <c r="C850" t="s">
        <v>3859</v>
      </c>
      <c r="D850" t="s">
        <v>3824</v>
      </c>
      <c r="E850" t="s">
        <v>3847</v>
      </c>
      <c r="F850" t="s">
        <v>3826</v>
      </c>
      <c r="G850" t="s">
        <v>3827</v>
      </c>
      <c r="H850">
        <v>-75.5812118999999</v>
      </c>
      <c r="I850">
        <v>6.2442029999999997</v>
      </c>
      <c r="J850">
        <v>45</v>
      </c>
      <c r="K850" t="s">
        <v>536</v>
      </c>
      <c r="L850" t="s">
        <v>536</v>
      </c>
      <c r="M850" t="s">
        <v>536</v>
      </c>
      <c r="N850" t="s">
        <v>536</v>
      </c>
      <c r="O850" t="s">
        <v>536</v>
      </c>
      <c r="P850" t="s">
        <v>536</v>
      </c>
      <c r="Q850" t="s">
        <v>1035</v>
      </c>
      <c r="R850" t="s">
        <v>3860</v>
      </c>
      <c r="S850" t="s">
        <v>3861</v>
      </c>
      <c r="T850" t="s">
        <v>3862</v>
      </c>
      <c r="U850" t="s">
        <v>3863</v>
      </c>
    </row>
    <row r="851" spans="1:21" x14ac:dyDescent="0.25">
      <c r="A851" t="s">
        <v>3864</v>
      </c>
      <c r="B851" t="s">
        <v>22</v>
      </c>
      <c r="C851" t="s">
        <v>3865</v>
      </c>
      <c r="D851" t="s">
        <v>3824</v>
      </c>
      <c r="E851" t="s">
        <v>3825</v>
      </c>
      <c r="F851" t="s">
        <v>3826</v>
      </c>
      <c r="G851" t="s">
        <v>3827</v>
      </c>
      <c r="H851">
        <v>-74.072091999999998</v>
      </c>
      <c r="I851">
        <v>4.7109886000000003</v>
      </c>
      <c r="J851">
        <v>45</v>
      </c>
      <c r="K851" t="s">
        <v>45</v>
      </c>
      <c r="L851" t="s">
        <v>45</v>
      </c>
      <c r="M851" t="s">
        <v>45</v>
      </c>
      <c r="N851" t="s">
        <v>45</v>
      </c>
      <c r="O851" t="s">
        <v>45</v>
      </c>
      <c r="P851" t="s">
        <v>45</v>
      </c>
      <c r="Q851" t="s">
        <v>45</v>
      </c>
      <c r="R851" t="s">
        <v>3866</v>
      </c>
      <c r="T851" t="s">
        <v>3829</v>
      </c>
      <c r="U851" t="s">
        <v>3867</v>
      </c>
    </row>
    <row r="852" spans="1:21" x14ac:dyDescent="0.25">
      <c r="A852" t="s">
        <v>3868</v>
      </c>
      <c r="B852" t="s">
        <v>22</v>
      </c>
      <c r="C852" t="s">
        <v>3869</v>
      </c>
      <c r="D852" t="s">
        <v>3824</v>
      </c>
      <c r="E852" t="s">
        <v>3847</v>
      </c>
      <c r="F852" t="s">
        <v>3826</v>
      </c>
      <c r="G852" t="s">
        <v>3827</v>
      </c>
      <c r="H852">
        <v>-75.5812118999999</v>
      </c>
      <c r="I852">
        <v>6.2442029999999997</v>
      </c>
      <c r="J852">
        <v>45</v>
      </c>
      <c r="K852" t="s">
        <v>536</v>
      </c>
      <c r="L852" t="s">
        <v>536</v>
      </c>
      <c r="M852" t="s">
        <v>536</v>
      </c>
      <c r="N852" t="s">
        <v>536</v>
      </c>
      <c r="O852" t="s">
        <v>536</v>
      </c>
      <c r="P852" t="s">
        <v>536</v>
      </c>
      <c r="Q852" t="s">
        <v>1035</v>
      </c>
      <c r="R852" t="s">
        <v>3870</v>
      </c>
      <c r="T852" t="s">
        <v>3862</v>
      </c>
      <c r="U852" t="s">
        <v>3871</v>
      </c>
    </row>
    <row r="853" spans="1:21" x14ac:dyDescent="0.25">
      <c r="A853" t="s">
        <v>3872</v>
      </c>
      <c r="B853" t="s">
        <v>22</v>
      </c>
      <c r="C853" t="s">
        <v>3873</v>
      </c>
      <c r="D853" t="s">
        <v>3824</v>
      </c>
      <c r="E853" t="s">
        <v>3825</v>
      </c>
      <c r="F853" t="s">
        <v>3826</v>
      </c>
      <c r="G853" t="s">
        <v>3827</v>
      </c>
      <c r="H853">
        <v>-74.072091999999998</v>
      </c>
      <c r="I853">
        <v>4.7109886000000003</v>
      </c>
      <c r="J853">
        <v>45</v>
      </c>
      <c r="K853" t="s">
        <v>536</v>
      </c>
      <c r="L853" t="s">
        <v>536</v>
      </c>
      <c r="M853" t="s">
        <v>536</v>
      </c>
      <c r="N853" t="s">
        <v>536</v>
      </c>
      <c r="O853" t="s">
        <v>536</v>
      </c>
      <c r="P853" t="s">
        <v>536</v>
      </c>
      <c r="Q853" t="s">
        <v>45</v>
      </c>
      <c r="R853" t="s">
        <v>3874</v>
      </c>
      <c r="S853" t="s">
        <v>3875</v>
      </c>
      <c r="T853" t="s">
        <v>3829</v>
      </c>
      <c r="U853" t="s">
        <v>3876</v>
      </c>
    </row>
    <row r="854" spans="1:21" x14ac:dyDescent="0.25">
      <c r="A854" t="s">
        <v>3877</v>
      </c>
      <c r="B854" t="s">
        <v>22</v>
      </c>
      <c r="C854" t="s">
        <v>3878</v>
      </c>
      <c r="D854" t="s">
        <v>3879</v>
      </c>
      <c r="E854" t="s">
        <v>3847</v>
      </c>
      <c r="F854" t="s">
        <v>3826</v>
      </c>
      <c r="G854" t="s">
        <v>3827</v>
      </c>
      <c r="H854">
        <v>-75.558860599994603</v>
      </c>
      <c r="I854">
        <v>6.32553561728961</v>
      </c>
      <c r="J854">
        <v>45</v>
      </c>
      <c r="K854" t="s">
        <v>536</v>
      </c>
      <c r="L854" t="s">
        <v>536</v>
      </c>
      <c r="M854" t="s">
        <v>536</v>
      </c>
      <c r="N854" t="s">
        <v>536</v>
      </c>
      <c r="O854" t="s">
        <v>536</v>
      </c>
      <c r="P854" t="s">
        <v>536</v>
      </c>
      <c r="Q854" t="s">
        <v>536</v>
      </c>
      <c r="R854" t="s">
        <v>3878</v>
      </c>
      <c r="S854" t="s">
        <v>3880</v>
      </c>
      <c r="T854" t="s">
        <v>3862</v>
      </c>
      <c r="U854" t="s">
        <v>3881</v>
      </c>
    </row>
    <row r="855" spans="1:21" x14ac:dyDescent="0.25">
      <c r="A855" t="s">
        <v>3882</v>
      </c>
      <c r="B855" t="s">
        <v>22</v>
      </c>
      <c r="C855" t="s">
        <v>3883</v>
      </c>
      <c r="D855" t="s">
        <v>3824</v>
      </c>
      <c r="E855" t="s">
        <v>3884</v>
      </c>
      <c r="F855" t="s">
        <v>3826</v>
      </c>
      <c r="G855" t="s">
        <v>3827</v>
      </c>
      <c r="H855">
        <v>-76.526585519313798</v>
      </c>
      <c r="I855">
        <v>3.3680718017731799</v>
      </c>
      <c r="J855">
        <v>45</v>
      </c>
      <c r="K855" t="s">
        <v>45</v>
      </c>
      <c r="L855" t="s">
        <v>45</v>
      </c>
      <c r="M855" t="s">
        <v>45</v>
      </c>
      <c r="N855" t="s">
        <v>45</v>
      </c>
      <c r="O855" t="s">
        <v>45</v>
      </c>
      <c r="P855" t="s">
        <v>45</v>
      </c>
      <c r="Q855" t="s">
        <v>45</v>
      </c>
      <c r="R855" t="s">
        <v>3885</v>
      </c>
      <c r="U855" t="s">
        <v>3886</v>
      </c>
    </row>
    <row r="856" spans="1:21" x14ac:dyDescent="0.25">
      <c r="A856" t="s">
        <v>3887</v>
      </c>
      <c r="B856" t="s">
        <v>22</v>
      </c>
      <c r="C856" t="s">
        <v>3888</v>
      </c>
      <c r="D856">
        <f>357-22050050</f>
        <v>-22049693</v>
      </c>
      <c r="E856" t="s">
        <v>3889</v>
      </c>
      <c r="F856" t="s">
        <v>3890</v>
      </c>
      <c r="G856" t="s">
        <v>3891</v>
      </c>
      <c r="H856">
        <v>33.361408813864102</v>
      </c>
      <c r="I856">
        <v>35.171692836198702</v>
      </c>
      <c r="J856">
        <v>130</v>
      </c>
      <c r="K856" t="s">
        <v>536</v>
      </c>
      <c r="L856" t="s">
        <v>536</v>
      </c>
      <c r="M856" t="s">
        <v>536</v>
      </c>
      <c r="N856" t="s">
        <v>536</v>
      </c>
      <c r="O856" t="s">
        <v>536</v>
      </c>
      <c r="P856" t="s">
        <v>45</v>
      </c>
      <c r="Q856" t="s">
        <v>45</v>
      </c>
      <c r="R856" t="s">
        <v>3888</v>
      </c>
      <c r="U856" t="s">
        <v>3892</v>
      </c>
    </row>
    <row r="857" spans="1:21" x14ac:dyDescent="0.25">
      <c r="A857" t="s">
        <v>3893</v>
      </c>
      <c r="B857" t="s">
        <v>22</v>
      </c>
      <c r="C857" t="s">
        <v>3894</v>
      </c>
      <c r="D857">
        <f>420-251013940</f>
        <v>-251013520</v>
      </c>
      <c r="E857" t="s">
        <v>3895</v>
      </c>
      <c r="F857" t="s">
        <v>3896</v>
      </c>
      <c r="G857" t="s">
        <v>3897</v>
      </c>
      <c r="H857">
        <v>14.40213</v>
      </c>
      <c r="I857">
        <v>50.072780000000002</v>
      </c>
      <c r="J857">
        <v>100</v>
      </c>
      <c r="K857" t="s">
        <v>312</v>
      </c>
      <c r="L857" t="s">
        <v>312</v>
      </c>
      <c r="M857" t="s">
        <v>312</v>
      </c>
      <c r="N857" t="s">
        <v>312</v>
      </c>
      <c r="O857" t="s">
        <v>312</v>
      </c>
      <c r="P857" t="s">
        <v>312</v>
      </c>
      <c r="Q857" t="s">
        <v>312</v>
      </c>
      <c r="R857" t="s">
        <v>3894</v>
      </c>
      <c r="S857" t="s">
        <v>3898</v>
      </c>
      <c r="U857" t="s">
        <v>3899</v>
      </c>
    </row>
    <row r="858" spans="1:21" x14ac:dyDescent="0.25">
      <c r="A858" t="s">
        <v>3900</v>
      </c>
      <c r="B858" t="s">
        <v>22</v>
      </c>
      <c r="C858" t="s">
        <v>3901</v>
      </c>
      <c r="D858">
        <f>420-257952773</f>
        <v>-257952353</v>
      </c>
      <c r="E858" t="s">
        <v>3895</v>
      </c>
      <c r="F858" t="s">
        <v>3896</v>
      </c>
      <c r="G858" t="s">
        <v>3897</v>
      </c>
      <c r="H858">
        <v>14.288399999999999</v>
      </c>
      <c r="I858">
        <v>50.054409999999997</v>
      </c>
      <c r="J858">
        <v>100</v>
      </c>
      <c r="K858" t="s">
        <v>312</v>
      </c>
      <c r="L858" t="s">
        <v>312</v>
      </c>
      <c r="M858" t="s">
        <v>312</v>
      </c>
      <c r="N858" t="s">
        <v>312</v>
      </c>
      <c r="O858" t="s">
        <v>312</v>
      </c>
      <c r="P858" t="s">
        <v>312</v>
      </c>
      <c r="Q858" t="s">
        <v>312</v>
      </c>
      <c r="R858" t="s">
        <v>3901</v>
      </c>
      <c r="S858" t="s">
        <v>3902</v>
      </c>
      <c r="U858" t="s">
        <v>3903</v>
      </c>
    </row>
    <row r="859" spans="1:21" x14ac:dyDescent="0.25">
      <c r="A859" t="s">
        <v>3904</v>
      </c>
      <c r="B859" t="s">
        <v>22</v>
      </c>
      <c r="C859" t="s">
        <v>3905</v>
      </c>
      <c r="D859">
        <f>420-286001491</f>
        <v>-286001071</v>
      </c>
      <c r="E859" t="s">
        <v>3895</v>
      </c>
      <c r="F859" t="s">
        <v>3896</v>
      </c>
      <c r="G859" t="s">
        <v>3897</v>
      </c>
      <c r="H859">
        <v>14.50173</v>
      </c>
      <c r="I859">
        <v>50.135539999999999</v>
      </c>
      <c r="J859">
        <v>100</v>
      </c>
      <c r="K859" t="s">
        <v>312</v>
      </c>
      <c r="L859" t="s">
        <v>312</v>
      </c>
      <c r="M859" t="s">
        <v>312</v>
      </c>
      <c r="N859" t="s">
        <v>312</v>
      </c>
      <c r="O859" t="s">
        <v>312</v>
      </c>
      <c r="P859" t="s">
        <v>312</v>
      </c>
      <c r="Q859" t="s">
        <v>312</v>
      </c>
      <c r="R859" t="s">
        <v>3905</v>
      </c>
      <c r="S859" t="s">
        <v>3906</v>
      </c>
      <c r="U859" t="s">
        <v>3907</v>
      </c>
    </row>
    <row r="860" spans="1:21" x14ac:dyDescent="0.25">
      <c r="A860" t="s">
        <v>3908</v>
      </c>
      <c r="B860" t="s">
        <v>32</v>
      </c>
      <c r="C860" t="s">
        <v>3909</v>
      </c>
      <c r="D860">
        <f>420-224423412</f>
        <v>-224422992</v>
      </c>
      <c r="E860" t="s">
        <v>3895</v>
      </c>
      <c r="F860" t="s">
        <v>3896</v>
      </c>
      <c r="G860" t="s">
        <v>3897</v>
      </c>
      <c r="H860">
        <v>14.42539</v>
      </c>
      <c r="I860">
        <v>50.085680000000004</v>
      </c>
      <c r="J860">
        <v>100</v>
      </c>
      <c r="K860" t="s">
        <v>312</v>
      </c>
      <c r="L860" t="s">
        <v>312</v>
      </c>
      <c r="M860" t="s">
        <v>312</v>
      </c>
      <c r="N860" t="s">
        <v>312</v>
      </c>
      <c r="O860" t="s">
        <v>312</v>
      </c>
      <c r="P860" t="s">
        <v>312</v>
      </c>
      <c r="Q860" t="s">
        <v>45</v>
      </c>
      <c r="R860" t="s">
        <v>3909</v>
      </c>
      <c r="S860" t="s">
        <v>3910</v>
      </c>
      <c r="U860" t="s">
        <v>3911</v>
      </c>
    </row>
    <row r="861" spans="1:21" x14ac:dyDescent="0.25">
      <c r="A861" t="s">
        <v>3912</v>
      </c>
      <c r="B861" t="s">
        <v>22</v>
      </c>
      <c r="C861" t="s">
        <v>3913</v>
      </c>
      <c r="D861">
        <f>420-542422482</f>
        <v>-542422062</v>
      </c>
      <c r="E861" t="s">
        <v>3914</v>
      </c>
      <c r="F861" t="s">
        <v>3896</v>
      </c>
      <c r="G861" t="s">
        <v>3897</v>
      </c>
      <c r="H861">
        <v>16.6068</v>
      </c>
      <c r="I861">
        <v>49.195430000000002</v>
      </c>
      <c r="J861">
        <v>100</v>
      </c>
      <c r="K861" t="s">
        <v>192</v>
      </c>
      <c r="L861" t="s">
        <v>192</v>
      </c>
      <c r="M861" t="s">
        <v>192</v>
      </c>
      <c r="N861" t="s">
        <v>192</v>
      </c>
      <c r="O861" t="s">
        <v>192</v>
      </c>
      <c r="P861" t="s">
        <v>166</v>
      </c>
      <c r="Q861" t="s">
        <v>1034</v>
      </c>
      <c r="R861" t="s">
        <v>3913</v>
      </c>
      <c r="S861" t="s">
        <v>3915</v>
      </c>
      <c r="U861" t="s">
        <v>3916</v>
      </c>
    </row>
    <row r="862" spans="1:21" x14ac:dyDescent="0.25">
      <c r="A862" t="s">
        <v>3917</v>
      </c>
      <c r="B862" t="s">
        <v>38</v>
      </c>
      <c r="C862" t="s">
        <v>3918</v>
      </c>
      <c r="D862">
        <f>420-377432991</f>
        <v>-377432571</v>
      </c>
      <c r="E862" t="s">
        <v>3919</v>
      </c>
      <c r="F862" t="s">
        <v>3896</v>
      </c>
      <c r="G862" t="s">
        <v>3897</v>
      </c>
      <c r="H862">
        <v>13.4255</v>
      </c>
      <c r="I862">
        <v>49.701140000000002</v>
      </c>
      <c r="J862">
        <v>100</v>
      </c>
      <c r="K862" t="s">
        <v>312</v>
      </c>
      <c r="L862" t="s">
        <v>312</v>
      </c>
      <c r="M862" t="s">
        <v>312</v>
      </c>
      <c r="N862" t="s">
        <v>312</v>
      </c>
      <c r="O862" t="s">
        <v>312</v>
      </c>
      <c r="P862" t="s">
        <v>312</v>
      </c>
      <c r="Q862" t="s">
        <v>312</v>
      </c>
      <c r="R862" t="s">
        <v>3918</v>
      </c>
      <c r="S862" t="s">
        <v>3920</v>
      </c>
      <c r="U862" t="s">
        <v>3921</v>
      </c>
    </row>
    <row r="863" spans="1:21" x14ac:dyDescent="0.25">
      <c r="A863" t="s">
        <v>3922</v>
      </c>
      <c r="B863" t="s">
        <v>38</v>
      </c>
      <c r="C863" t="s">
        <v>3923</v>
      </c>
      <c r="D863">
        <f>420-585129301</f>
        <v>-585128881</v>
      </c>
      <c r="E863" t="s">
        <v>3924</v>
      </c>
      <c r="F863" t="s">
        <v>3896</v>
      </c>
      <c r="G863" t="s">
        <v>3897</v>
      </c>
      <c r="H863">
        <v>17.30574</v>
      </c>
      <c r="I863">
        <v>49.559069999999998</v>
      </c>
      <c r="J863">
        <v>100</v>
      </c>
      <c r="K863" t="s">
        <v>312</v>
      </c>
      <c r="L863" t="s">
        <v>312</v>
      </c>
      <c r="M863" t="s">
        <v>312</v>
      </c>
      <c r="N863" t="s">
        <v>312</v>
      </c>
      <c r="O863" t="s">
        <v>312</v>
      </c>
      <c r="P863" t="s">
        <v>312</v>
      </c>
      <c r="Q863" t="s">
        <v>312</v>
      </c>
      <c r="R863" t="s">
        <v>3923</v>
      </c>
      <c r="S863" t="s">
        <v>3925</v>
      </c>
      <c r="U863" t="s">
        <v>3926</v>
      </c>
    </row>
    <row r="864" spans="1:21" x14ac:dyDescent="0.25">
      <c r="A864" t="s">
        <v>3927</v>
      </c>
      <c r="B864" t="s">
        <v>22</v>
      </c>
      <c r="C864" t="s">
        <v>3928</v>
      </c>
      <c r="D864">
        <f>42-225771390</f>
        <v>-225771348</v>
      </c>
      <c r="E864" t="s">
        <v>3895</v>
      </c>
      <c r="F864" t="s">
        <v>3896</v>
      </c>
      <c r="G864" t="s">
        <v>3897</v>
      </c>
      <c r="H864">
        <v>14.42872</v>
      </c>
      <c r="I864">
        <v>50.089179999999999</v>
      </c>
      <c r="J864">
        <v>100</v>
      </c>
      <c r="K864" t="s">
        <v>312</v>
      </c>
      <c r="L864" t="s">
        <v>312</v>
      </c>
      <c r="M864" t="s">
        <v>312</v>
      </c>
      <c r="N864" t="s">
        <v>312</v>
      </c>
      <c r="O864" t="s">
        <v>312</v>
      </c>
      <c r="P864" t="s">
        <v>312</v>
      </c>
      <c r="Q864" t="s">
        <v>312</v>
      </c>
      <c r="R864" t="s">
        <v>3928</v>
      </c>
      <c r="S864" t="s">
        <v>3929</v>
      </c>
      <c r="U864" t="s">
        <v>3930</v>
      </c>
    </row>
    <row r="865" spans="1:21" x14ac:dyDescent="0.25">
      <c r="A865" t="s">
        <v>3931</v>
      </c>
      <c r="B865" t="s">
        <v>38</v>
      </c>
      <c r="C865" t="s">
        <v>3932</v>
      </c>
      <c r="D865">
        <f>420-596761022</f>
        <v>-596760602</v>
      </c>
      <c r="E865" t="s">
        <v>3933</v>
      </c>
      <c r="F865" t="s">
        <v>3896</v>
      </c>
      <c r="G865" t="s">
        <v>3897</v>
      </c>
      <c r="H865">
        <v>18.227979999999999</v>
      </c>
      <c r="I865">
        <v>49.80077</v>
      </c>
      <c r="J865">
        <v>100</v>
      </c>
      <c r="K865" t="s">
        <v>312</v>
      </c>
      <c r="L865" t="s">
        <v>312</v>
      </c>
      <c r="M865" t="s">
        <v>312</v>
      </c>
      <c r="N865" t="s">
        <v>312</v>
      </c>
      <c r="O865" t="s">
        <v>312</v>
      </c>
      <c r="P865" t="s">
        <v>312</v>
      </c>
      <c r="Q865" t="s">
        <v>312</v>
      </c>
      <c r="R865" t="s">
        <v>3932</v>
      </c>
      <c r="S865" t="s">
        <v>3934</v>
      </c>
      <c r="U865" t="s">
        <v>3935</v>
      </c>
    </row>
    <row r="866" spans="1:21" x14ac:dyDescent="0.25">
      <c r="A866" t="s">
        <v>3936</v>
      </c>
      <c r="B866" t="s">
        <v>22</v>
      </c>
      <c r="C866" t="s">
        <v>3937</v>
      </c>
      <c r="D866">
        <f>420-234656051</f>
        <v>-234655631</v>
      </c>
      <c r="E866" t="s">
        <v>3895</v>
      </c>
      <c r="F866" t="s">
        <v>3896</v>
      </c>
      <c r="G866" t="s">
        <v>3897</v>
      </c>
      <c r="H866">
        <v>14.42595</v>
      </c>
      <c r="I866">
        <v>50.082889999999999</v>
      </c>
      <c r="J866">
        <v>100</v>
      </c>
      <c r="K866" t="s">
        <v>312</v>
      </c>
      <c r="L866" t="s">
        <v>312</v>
      </c>
      <c r="M866" t="s">
        <v>312</v>
      </c>
      <c r="N866" t="s">
        <v>312</v>
      </c>
      <c r="O866" t="s">
        <v>312</v>
      </c>
      <c r="P866" t="s">
        <v>312</v>
      </c>
      <c r="Q866" t="s">
        <v>45</v>
      </c>
      <c r="R866" t="s">
        <v>3937</v>
      </c>
      <c r="S866" t="s">
        <v>3938</v>
      </c>
      <c r="U866" t="s">
        <v>3939</v>
      </c>
    </row>
    <row r="867" spans="1:21" x14ac:dyDescent="0.25">
      <c r="A867" t="s">
        <v>3940</v>
      </c>
      <c r="B867" t="s">
        <v>22</v>
      </c>
      <c r="C867" t="s">
        <v>3941</v>
      </c>
      <c r="D867">
        <f>420-244404670</f>
        <v>-244404250</v>
      </c>
      <c r="E867" t="s">
        <v>3895</v>
      </c>
      <c r="F867" t="s">
        <v>3896</v>
      </c>
      <c r="G867" t="s">
        <v>3897</v>
      </c>
      <c r="H867">
        <v>14.42656</v>
      </c>
      <c r="I867">
        <v>50.060809999999996</v>
      </c>
      <c r="J867">
        <v>100</v>
      </c>
      <c r="K867" t="s">
        <v>312</v>
      </c>
      <c r="L867" t="s">
        <v>312</v>
      </c>
      <c r="M867" t="s">
        <v>312</v>
      </c>
      <c r="N867" t="s">
        <v>312</v>
      </c>
      <c r="O867" t="s">
        <v>312</v>
      </c>
      <c r="P867" t="s">
        <v>312</v>
      </c>
      <c r="Q867" t="s">
        <v>312</v>
      </c>
      <c r="R867" t="s">
        <v>3941</v>
      </c>
      <c r="S867" t="s">
        <v>3942</v>
      </c>
      <c r="U867" t="s">
        <v>3943</v>
      </c>
    </row>
    <row r="868" spans="1:21" x14ac:dyDescent="0.25">
      <c r="A868" t="s">
        <v>3944</v>
      </c>
      <c r="B868" t="s">
        <v>38</v>
      </c>
      <c r="C868" t="s">
        <v>311</v>
      </c>
      <c r="D868">
        <f>420-271751760</f>
        <v>-271751340</v>
      </c>
      <c r="E868" t="s">
        <v>3895</v>
      </c>
      <c r="F868" t="s">
        <v>3896</v>
      </c>
      <c r="G868" t="s">
        <v>3897</v>
      </c>
      <c r="H868">
        <v>14.541370000000001</v>
      </c>
      <c r="I868">
        <v>50.07226</v>
      </c>
      <c r="J868">
        <v>100</v>
      </c>
      <c r="K868" t="s">
        <v>312</v>
      </c>
      <c r="L868" t="s">
        <v>312</v>
      </c>
      <c r="M868" t="s">
        <v>312</v>
      </c>
      <c r="N868" t="s">
        <v>312</v>
      </c>
      <c r="O868" t="s">
        <v>312</v>
      </c>
      <c r="P868" t="s">
        <v>312</v>
      </c>
      <c r="Q868" t="s">
        <v>312</v>
      </c>
      <c r="R868" t="s">
        <v>311</v>
      </c>
      <c r="S868" t="s">
        <v>3945</v>
      </c>
      <c r="U868" t="s">
        <v>3946</v>
      </c>
    </row>
    <row r="869" spans="1:21" x14ac:dyDescent="0.25">
      <c r="A869" t="s">
        <v>3947</v>
      </c>
      <c r="B869" t="s">
        <v>38</v>
      </c>
      <c r="C869" t="s">
        <v>3948</v>
      </c>
      <c r="D869">
        <f>420-571817352</f>
        <v>-571816932</v>
      </c>
      <c r="E869" t="s">
        <v>3949</v>
      </c>
      <c r="F869" t="s">
        <v>3896</v>
      </c>
      <c r="G869" t="s">
        <v>3897</v>
      </c>
      <c r="H869">
        <v>17.66778</v>
      </c>
      <c r="I869">
        <v>49.226599999999998</v>
      </c>
      <c r="J869">
        <v>100</v>
      </c>
      <c r="K869" t="s">
        <v>312</v>
      </c>
      <c r="L869" t="s">
        <v>312</v>
      </c>
      <c r="M869" t="s">
        <v>312</v>
      </c>
      <c r="N869" t="s">
        <v>312</v>
      </c>
      <c r="O869" t="s">
        <v>312</v>
      </c>
      <c r="P869" t="s">
        <v>312</v>
      </c>
      <c r="Q869" t="s">
        <v>312</v>
      </c>
      <c r="R869" t="s">
        <v>3948</v>
      </c>
      <c r="S869" t="s">
        <v>3950</v>
      </c>
      <c r="U869" t="s">
        <v>3951</v>
      </c>
    </row>
    <row r="870" spans="1:21" x14ac:dyDescent="0.25">
      <c r="A870" t="s">
        <v>3952</v>
      </c>
      <c r="B870" t="s">
        <v>38</v>
      </c>
      <c r="C870" t="s">
        <v>3953</v>
      </c>
      <c r="D870">
        <f>420-485108911</f>
        <v>-485108491</v>
      </c>
      <c r="E870" t="s">
        <v>3954</v>
      </c>
      <c r="F870" t="s">
        <v>3896</v>
      </c>
      <c r="G870" t="s">
        <v>3897</v>
      </c>
      <c r="H870">
        <v>15.05517</v>
      </c>
      <c r="I870">
        <v>50.765569999999997</v>
      </c>
      <c r="J870">
        <v>100</v>
      </c>
      <c r="K870" t="s">
        <v>192</v>
      </c>
      <c r="L870" t="s">
        <v>192</v>
      </c>
      <c r="M870" t="s">
        <v>192</v>
      </c>
      <c r="N870" t="s">
        <v>192</v>
      </c>
      <c r="O870" t="s">
        <v>192</v>
      </c>
      <c r="P870" t="s">
        <v>192</v>
      </c>
      <c r="Q870" t="s">
        <v>192</v>
      </c>
      <c r="R870" t="s">
        <v>3953</v>
      </c>
      <c r="S870" t="s">
        <v>3955</v>
      </c>
      <c r="U870" t="s">
        <v>3956</v>
      </c>
    </row>
    <row r="871" spans="1:21" x14ac:dyDescent="0.25">
      <c r="A871" t="s">
        <v>3957</v>
      </c>
      <c r="B871" t="s">
        <v>22</v>
      </c>
      <c r="C871" t="s">
        <v>3958</v>
      </c>
      <c r="D871">
        <f>420-547242405</f>
        <v>-547241985</v>
      </c>
      <c r="E871" t="s">
        <v>3914</v>
      </c>
      <c r="F871" t="s">
        <v>3896</v>
      </c>
      <c r="G871" t="s">
        <v>3897</v>
      </c>
      <c r="H871">
        <v>16.63128</v>
      </c>
      <c r="I871">
        <v>49.139049999999997</v>
      </c>
      <c r="J871">
        <v>100</v>
      </c>
      <c r="K871" t="s">
        <v>536</v>
      </c>
      <c r="L871" t="s">
        <v>536</v>
      </c>
      <c r="M871" t="s">
        <v>536</v>
      </c>
      <c r="N871" t="s">
        <v>536</v>
      </c>
      <c r="O871" t="s">
        <v>536</v>
      </c>
      <c r="P871" t="s">
        <v>312</v>
      </c>
      <c r="Q871" t="s">
        <v>312</v>
      </c>
      <c r="R871" t="s">
        <v>3958</v>
      </c>
      <c r="S871" t="s">
        <v>3959</v>
      </c>
      <c r="U871" t="s">
        <v>3960</v>
      </c>
    </row>
    <row r="872" spans="1:21" x14ac:dyDescent="0.25">
      <c r="A872" t="s">
        <v>3961</v>
      </c>
      <c r="B872" t="s">
        <v>38</v>
      </c>
      <c r="C872" t="s">
        <v>3962</v>
      </c>
      <c r="D872">
        <f>420-475212122</f>
        <v>-475211702</v>
      </c>
      <c r="E872" t="s">
        <v>3963</v>
      </c>
      <c r="F872" t="s">
        <v>3896</v>
      </c>
      <c r="G872" t="s">
        <v>3897</v>
      </c>
      <c r="H872">
        <v>14.039110000000001</v>
      </c>
      <c r="I872">
        <v>50.658729999999998</v>
      </c>
      <c r="J872">
        <v>100</v>
      </c>
      <c r="K872" t="s">
        <v>312</v>
      </c>
      <c r="L872" t="s">
        <v>312</v>
      </c>
      <c r="M872" t="s">
        <v>312</v>
      </c>
      <c r="N872" t="s">
        <v>312</v>
      </c>
      <c r="O872" t="s">
        <v>312</v>
      </c>
      <c r="P872" t="s">
        <v>312</v>
      </c>
      <c r="Q872" t="s">
        <v>312</v>
      </c>
      <c r="R872" t="s">
        <v>3962</v>
      </c>
      <c r="S872" t="s">
        <v>3964</v>
      </c>
      <c r="U872" t="s">
        <v>3965</v>
      </c>
    </row>
    <row r="873" spans="1:21" x14ac:dyDescent="0.25">
      <c r="A873" t="s">
        <v>3966</v>
      </c>
      <c r="B873" t="s">
        <v>38</v>
      </c>
      <c r="C873" t="s">
        <v>3967</v>
      </c>
      <c r="D873">
        <f>420-466989677</f>
        <v>-466989257</v>
      </c>
      <c r="E873" t="s">
        <v>3968</v>
      </c>
      <c r="F873" t="s">
        <v>3896</v>
      </c>
      <c r="G873" t="s">
        <v>3897</v>
      </c>
      <c r="H873">
        <v>15.768509999999999</v>
      </c>
      <c r="I873">
        <v>50.037930000000003</v>
      </c>
      <c r="J873">
        <v>100</v>
      </c>
      <c r="K873" t="s">
        <v>312</v>
      </c>
      <c r="L873" t="s">
        <v>312</v>
      </c>
      <c r="M873" t="s">
        <v>312</v>
      </c>
      <c r="N873" t="s">
        <v>312</v>
      </c>
      <c r="O873" t="s">
        <v>312</v>
      </c>
      <c r="P873" t="s">
        <v>312</v>
      </c>
      <c r="Q873" t="s">
        <v>536</v>
      </c>
      <c r="R873" t="s">
        <v>3969</v>
      </c>
      <c r="S873" t="s">
        <v>3970</v>
      </c>
      <c r="U873" t="s">
        <v>3971</v>
      </c>
    </row>
    <row r="874" spans="1:21" x14ac:dyDescent="0.25">
      <c r="A874" t="s">
        <v>3972</v>
      </c>
      <c r="B874" t="s">
        <v>22</v>
      </c>
      <c r="C874" t="s">
        <v>3973</v>
      </c>
      <c r="D874">
        <f>420-495444482</f>
        <v>-495444062</v>
      </c>
      <c r="E874" t="s">
        <v>3974</v>
      </c>
      <c r="F874" t="s">
        <v>3896</v>
      </c>
      <c r="G874" t="s">
        <v>3897</v>
      </c>
      <c r="H874">
        <v>15.84853</v>
      </c>
      <c r="I874">
        <v>50.197200000000002</v>
      </c>
      <c r="J874">
        <v>100</v>
      </c>
      <c r="K874" t="s">
        <v>312</v>
      </c>
      <c r="L874" t="s">
        <v>312</v>
      </c>
      <c r="M874" t="s">
        <v>312</v>
      </c>
      <c r="N874" t="s">
        <v>312</v>
      </c>
      <c r="O874" t="s">
        <v>312</v>
      </c>
      <c r="P874" t="s">
        <v>312</v>
      </c>
      <c r="Q874" t="s">
        <v>312</v>
      </c>
      <c r="R874" t="s">
        <v>3973</v>
      </c>
      <c r="S874" t="s">
        <v>3975</v>
      </c>
      <c r="U874" t="s">
        <v>3976</v>
      </c>
    </row>
    <row r="875" spans="1:21" x14ac:dyDescent="0.25">
      <c r="A875" t="s">
        <v>3977</v>
      </c>
      <c r="B875" t="s">
        <v>38</v>
      </c>
      <c r="C875" t="s">
        <v>3978</v>
      </c>
      <c r="D875">
        <f>420-386321468</f>
        <v>-386321048</v>
      </c>
      <c r="E875" t="s">
        <v>3979</v>
      </c>
      <c r="F875" t="s">
        <v>3896</v>
      </c>
      <c r="G875" t="s">
        <v>3897</v>
      </c>
      <c r="H875">
        <v>14.480639999999999</v>
      </c>
      <c r="I875">
        <v>48.974359999999997</v>
      </c>
      <c r="J875">
        <v>100</v>
      </c>
      <c r="K875" t="s">
        <v>165</v>
      </c>
      <c r="L875" t="s">
        <v>165</v>
      </c>
      <c r="M875" t="s">
        <v>165</v>
      </c>
      <c r="N875" t="s">
        <v>165</v>
      </c>
      <c r="O875" t="s">
        <v>165</v>
      </c>
      <c r="P875" t="s">
        <v>326</v>
      </c>
      <c r="R875" t="s">
        <v>3978</v>
      </c>
      <c r="S875" t="s">
        <v>3980</v>
      </c>
      <c r="U875" t="s">
        <v>3981</v>
      </c>
    </row>
    <row r="876" spans="1:21" x14ac:dyDescent="0.25">
      <c r="A876" t="s">
        <v>3982</v>
      </c>
      <c r="B876" t="s">
        <v>38</v>
      </c>
      <c r="C876" t="s">
        <v>3983</v>
      </c>
      <c r="D876">
        <f>420-266710420</f>
        <v>-266710000</v>
      </c>
      <c r="E876" t="s">
        <v>3895</v>
      </c>
      <c r="F876" t="s">
        <v>3896</v>
      </c>
      <c r="G876" t="s">
        <v>3897</v>
      </c>
      <c r="H876">
        <v>14.491429999999999</v>
      </c>
      <c r="I876">
        <v>50.103700000000003</v>
      </c>
      <c r="J876">
        <v>100</v>
      </c>
      <c r="K876" t="s">
        <v>312</v>
      </c>
      <c r="L876" t="s">
        <v>312</v>
      </c>
      <c r="M876" t="s">
        <v>312</v>
      </c>
      <c r="N876" t="s">
        <v>312</v>
      </c>
      <c r="O876" t="s">
        <v>312</v>
      </c>
      <c r="P876" t="s">
        <v>312</v>
      </c>
      <c r="Q876" t="s">
        <v>312</v>
      </c>
      <c r="R876" t="s">
        <v>3983</v>
      </c>
      <c r="S876" t="s">
        <v>3984</v>
      </c>
      <c r="U876" t="s">
        <v>3985</v>
      </c>
    </row>
    <row r="877" spans="1:21" x14ac:dyDescent="0.25">
      <c r="A877" t="s">
        <v>3986</v>
      </c>
      <c r="B877" t="s">
        <v>22</v>
      </c>
      <c r="C877" t="s">
        <v>3987</v>
      </c>
      <c r="D877">
        <f>420-543214724</f>
        <v>-543214304</v>
      </c>
      <c r="E877" t="s">
        <v>3914</v>
      </c>
      <c r="F877" t="s">
        <v>3896</v>
      </c>
      <c r="G877" t="s">
        <v>3897</v>
      </c>
      <c r="H877">
        <v>16.615030000000001</v>
      </c>
      <c r="I877">
        <v>49.18703</v>
      </c>
      <c r="J877">
        <v>100</v>
      </c>
      <c r="K877" t="s">
        <v>312</v>
      </c>
      <c r="L877" t="s">
        <v>312</v>
      </c>
      <c r="M877" t="s">
        <v>312</v>
      </c>
      <c r="N877" t="s">
        <v>312</v>
      </c>
      <c r="O877" t="s">
        <v>312</v>
      </c>
      <c r="P877" t="s">
        <v>312</v>
      </c>
      <c r="Q877" t="s">
        <v>45</v>
      </c>
      <c r="R877" t="s">
        <v>3987</v>
      </c>
      <c r="S877" t="s">
        <v>3988</v>
      </c>
      <c r="U877" t="s">
        <v>3989</v>
      </c>
    </row>
    <row r="878" spans="1:21" x14ac:dyDescent="0.25">
      <c r="A878" t="s">
        <v>3990</v>
      </c>
      <c r="B878" t="s">
        <v>22</v>
      </c>
      <c r="C878" t="s">
        <v>3991</v>
      </c>
      <c r="D878">
        <f>420-596112517</f>
        <v>-596112097</v>
      </c>
      <c r="E878" t="s">
        <v>3933</v>
      </c>
      <c r="F878" t="s">
        <v>3896</v>
      </c>
      <c r="G878" t="s">
        <v>3897</v>
      </c>
      <c r="H878">
        <v>18.285309999999999</v>
      </c>
      <c r="I878">
        <v>49.831580000000002</v>
      </c>
      <c r="J878">
        <v>100</v>
      </c>
      <c r="K878" t="s">
        <v>312</v>
      </c>
      <c r="L878" t="s">
        <v>312</v>
      </c>
      <c r="M878" t="s">
        <v>312</v>
      </c>
      <c r="N878" t="s">
        <v>312</v>
      </c>
      <c r="O878" t="s">
        <v>312</v>
      </c>
      <c r="P878" t="s">
        <v>312</v>
      </c>
      <c r="Q878" t="s">
        <v>312</v>
      </c>
      <c r="R878" t="s">
        <v>3991</v>
      </c>
      <c r="S878" t="s">
        <v>3992</v>
      </c>
      <c r="U878" t="s">
        <v>3993</v>
      </c>
    </row>
    <row r="879" spans="1:21" x14ac:dyDescent="0.25">
      <c r="A879" t="s">
        <v>3994</v>
      </c>
      <c r="B879" t="s">
        <v>38</v>
      </c>
      <c r="C879" t="s">
        <v>3995</v>
      </c>
      <c r="D879">
        <f>420-553668511</f>
        <v>-553668091</v>
      </c>
      <c r="E879" t="s">
        <v>3996</v>
      </c>
      <c r="F879" t="s">
        <v>3896</v>
      </c>
      <c r="G879" t="s">
        <v>3897</v>
      </c>
      <c r="H879">
        <v>17.90081</v>
      </c>
      <c r="I879">
        <v>49.940939999999998</v>
      </c>
      <c r="J879">
        <v>100</v>
      </c>
      <c r="K879" t="s">
        <v>312</v>
      </c>
      <c r="L879" t="s">
        <v>312</v>
      </c>
      <c r="M879" t="s">
        <v>312</v>
      </c>
      <c r="N879" t="s">
        <v>312</v>
      </c>
      <c r="O879" t="s">
        <v>312</v>
      </c>
      <c r="P879" t="s">
        <v>312</v>
      </c>
      <c r="Q879" t="s">
        <v>312</v>
      </c>
      <c r="R879" t="s">
        <v>3995</v>
      </c>
      <c r="S879" t="s">
        <v>3997</v>
      </c>
      <c r="U879" t="s">
        <v>3998</v>
      </c>
    </row>
    <row r="880" spans="1:21" x14ac:dyDescent="0.25">
      <c r="A880" t="s">
        <v>3999</v>
      </c>
      <c r="B880" t="s">
        <v>38</v>
      </c>
      <c r="C880" t="s">
        <v>4000</v>
      </c>
      <c r="D880">
        <f>420-377225752</f>
        <v>-377225332</v>
      </c>
      <c r="E880" t="s">
        <v>3919</v>
      </c>
      <c r="F880" t="s">
        <v>3896</v>
      </c>
      <c r="G880" t="s">
        <v>3897</v>
      </c>
      <c r="H880">
        <v>13.368639999999999</v>
      </c>
      <c r="I880">
        <v>49.749450000000003</v>
      </c>
      <c r="J880">
        <v>100</v>
      </c>
      <c r="K880" t="s">
        <v>312</v>
      </c>
      <c r="L880" t="s">
        <v>312</v>
      </c>
      <c r="M880" t="s">
        <v>312</v>
      </c>
      <c r="N880" t="s">
        <v>312</v>
      </c>
      <c r="O880" t="s">
        <v>312</v>
      </c>
      <c r="P880" t="s">
        <v>312</v>
      </c>
      <c r="Q880" t="s">
        <v>312</v>
      </c>
      <c r="R880" t="s">
        <v>4000</v>
      </c>
      <c r="S880" t="s">
        <v>4001</v>
      </c>
      <c r="U880" t="s">
        <v>4002</v>
      </c>
    </row>
    <row r="881" spans="1:21" x14ac:dyDescent="0.25">
      <c r="A881" t="s">
        <v>4003</v>
      </c>
      <c r="B881" t="s">
        <v>38</v>
      </c>
      <c r="C881" t="s">
        <v>4004</v>
      </c>
      <c r="D881">
        <f>420-542210112</f>
        <v>-542209692</v>
      </c>
      <c r="E881" t="s">
        <v>3914</v>
      </c>
      <c r="F881" t="s">
        <v>3896</v>
      </c>
      <c r="G881" t="s">
        <v>3897</v>
      </c>
      <c r="H881">
        <v>16.627009999999999</v>
      </c>
      <c r="I881">
        <v>49.157820000000001</v>
      </c>
      <c r="J881">
        <v>100</v>
      </c>
      <c r="K881" t="s">
        <v>192</v>
      </c>
      <c r="L881" t="s">
        <v>192</v>
      </c>
      <c r="M881" t="s">
        <v>192</v>
      </c>
      <c r="N881" t="s">
        <v>192</v>
      </c>
      <c r="O881" t="s">
        <v>192</v>
      </c>
      <c r="P881" t="s">
        <v>192</v>
      </c>
      <c r="Q881" t="s">
        <v>192</v>
      </c>
      <c r="R881" t="s">
        <v>4004</v>
      </c>
      <c r="S881" t="s">
        <v>4005</v>
      </c>
      <c r="U881" t="s">
        <v>4006</v>
      </c>
    </row>
    <row r="882" spans="1:21" x14ac:dyDescent="0.25">
      <c r="A882" t="s">
        <v>4007</v>
      </c>
      <c r="B882" t="s">
        <v>22</v>
      </c>
      <c r="C882" t="s">
        <v>4008</v>
      </c>
      <c r="D882">
        <f>420-588881250</f>
        <v>-588880830</v>
      </c>
      <c r="E882" t="s">
        <v>3924</v>
      </c>
      <c r="F882" t="s">
        <v>3896</v>
      </c>
      <c r="G882" t="s">
        <v>3897</v>
      </c>
      <c r="H882">
        <v>17.257280000000002</v>
      </c>
      <c r="I882">
        <v>49.587090000000003</v>
      </c>
      <c r="J882">
        <v>100</v>
      </c>
      <c r="K882" t="s">
        <v>312</v>
      </c>
      <c r="L882" t="s">
        <v>312</v>
      </c>
      <c r="M882" t="s">
        <v>312</v>
      </c>
      <c r="N882" t="s">
        <v>312</v>
      </c>
      <c r="O882" t="s">
        <v>312</v>
      </c>
      <c r="P882" t="s">
        <v>312</v>
      </c>
      <c r="Q882" t="s">
        <v>312</v>
      </c>
      <c r="R882" t="s">
        <v>4008</v>
      </c>
      <c r="S882" t="s">
        <v>4009</v>
      </c>
      <c r="U882" t="s">
        <v>4010</v>
      </c>
    </row>
    <row r="883" spans="1:21" x14ac:dyDescent="0.25">
      <c r="A883" t="s">
        <v>4011</v>
      </c>
      <c r="B883" t="s">
        <v>38</v>
      </c>
      <c r="C883" t="s">
        <v>4012</v>
      </c>
      <c r="D883">
        <f>420-417537055</f>
        <v>-417536635</v>
      </c>
      <c r="E883" t="s">
        <v>4013</v>
      </c>
      <c r="F883" t="s">
        <v>3896</v>
      </c>
      <c r="G883" t="s">
        <v>3897</v>
      </c>
      <c r="H883">
        <v>13.82382</v>
      </c>
      <c r="I883">
        <v>50.639650000000003</v>
      </c>
      <c r="J883">
        <v>100</v>
      </c>
      <c r="K883" t="s">
        <v>312</v>
      </c>
      <c r="L883" t="s">
        <v>312</v>
      </c>
      <c r="M883" t="s">
        <v>312</v>
      </c>
      <c r="N883" t="s">
        <v>312</v>
      </c>
      <c r="O883" t="s">
        <v>312</v>
      </c>
      <c r="P883" t="s">
        <v>312</v>
      </c>
      <c r="Q883" t="s">
        <v>312</v>
      </c>
      <c r="R883" t="s">
        <v>4012</v>
      </c>
      <c r="S883" t="s">
        <v>4014</v>
      </c>
      <c r="U883" t="s">
        <v>4015</v>
      </c>
    </row>
    <row r="884" spans="1:21" x14ac:dyDescent="0.25">
      <c r="A884" t="s">
        <v>4016</v>
      </c>
      <c r="B884" t="s">
        <v>38</v>
      </c>
      <c r="C884" t="s">
        <v>4017</v>
      </c>
      <c r="D884">
        <f>420-558650058</f>
        <v>-558649638</v>
      </c>
      <c r="E884" t="s">
        <v>4018</v>
      </c>
      <c r="F884" t="s">
        <v>3896</v>
      </c>
      <c r="G884" t="s">
        <v>3897</v>
      </c>
      <c r="H884">
        <v>18.347180000000002</v>
      </c>
      <c r="I884">
        <v>49.680630000000001</v>
      </c>
      <c r="J884">
        <v>100</v>
      </c>
      <c r="K884" t="s">
        <v>192</v>
      </c>
      <c r="L884" t="s">
        <v>192</v>
      </c>
      <c r="M884" t="s">
        <v>192</v>
      </c>
      <c r="N884" t="s">
        <v>192</v>
      </c>
      <c r="O884" t="s">
        <v>192</v>
      </c>
      <c r="P884" t="s">
        <v>192</v>
      </c>
      <c r="Q884" t="s">
        <v>192</v>
      </c>
      <c r="R884" t="s">
        <v>4017</v>
      </c>
      <c r="S884" t="s">
        <v>4019</v>
      </c>
      <c r="U884" t="s">
        <v>4020</v>
      </c>
    </row>
    <row r="885" spans="1:21" x14ac:dyDescent="0.25">
      <c r="A885" t="s">
        <v>4021</v>
      </c>
      <c r="B885" t="s">
        <v>38</v>
      </c>
      <c r="C885" t="s">
        <v>4022</v>
      </c>
      <c r="D885">
        <f>420-596630209</f>
        <v>-596629789</v>
      </c>
      <c r="E885" t="s">
        <v>3933</v>
      </c>
      <c r="F885" t="s">
        <v>3896</v>
      </c>
      <c r="G885" t="s">
        <v>3897</v>
      </c>
      <c r="H885">
        <v>18.26362</v>
      </c>
      <c r="I885">
        <v>49.833010000000002</v>
      </c>
      <c r="J885">
        <v>100</v>
      </c>
      <c r="K885" t="s">
        <v>312</v>
      </c>
      <c r="L885" t="s">
        <v>312</v>
      </c>
      <c r="M885" t="s">
        <v>312</v>
      </c>
      <c r="N885" t="s">
        <v>312</v>
      </c>
      <c r="O885" t="s">
        <v>312</v>
      </c>
      <c r="P885" t="s">
        <v>312</v>
      </c>
      <c r="Q885" t="s">
        <v>312</v>
      </c>
      <c r="R885" t="s">
        <v>4022</v>
      </c>
      <c r="S885" t="s">
        <v>4023</v>
      </c>
      <c r="U885" t="s">
        <v>4024</v>
      </c>
    </row>
    <row r="886" spans="1:21" x14ac:dyDescent="0.25">
      <c r="A886" t="s">
        <v>4025</v>
      </c>
      <c r="B886" t="s">
        <v>38</v>
      </c>
      <c r="C886" t="s">
        <v>4026</v>
      </c>
      <c r="D886">
        <f>420-585205546</f>
        <v>-585205126</v>
      </c>
      <c r="E886" t="s">
        <v>3924</v>
      </c>
      <c r="F886" t="s">
        <v>3896</v>
      </c>
      <c r="G886" t="s">
        <v>3897</v>
      </c>
      <c r="H886">
        <v>17.250150000000001</v>
      </c>
      <c r="I886">
        <v>49.595280000000002</v>
      </c>
      <c r="J886">
        <v>100</v>
      </c>
      <c r="K886" t="s">
        <v>165</v>
      </c>
      <c r="L886" t="s">
        <v>165</v>
      </c>
      <c r="M886" t="s">
        <v>165</v>
      </c>
      <c r="N886" t="s">
        <v>165</v>
      </c>
      <c r="O886" t="s">
        <v>165</v>
      </c>
      <c r="P886" t="s">
        <v>165</v>
      </c>
      <c r="Q886" t="s">
        <v>165</v>
      </c>
      <c r="R886" t="s">
        <v>4026</v>
      </c>
      <c r="S886" t="s">
        <v>4027</v>
      </c>
      <c r="U886" t="s">
        <v>4028</v>
      </c>
    </row>
    <row r="887" spans="1:21" x14ac:dyDescent="0.25">
      <c r="A887" t="s">
        <v>4029</v>
      </c>
      <c r="B887" t="s">
        <v>38</v>
      </c>
      <c r="C887" t="s">
        <v>4030</v>
      </c>
      <c r="D887">
        <f>420-241413736</f>
        <v>-241413316</v>
      </c>
      <c r="E887" t="s">
        <v>3895</v>
      </c>
      <c r="F887" t="s">
        <v>3896</v>
      </c>
      <c r="G887" t="s">
        <v>3897</v>
      </c>
      <c r="H887">
        <v>14.432639999999999</v>
      </c>
      <c r="I887">
        <v>50.02666</v>
      </c>
      <c r="J887">
        <v>100</v>
      </c>
      <c r="K887" t="s">
        <v>312</v>
      </c>
      <c r="L887" t="s">
        <v>312</v>
      </c>
      <c r="M887" t="s">
        <v>312</v>
      </c>
      <c r="N887" t="s">
        <v>312</v>
      </c>
      <c r="O887" t="s">
        <v>312</v>
      </c>
      <c r="P887" t="s">
        <v>312</v>
      </c>
      <c r="Q887" t="s">
        <v>312</v>
      </c>
      <c r="R887" t="s">
        <v>4030</v>
      </c>
      <c r="S887" t="s">
        <v>4031</v>
      </c>
      <c r="U887" t="s">
        <v>4032</v>
      </c>
    </row>
    <row r="888" spans="1:21" x14ac:dyDescent="0.25">
      <c r="A888" t="s">
        <v>4033</v>
      </c>
      <c r="B888" t="s">
        <v>38</v>
      </c>
      <c r="C888" t="s">
        <v>4034</v>
      </c>
      <c r="D888">
        <f>420-412520203</f>
        <v>-412519783</v>
      </c>
      <c r="E888" t="s">
        <v>4035</v>
      </c>
      <c r="F888" t="s">
        <v>3896</v>
      </c>
      <c r="G888" t="s">
        <v>3897</v>
      </c>
      <c r="H888">
        <v>14.193172000000001</v>
      </c>
      <c r="I888">
        <v>50.772399999999998</v>
      </c>
      <c r="J888">
        <v>100</v>
      </c>
      <c r="K888" t="s">
        <v>192</v>
      </c>
      <c r="L888" t="s">
        <v>192</v>
      </c>
      <c r="M888" t="s">
        <v>192</v>
      </c>
      <c r="N888" t="s">
        <v>192</v>
      </c>
      <c r="O888" t="s">
        <v>192</v>
      </c>
      <c r="P888" t="s">
        <v>192</v>
      </c>
      <c r="Q888" t="s">
        <v>192</v>
      </c>
      <c r="R888" t="s">
        <v>4034</v>
      </c>
      <c r="S888" t="s">
        <v>4036</v>
      </c>
      <c r="U888" t="s">
        <v>4037</v>
      </c>
    </row>
    <row r="889" spans="1:21" x14ac:dyDescent="0.25">
      <c r="A889" t="s">
        <v>4038</v>
      </c>
      <c r="B889" t="s">
        <v>38</v>
      </c>
      <c r="C889" t="s">
        <v>4039</v>
      </c>
      <c r="D889">
        <f>420-312521792</f>
        <v>-312521372</v>
      </c>
      <c r="E889" t="s">
        <v>4040</v>
      </c>
      <c r="F889" t="s">
        <v>3896</v>
      </c>
      <c r="G889" t="s">
        <v>3897</v>
      </c>
      <c r="H889">
        <v>14.1015587037737</v>
      </c>
      <c r="I889">
        <v>50.142470455685</v>
      </c>
      <c r="J889">
        <v>100</v>
      </c>
      <c r="K889" t="s">
        <v>192</v>
      </c>
      <c r="L889" t="s">
        <v>192</v>
      </c>
      <c r="M889" t="s">
        <v>192</v>
      </c>
      <c r="N889" t="s">
        <v>192</v>
      </c>
      <c r="O889" t="s">
        <v>192</v>
      </c>
      <c r="P889" t="s">
        <v>192</v>
      </c>
      <c r="Q889" t="s">
        <v>192</v>
      </c>
      <c r="R889" t="s">
        <v>4039</v>
      </c>
      <c r="S889" t="s">
        <v>4041</v>
      </c>
      <c r="U889" t="s">
        <v>4042</v>
      </c>
    </row>
    <row r="890" spans="1:21" x14ac:dyDescent="0.25">
      <c r="A890" t="s">
        <v>4043</v>
      </c>
      <c r="B890" t="s">
        <v>38</v>
      </c>
      <c r="C890" t="s">
        <v>4044</v>
      </c>
      <c r="D890">
        <f>420-482319251</f>
        <v>-482318831</v>
      </c>
      <c r="E890" t="s">
        <v>3954</v>
      </c>
      <c r="F890" t="s">
        <v>3896</v>
      </c>
      <c r="G890" t="s">
        <v>3897</v>
      </c>
      <c r="H890">
        <v>15.050179999999999</v>
      </c>
      <c r="I890">
        <v>50.741700000000002</v>
      </c>
      <c r="J890">
        <v>100</v>
      </c>
      <c r="K890" t="s">
        <v>312</v>
      </c>
      <c r="L890" t="s">
        <v>312</v>
      </c>
      <c r="M890" t="s">
        <v>312</v>
      </c>
      <c r="N890" t="s">
        <v>312</v>
      </c>
      <c r="O890" t="s">
        <v>312</v>
      </c>
      <c r="P890" t="s">
        <v>312</v>
      </c>
      <c r="Q890" t="s">
        <v>312</v>
      </c>
      <c r="R890" t="s">
        <v>4044</v>
      </c>
      <c r="S890" t="s">
        <v>4045</v>
      </c>
      <c r="U890" t="s">
        <v>4046</v>
      </c>
    </row>
    <row r="891" spans="1:21" x14ac:dyDescent="0.25">
      <c r="A891" t="s">
        <v>4047</v>
      </c>
      <c r="B891" t="s">
        <v>38</v>
      </c>
      <c r="C891" t="s">
        <v>4048</v>
      </c>
      <c r="D891">
        <f>420-233322282</f>
        <v>-233321862</v>
      </c>
      <c r="E891" t="s">
        <v>3895</v>
      </c>
      <c r="F891" t="s">
        <v>3896</v>
      </c>
      <c r="G891" t="s">
        <v>3897</v>
      </c>
      <c r="H891">
        <v>14.290469999999999</v>
      </c>
      <c r="I891">
        <v>50.093490000000003</v>
      </c>
      <c r="J891">
        <v>100</v>
      </c>
      <c r="K891" t="s">
        <v>312</v>
      </c>
      <c r="L891" t="s">
        <v>312</v>
      </c>
      <c r="M891" t="s">
        <v>312</v>
      </c>
      <c r="N891" t="s">
        <v>312</v>
      </c>
      <c r="O891" t="s">
        <v>312</v>
      </c>
      <c r="P891" t="s">
        <v>312</v>
      </c>
      <c r="Q891" t="s">
        <v>312</v>
      </c>
      <c r="R891" t="s">
        <v>4048</v>
      </c>
      <c r="S891" t="s">
        <v>4049</v>
      </c>
      <c r="U891" t="s">
        <v>4050</v>
      </c>
    </row>
    <row r="892" spans="1:21" x14ac:dyDescent="0.25">
      <c r="A892" t="s">
        <v>4051</v>
      </c>
      <c r="B892" t="s">
        <v>22</v>
      </c>
      <c r="C892" t="s">
        <v>4052</v>
      </c>
      <c r="D892">
        <f>420-257316320</f>
        <v>-257315900</v>
      </c>
      <c r="E892" t="s">
        <v>3895</v>
      </c>
      <c r="F892" t="s">
        <v>3896</v>
      </c>
      <c r="G892" t="s">
        <v>3897</v>
      </c>
      <c r="H892">
        <v>14.402089999999999</v>
      </c>
      <c r="I892">
        <v>50.071849999999998</v>
      </c>
      <c r="J892">
        <v>100</v>
      </c>
      <c r="K892" t="s">
        <v>312</v>
      </c>
      <c r="L892" t="s">
        <v>312</v>
      </c>
      <c r="M892" t="s">
        <v>312</v>
      </c>
      <c r="N892" t="s">
        <v>312</v>
      </c>
      <c r="O892" t="s">
        <v>312</v>
      </c>
      <c r="P892" t="s">
        <v>312</v>
      </c>
      <c r="Q892" t="s">
        <v>312</v>
      </c>
      <c r="R892" t="s">
        <v>4052</v>
      </c>
      <c r="S892" t="s">
        <v>4053</v>
      </c>
      <c r="U892" t="s">
        <v>4054</v>
      </c>
    </row>
    <row r="893" spans="1:21" x14ac:dyDescent="0.25">
      <c r="A893" t="s">
        <v>4055</v>
      </c>
      <c r="B893" t="s">
        <v>38</v>
      </c>
      <c r="C893" t="s">
        <v>4056</v>
      </c>
      <c r="D893">
        <f>420-582334449</f>
        <v>-582334029</v>
      </c>
      <c r="E893" t="s">
        <v>4057</v>
      </c>
      <c r="F893" t="s">
        <v>3896</v>
      </c>
      <c r="G893" t="s">
        <v>3897</v>
      </c>
      <c r="H893">
        <v>17.11279</v>
      </c>
      <c r="I893">
        <v>49.472410000000004</v>
      </c>
      <c r="J893">
        <v>100</v>
      </c>
      <c r="K893" t="s">
        <v>165</v>
      </c>
      <c r="L893" t="s">
        <v>165</v>
      </c>
      <c r="M893" t="s">
        <v>165</v>
      </c>
      <c r="N893" t="s">
        <v>165</v>
      </c>
      <c r="O893" t="s">
        <v>165</v>
      </c>
      <c r="P893" t="s">
        <v>165</v>
      </c>
      <c r="Q893" t="s">
        <v>165</v>
      </c>
      <c r="R893" t="s">
        <v>4056</v>
      </c>
      <c r="S893" t="s">
        <v>4058</v>
      </c>
      <c r="U893" t="s">
        <v>4059</v>
      </c>
    </row>
    <row r="894" spans="1:21" x14ac:dyDescent="0.25">
      <c r="A894" t="s">
        <v>4060</v>
      </c>
      <c r="B894" t="s">
        <v>22</v>
      </c>
      <c r="C894" t="s">
        <v>4061</v>
      </c>
      <c r="D894">
        <f>420-255740051</f>
        <v>-255739631</v>
      </c>
      <c r="E894" t="s">
        <v>3895</v>
      </c>
      <c r="F894" t="s">
        <v>3896</v>
      </c>
      <c r="G894" t="s">
        <v>3897</v>
      </c>
      <c r="H894">
        <v>14.461399999999999</v>
      </c>
      <c r="I894">
        <v>50.078130000000002</v>
      </c>
      <c r="J894">
        <v>100</v>
      </c>
      <c r="K894" t="s">
        <v>312</v>
      </c>
      <c r="L894" t="s">
        <v>312</v>
      </c>
      <c r="M894" t="s">
        <v>312</v>
      </c>
      <c r="N894" t="s">
        <v>312</v>
      </c>
      <c r="O894" t="s">
        <v>312</v>
      </c>
      <c r="P894" t="s">
        <v>312</v>
      </c>
      <c r="Q894" t="s">
        <v>312</v>
      </c>
      <c r="R894" t="s">
        <v>4061</v>
      </c>
      <c r="S894" t="s">
        <v>4062</v>
      </c>
      <c r="U894" t="s">
        <v>4063</v>
      </c>
    </row>
    <row r="895" spans="1:21" x14ac:dyDescent="0.25">
      <c r="A895" t="s">
        <v>4064</v>
      </c>
      <c r="B895" t="s">
        <v>38</v>
      </c>
      <c r="C895" t="s">
        <v>4065</v>
      </c>
      <c r="D895">
        <f>420-235310135</f>
        <v>-235309715</v>
      </c>
      <c r="E895" t="s">
        <v>3895</v>
      </c>
      <c r="F895" t="s">
        <v>3896</v>
      </c>
      <c r="G895" t="s">
        <v>3897</v>
      </c>
      <c r="H895">
        <v>14.354889999999999</v>
      </c>
      <c r="I895">
        <v>50.046900000000001</v>
      </c>
      <c r="J895">
        <v>100</v>
      </c>
      <c r="K895" t="s">
        <v>312</v>
      </c>
      <c r="L895" t="s">
        <v>312</v>
      </c>
      <c r="M895" t="s">
        <v>312</v>
      </c>
      <c r="N895" t="s">
        <v>312</v>
      </c>
      <c r="O895" t="s">
        <v>312</v>
      </c>
      <c r="P895" t="s">
        <v>312</v>
      </c>
      <c r="Q895" t="s">
        <v>312</v>
      </c>
      <c r="R895" t="s">
        <v>4065</v>
      </c>
      <c r="S895" t="s">
        <v>4066</v>
      </c>
      <c r="U895" t="s">
        <v>4067</v>
      </c>
    </row>
    <row r="896" spans="1:21" x14ac:dyDescent="0.25">
      <c r="A896" t="s">
        <v>4068</v>
      </c>
      <c r="B896" t="s">
        <v>38</v>
      </c>
      <c r="C896" t="s">
        <v>4069</v>
      </c>
      <c r="D896">
        <f>420-587571975</f>
        <v>-587571555</v>
      </c>
      <c r="E896" t="s">
        <v>4070</v>
      </c>
      <c r="F896" t="s">
        <v>3896</v>
      </c>
      <c r="G896" t="s">
        <v>3897</v>
      </c>
      <c r="H896">
        <v>17.45542</v>
      </c>
      <c r="I896">
        <v>49.450749999999999</v>
      </c>
      <c r="J896">
        <v>100</v>
      </c>
      <c r="K896" t="s">
        <v>192</v>
      </c>
      <c r="L896" t="s">
        <v>192</v>
      </c>
      <c r="M896" t="s">
        <v>192</v>
      </c>
      <c r="N896" t="s">
        <v>192</v>
      </c>
      <c r="O896" t="s">
        <v>192</v>
      </c>
      <c r="P896" t="s">
        <v>192</v>
      </c>
      <c r="Q896" t="s">
        <v>192</v>
      </c>
      <c r="R896" t="s">
        <v>4069</v>
      </c>
      <c r="S896" t="s">
        <v>4071</v>
      </c>
      <c r="U896" t="s">
        <v>4072</v>
      </c>
    </row>
    <row r="897" spans="1:21" x14ac:dyDescent="0.25">
      <c r="A897" t="s">
        <v>4073</v>
      </c>
      <c r="B897" t="s">
        <v>22</v>
      </c>
      <c r="C897" t="s">
        <v>4074</v>
      </c>
      <c r="D897">
        <f>420-245-1-940</f>
        <v>-766</v>
      </c>
      <c r="E897" t="s">
        <v>3895</v>
      </c>
      <c r="F897" t="s">
        <v>3896</v>
      </c>
      <c r="G897" t="s">
        <v>3897</v>
      </c>
      <c r="H897">
        <v>14.58428</v>
      </c>
      <c r="I897">
        <v>50.108130000000003</v>
      </c>
      <c r="J897">
        <v>100</v>
      </c>
      <c r="K897" t="s">
        <v>312</v>
      </c>
      <c r="L897" t="s">
        <v>312</v>
      </c>
      <c r="M897" t="s">
        <v>312</v>
      </c>
      <c r="N897" t="s">
        <v>312</v>
      </c>
      <c r="O897" t="s">
        <v>312</v>
      </c>
      <c r="P897" t="s">
        <v>312</v>
      </c>
      <c r="Q897" t="s">
        <v>312</v>
      </c>
      <c r="R897" t="s">
        <v>4074</v>
      </c>
      <c r="S897" t="s">
        <v>4075</v>
      </c>
      <c r="U897" t="s">
        <v>4076</v>
      </c>
    </row>
    <row r="898" spans="1:21" x14ac:dyDescent="0.25">
      <c r="A898" t="s">
        <v>4077</v>
      </c>
      <c r="B898" t="s">
        <v>22</v>
      </c>
      <c r="C898" t="s">
        <v>4078</v>
      </c>
      <c r="D898">
        <f>420-245001400</f>
        <v>-245000980</v>
      </c>
      <c r="E898" t="s">
        <v>3895</v>
      </c>
      <c r="F898" t="s">
        <v>3896</v>
      </c>
      <c r="G898" t="s">
        <v>3897</v>
      </c>
      <c r="H898">
        <v>14.491110000000001</v>
      </c>
      <c r="I898">
        <v>50.03219</v>
      </c>
      <c r="J898">
        <v>100</v>
      </c>
      <c r="K898" t="s">
        <v>312</v>
      </c>
      <c r="L898" t="s">
        <v>312</v>
      </c>
      <c r="M898" t="s">
        <v>312</v>
      </c>
      <c r="N898" t="s">
        <v>312</v>
      </c>
      <c r="O898" t="s">
        <v>312</v>
      </c>
      <c r="P898" t="s">
        <v>312</v>
      </c>
      <c r="Q898" t="s">
        <v>312</v>
      </c>
      <c r="R898" t="s">
        <v>4078</v>
      </c>
      <c r="S898" t="s">
        <v>4079</v>
      </c>
      <c r="U898" t="s">
        <v>4080</v>
      </c>
    </row>
    <row r="899" spans="1:21" x14ac:dyDescent="0.25">
      <c r="A899" t="s">
        <v>4081</v>
      </c>
      <c r="B899" t="s">
        <v>38</v>
      </c>
      <c r="C899" t="s">
        <v>4082</v>
      </c>
      <c r="D899">
        <f>420-389771430</f>
        <v>-389771010</v>
      </c>
      <c r="E899" t="s">
        <v>3979</v>
      </c>
      <c r="F899" t="s">
        <v>3896</v>
      </c>
      <c r="G899" t="s">
        <v>3897</v>
      </c>
      <c r="H899">
        <v>14.472049999999999</v>
      </c>
      <c r="I899">
        <v>48.983409999999999</v>
      </c>
      <c r="J899">
        <v>100</v>
      </c>
      <c r="K899" t="s">
        <v>312</v>
      </c>
      <c r="L899" t="s">
        <v>312</v>
      </c>
      <c r="M899" t="s">
        <v>312</v>
      </c>
      <c r="N899" t="s">
        <v>312</v>
      </c>
      <c r="O899" t="s">
        <v>312</v>
      </c>
      <c r="P899" t="s">
        <v>312</v>
      </c>
      <c r="Q899" t="s">
        <v>312</v>
      </c>
      <c r="R899" t="s">
        <v>4082</v>
      </c>
      <c r="S899" t="s">
        <v>4083</v>
      </c>
      <c r="U899" t="s">
        <v>4084</v>
      </c>
    </row>
    <row r="900" spans="1:21" x14ac:dyDescent="0.25">
      <c r="A900" t="s">
        <v>4085</v>
      </c>
      <c r="B900" t="s">
        <v>38</v>
      </c>
      <c r="C900" t="s">
        <v>4086</v>
      </c>
      <c r="D900">
        <f>420-494900020</f>
        <v>-494899600</v>
      </c>
      <c r="E900" t="s">
        <v>3974</v>
      </c>
      <c r="F900" t="s">
        <v>3896</v>
      </c>
      <c r="G900" t="s">
        <v>3897</v>
      </c>
      <c r="H900">
        <v>15.812139999999999</v>
      </c>
      <c r="I900">
        <v>50.21217</v>
      </c>
      <c r="J900">
        <v>100</v>
      </c>
      <c r="K900" t="s">
        <v>312</v>
      </c>
      <c r="L900" t="s">
        <v>312</v>
      </c>
      <c r="M900" t="s">
        <v>312</v>
      </c>
      <c r="N900" t="s">
        <v>312</v>
      </c>
      <c r="O900" t="s">
        <v>312</v>
      </c>
      <c r="P900" t="s">
        <v>312</v>
      </c>
      <c r="Q900" t="s">
        <v>312</v>
      </c>
      <c r="R900" t="s">
        <v>4086</v>
      </c>
      <c r="S900" t="s">
        <v>4087</v>
      </c>
      <c r="U900" t="s">
        <v>4088</v>
      </c>
    </row>
    <row r="901" spans="1:21" x14ac:dyDescent="0.25">
      <c r="A901" t="s">
        <v>4089</v>
      </c>
      <c r="B901" t="s">
        <v>38</v>
      </c>
      <c r="C901" t="s">
        <v>4090</v>
      </c>
      <c r="D901">
        <f>420-488572320</f>
        <v>-488571900</v>
      </c>
      <c r="E901" t="s">
        <v>4091</v>
      </c>
      <c r="F901" t="s">
        <v>3896</v>
      </c>
      <c r="G901" t="s">
        <v>3897</v>
      </c>
      <c r="H901">
        <v>15.16793</v>
      </c>
      <c r="I901">
        <v>50.723770000000002</v>
      </c>
      <c r="J901">
        <v>100</v>
      </c>
      <c r="K901" t="s">
        <v>192</v>
      </c>
      <c r="L901" t="s">
        <v>192</v>
      </c>
      <c r="M901" t="s">
        <v>192</v>
      </c>
      <c r="N901" t="s">
        <v>192</v>
      </c>
      <c r="O901" t="s">
        <v>192</v>
      </c>
      <c r="P901" t="s">
        <v>192</v>
      </c>
      <c r="Q901" t="s">
        <v>192</v>
      </c>
      <c r="R901" t="s">
        <v>4090</v>
      </c>
      <c r="S901" t="s">
        <v>4092</v>
      </c>
      <c r="U901" t="s">
        <v>4093</v>
      </c>
    </row>
    <row r="902" spans="1:21" x14ac:dyDescent="0.25">
      <c r="A902" t="s">
        <v>4094</v>
      </c>
      <c r="B902" t="s">
        <v>38</v>
      </c>
      <c r="C902" t="s">
        <v>4095</v>
      </c>
      <c r="D902">
        <f>420-378774325</f>
        <v>-378773905</v>
      </c>
      <c r="E902" t="s">
        <v>3919</v>
      </c>
      <c r="F902" t="s">
        <v>3896</v>
      </c>
      <c r="G902" t="s">
        <v>3897</v>
      </c>
      <c r="H902">
        <v>13.43807</v>
      </c>
      <c r="I902">
        <v>49.746180000000003</v>
      </c>
      <c r="J902">
        <v>100</v>
      </c>
      <c r="K902" t="s">
        <v>192</v>
      </c>
      <c r="L902" t="s">
        <v>192</v>
      </c>
      <c r="M902" t="s">
        <v>192</v>
      </c>
      <c r="N902" t="s">
        <v>192</v>
      </c>
      <c r="O902" t="s">
        <v>192</v>
      </c>
      <c r="P902" t="s">
        <v>192</v>
      </c>
      <c r="Q902" t="s">
        <v>192</v>
      </c>
      <c r="R902" t="s">
        <v>4095</v>
      </c>
      <c r="S902" t="s">
        <v>4096</v>
      </c>
      <c r="U902" t="s">
        <v>4097</v>
      </c>
    </row>
    <row r="903" spans="1:21" x14ac:dyDescent="0.25">
      <c r="A903" t="s">
        <v>4098</v>
      </c>
      <c r="B903" t="s">
        <v>38</v>
      </c>
      <c r="C903" t="s">
        <v>4099</v>
      </c>
      <c r="D903">
        <f>420-552301440</f>
        <v>-552301020</v>
      </c>
      <c r="E903" t="s">
        <v>3933</v>
      </c>
      <c r="F903" t="s">
        <v>3896</v>
      </c>
      <c r="G903" t="s">
        <v>3897</v>
      </c>
      <c r="H903">
        <v>18.20073</v>
      </c>
      <c r="I903">
        <v>49.828299999999999</v>
      </c>
      <c r="J903">
        <v>100</v>
      </c>
      <c r="K903" t="s">
        <v>192</v>
      </c>
      <c r="L903" t="s">
        <v>192</v>
      </c>
      <c r="M903" t="s">
        <v>192</v>
      </c>
      <c r="N903" t="s">
        <v>192</v>
      </c>
      <c r="O903" t="s">
        <v>192</v>
      </c>
      <c r="P903" t="s">
        <v>192</v>
      </c>
      <c r="Q903" t="s">
        <v>192</v>
      </c>
      <c r="R903" t="s">
        <v>4099</v>
      </c>
      <c r="S903" t="s">
        <v>4100</v>
      </c>
      <c r="U903" t="s">
        <v>4101</v>
      </c>
    </row>
    <row r="904" spans="1:21" x14ac:dyDescent="0.25">
      <c r="A904" t="s">
        <v>4102</v>
      </c>
      <c r="B904" t="s">
        <v>38</v>
      </c>
      <c r="C904" t="s">
        <v>4103</v>
      </c>
      <c r="D904">
        <f>420-245002200</f>
        <v>-245001780</v>
      </c>
      <c r="E904" t="s">
        <v>3895</v>
      </c>
      <c r="F904" t="s">
        <v>3896</v>
      </c>
      <c r="G904" t="s">
        <v>3897</v>
      </c>
      <c r="H904">
        <v>14.46881</v>
      </c>
      <c r="I904">
        <v>50.067937000000001</v>
      </c>
      <c r="J904">
        <v>100</v>
      </c>
      <c r="K904" t="s">
        <v>312</v>
      </c>
      <c r="L904" t="s">
        <v>312</v>
      </c>
      <c r="M904" t="s">
        <v>312</v>
      </c>
      <c r="N904" t="s">
        <v>312</v>
      </c>
      <c r="O904" t="s">
        <v>312</v>
      </c>
      <c r="P904" t="s">
        <v>312</v>
      </c>
      <c r="Q904" t="s">
        <v>312</v>
      </c>
      <c r="R904" t="s">
        <v>4103</v>
      </c>
      <c r="S904" t="s">
        <v>4104</v>
      </c>
      <c r="U904" t="s">
        <v>4105</v>
      </c>
    </row>
    <row r="905" spans="1:21" x14ac:dyDescent="0.25">
      <c r="A905" t="s">
        <v>4106</v>
      </c>
      <c r="B905" t="s">
        <v>38</v>
      </c>
      <c r="C905" t="s">
        <v>4107</v>
      </c>
      <c r="D905">
        <f>420-359572245</f>
        <v>-359571825</v>
      </c>
      <c r="E905" t="s">
        <v>4108</v>
      </c>
      <c r="F905" t="s">
        <v>3896</v>
      </c>
      <c r="G905" t="s">
        <v>3897</v>
      </c>
      <c r="H905">
        <v>12.82321</v>
      </c>
      <c r="I905">
        <v>50.225250000000003</v>
      </c>
      <c r="J905">
        <v>100</v>
      </c>
      <c r="K905" t="s">
        <v>192</v>
      </c>
      <c r="L905" t="s">
        <v>192</v>
      </c>
      <c r="M905" t="s">
        <v>192</v>
      </c>
      <c r="N905" t="s">
        <v>192</v>
      </c>
      <c r="O905" t="s">
        <v>192</v>
      </c>
      <c r="P905" t="s">
        <v>192</v>
      </c>
      <c r="Q905" t="s">
        <v>192</v>
      </c>
      <c r="R905" t="s">
        <v>4107</v>
      </c>
      <c r="S905" t="s">
        <v>4109</v>
      </c>
      <c r="U905" t="s">
        <v>4110</v>
      </c>
    </row>
    <row r="906" spans="1:21" x14ac:dyDescent="0.25">
      <c r="A906" t="s">
        <v>4111</v>
      </c>
      <c r="B906" t="s">
        <v>38</v>
      </c>
      <c r="C906" t="s">
        <v>4112</v>
      </c>
      <c r="D906">
        <f t="shared" ref="D906:D937" si="23">49-8006655900</f>
        <v>-8006655851</v>
      </c>
      <c r="E906" t="s">
        <v>4113</v>
      </c>
      <c r="F906" t="s">
        <v>4114</v>
      </c>
      <c r="G906" t="s">
        <v>4115</v>
      </c>
      <c r="H906">
        <v>7.0069189999999999</v>
      </c>
      <c r="I906">
        <v>51.496412999999997</v>
      </c>
      <c r="J906">
        <v>100</v>
      </c>
      <c r="K906" t="s">
        <v>192</v>
      </c>
      <c r="L906" t="s">
        <v>192</v>
      </c>
      <c r="M906" t="s">
        <v>192</v>
      </c>
      <c r="N906" t="s">
        <v>192</v>
      </c>
      <c r="O906" t="s">
        <v>192</v>
      </c>
      <c r="P906" t="s">
        <v>192</v>
      </c>
      <c r="R906" t="s">
        <v>4116</v>
      </c>
      <c r="T906" t="s">
        <v>4117</v>
      </c>
      <c r="U906" t="s">
        <v>4118</v>
      </c>
    </row>
    <row r="907" spans="1:21" x14ac:dyDescent="0.25">
      <c r="A907" t="s">
        <v>4119</v>
      </c>
      <c r="B907" t="s">
        <v>22</v>
      </c>
      <c r="C907" t="s">
        <v>4120</v>
      </c>
      <c r="D907">
        <f t="shared" si="23"/>
        <v>-8006655851</v>
      </c>
      <c r="E907" t="s">
        <v>4121</v>
      </c>
      <c r="F907" t="s">
        <v>4114</v>
      </c>
      <c r="G907" t="s">
        <v>4115</v>
      </c>
      <c r="H907">
        <v>12.1164390641403</v>
      </c>
      <c r="I907">
        <v>49.0259488129388</v>
      </c>
      <c r="J907">
        <v>100</v>
      </c>
      <c r="K907" t="s">
        <v>185</v>
      </c>
      <c r="L907" t="s">
        <v>185</v>
      </c>
      <c r="M907" t="s">
        <v>185</v>
      </c>
      <c r="N907" t="s">
        <v>185</v>
      </c>
      <c r="O907" t="s">
        <v>185</v>
      </c>
      <c r="P907" t="s">
        <v>185</v>
      </c>
      <c r="R907" t="s">
        <v>4122</v>
      </c>
      <c r="T907" t="s">
        <v>4123</v>
      </c>
      <c r="U907" t="s">
        <v>4124</v>
      </c>
    </row>
    <row r="908" spans="1:21" x14ac:dyDescent="0.25">
      <c r="A908" t="s">
        <v>4125</v>
      </c>
      <c r="B908" t="s">
        <v>22</v>
      </c>
      <c r="C908" t="s">
        <v>4126</v>
      </c>
      <c r="D908">
        <f t="shared" si="23"/>
        <v>-8006655851</v>
      </c>
      <c r="E908" t="s">
        <v>4127</v>
      </c>
      <c r="F908" t="s">
        <v>4114</v>
      </c>
      <c r="G908" t="s">
        <v>4115</v>
      </c>
      <c r="H908">
        <v>8.4475130000000007</v>
      </c>
      <c r="I908">
        <v>49.485317000000002</v>
      </c>
      <c r="J908">
        <v>100</v>
      </c>
      <c r="K908" t="s">
        <v>45</v>
      </c>
      <c r="L908" t="s">
        <v>45</v>
      </c>
      <c r="M908" t="s">
        <v>45</v>
      </c>
      <c r="N908" t="s">
        <v>45</v>
      </c>
      <c r="O908" t="s">
        <v>45</v>
      </c>
      <c r="P908" t="s">
        <v>45</v>
      </c>
      <c r="R908" t="s">
        <v>4128</v>
      </c>
      <c r="T908" t="s">
        <v>4129</v>
      </c>
      <c r="U908" t="s">
        <v>4130</v>
      </c>
    </row>
    <row r="909" spans="1:21" x14ac:dyDescent="0.25">
      <c r="A909" t="s">
        <v>4131</v>
      </c>
      <c r="B909" t="s">
        <v>22</v>
      </c>
      <c r="C909" t="s">
        <v>4132</v>
      </c>
      <c r="D909">
        <f t="shared" si="23"/>
        <v>-8006655851</v>
      </c>
      <c r="E909" t="s">
        <v>4133</v>
      </c>
      <c r="F909" t="s">
        <v>4114</v>
      </c>
      <c r="G909" t="s">
        <v>4115</v>
      </c>
      <c r="H909">
        <v>6.990043</v>
      </c>
      <c r="I909">
        <v>49.239246999999999</v>
      </c>
      <c r="J909">
        <v>100</v>
      </c>
      <c r="K909" t="s">
        <v>185</v>
      </c>
      <c r="L909" t="s">
        <v>185</v>
      </c>
      <c r="M909" t="s">
        <v>185</v>
      </c>
      <c r="N909" t="s">
        <v>185</v>
      </c>
      <c r="O909" t="s">
        <v>185</v>
      </c>
      <c r="P909" t="s">
        <v>185</v>
      </c>
      <c r="R909" t="s">
        <v>4134</v>
      </c>
      <c r="T909" t="s">
        <v>4135</v>
      </c>
      <c r="U909" t="s">
        <v>4136</v>
      </c>
    </row>
    <row r="910" spans="1:21" x14ac:dyDescent="0.25">
      <c r="A910" t="s">
        <v>4137</v>
      </c>
      <c r="B910" t="s">
        <v>22</v>
      </c>
      <c r="C910" t="s">
        <v>4138</v>
      </c>
      <c r="D910">
        <f t="shared" si="23"/>
        <v>-8006655851</v>
      </c>
      <c r="E910" t="s">
        <v>4139</v>
      </c>
      <c r="F910" t="s">
        <v>4114</v>
      </c>
      <c r="G910" t="s">
        <v>4115</v>
      </c>
      <c r="H910">
        <v>6.7189490000000003</v>
      </c>
      <c r="I910">
        <v>51.201031</v>
      </c>
      <c r="J910">
        <v>100</v>
      </c>
      <c r="K910" t="s">
        <v>45</v>
      </c>
      <c r="L910" t="s">
        <v>45</v>
      </c>
      <c r="M910" t="s">
        <v>45</v>
      </c>
      <c r="N910" t="s">
        <v>45</v>
      </c>
      <c r="O910" t="s">
        <v>45</v>
      </c>
      <c r="P910" t="s">
        <v>45</v>
      </c>
      <c r="R910" t="s">
        <v>4140</v>
      </c>
      <c r="T910" t="s">
        <v>4117</v>
      </c>
      <c r="U910" t="s">
        <v>4141</v>
      </c>
    </row>
    <row r="911" spans="1:21" x14ac:dyDescent="0.25">
      <c r="A911" t="s">
        <v>4142</v>
      </c>
      <c r="B911" t="s">
        <v>38</v>
      </c>
      <c r="C911" t="s">
        <v>4143</v>
      </c>
      <c r="D911">
        <f t="shared" si="23"/>
        <v>-8006655851</v>
      </c>
      <c r="E911" t="s">
        <v>4144</v>
      </c>
      <c r="F911" t="s">
        <v>4114</v>
      </c>
      <c r="G911" t="s">
        <v>4115</v>
      </c>
      <c r="H911">
        <v>7.8494619999999999</v>
      </c>
      <c r="I911">
        <v>48.119208999999998</v>
      </c>
      <c r="J911">
        <v>100</v>
      </c>
      <c r="K911" t="s">
        <v>535</v>
      </c>
      <c r="L911" t="s">
        <v>535</v>
      </c>
      <c r="M911" t="s">
        <v>535</v>
      </c>
      <c r="N911" t="s">
        <v>535</v>
      </c>
      <c r="O911" t="s">
        <v>535</v>
      </c>
      <c r="P911" t="s">
        <v>535</v>
      </c>
      <c r="R911" t="s">
        <v>4145</v>
      </c>
      <c r="T911" t="s">
        <v>4146</v>
      </c>
      <c r="U911" t="s">
        <v>4147</v>
      </c>
    </row>
    <row r="912" spans="1:21" x14ac:dyDescent="0.25">
      <c r="A912" t="s">
        <v>4148</v>
      </c>
      <c r="B912" t="s">
        <v>38</v>
      </c>
      <c r="C912" t="s">
        <v>4149</v>
      </c>
      <c r="D912">
        <f t="shared" si="23"/>
        <v>-8006655851</v>
      </c>
      <c r="E912" t="s">
        <v>4150</v>
      </c>
      <c r="F912" t="s">
        <v>4114</v>
      </c>
      <c r="G912" t="s">
        <v>4115</v>
      </c>
      <c r="H912">
        <v>8.4481760000000001</v>
      </c>
      <c r="I912">
        <v>50.086449000000002</v>
      </c>
      <c r="J912">
        <v>100</v>
      </c>
      <c r="K912" t="s">
        <v>45</v>
      </c>
      <c r="L912" t="s">
        <v>45</v>
      </c>
      <c r="M912" t="s">
        <v>45</v>
      </c>
      <c r="N912" t="s">
        <v>45</v>
      </c>
      <c r="O912" t="s">
        <v>45</v>
      </c>
      <c r="P912" t="s">
        <v>45</v>
      </c>
      <c r="R912" t="s">
        <v>4151</v>
      </c>
      <c r="T912" t="s">
        <v>4152</v>
      </c>
      <c r="U912" t="s">
        <v>4153</v>
      </c>
    </row>
    <row r="913" spans="1:21" x14ac:dyDescent="0.25">
      <c r="A913" t="s">
        <v>4154</v>
      </c>
      <c r="B913" t="s">
        <v>38</v>
      </c>
      <c r="C913" t="s">
        <v>4155</v>
      </c>
      <c r="D913">
        <f t="shared" si="23"/>
        <v>-8006655851</v>
      </c>
      <c r="E913" t="s">
        <v>4155</v>
      </c>
      <c r="F913" t="s">
        <v>4114</v>
      </c>
      <c r="G913" t="s">
        <v>4115</v>
      </c>
      <c r="H913">
        <v>10.321604000000001</v>
      </c>
      <c r="I913">
        <v>50.975096000000001</v>
      </c>
      <c r="J913">
        <v>110</v>
      </c>
      <c r="K913" t="s">
        <v>535</v>
      </c>
      <c r="L913" t="s">
        <v>535</v>
      </c>
      <c r="M913" t="s">
        <v>535</v>
      </c>
      <c r="N913" t="s">
        <v>535</v>
      </c>
      <c r="O913" t="s">
        <v>535</v>
      </c>
      <c r="P913" t="s">
        <v>428</v>
      </c>
      <c r="R913" t="s">
        <v>4156</v>
      </c>
      <c r="T913" t="s">
        <v>4157</v>
      </c>
      <c r="U913" t="s">
        <v>4158</v>
      </c>
    </row>
    <row r="914" spans="1:21" x14ac:dyDescent="0.25">
      <c r="A914" t="s">
        <v>4159</v>
      </c>
      <c r="B914" t="s">
        <v>38</v>
      </c>
      <c r="C914" t="s">
        <v>4160</v>
      </c>
      <c r="D914">
        <f t="shared" si="23"/>
        <v>-8006655851</v>
      </c>
      <c r="E914" t="s">
        <v>4161</v>
      </c>
      <c r="F914" t="s">
        <v>4114</v>
      </c>
      <c r="G914" t="s">
        <v>4115</v>
      </c>
      <c r="H914">
        <v>8.9039730000000006</v>
      </c>
      <c r="I914">
        <v>52.028267</v>
      </c>
      <c r="J914">
        <v>100</v>
      </c>
      <c r="K914" t="s">
        <v>745</v>
      </c>
      <c r="L914" t="s">
        <v>745</v>
      </c>
      <c r="M914" t="s">
        <v>745</v>
      </c>
      <c r="N914" t="s">
        <v>745</v>
      </c>
      <c r="O914" t="s">
        <v>745</v>
      </c>
      <c r="P914" t="s">
        <v>553</v>
      </c>
      <c r="R914" t="s">
        <v>4160</v>
      </c>
      <c r="T914" t="s">
        <v>4117</v>
      </c>
      <c r="U914" t="s">
        <v>4162</v>
      </c>
    </row>
    <row r="915" spans="1:21" x14ac:dyDescent="0.25">
      <c r="A915" t="s">
        <v>4163</v>
      </c>
      <c r="B915" t="s">
        <v>38</v>
      </c>
      <c r="C915" t="s">
        <v>4164</v>
      </c>
      <c r="D915">
        <f t="shared" si="23"/>
        <v>-8006655851</v>
      </c>
      <c r="E915" t="s">
        <v>4165</v>
      </c>
      <c r="F915" t="s">
        <v>4114</v>
      </c>
      <c r="G915" t="s">
        <v>4115</v>
      </c>
      <c r="H915">
        <v>8.8191620000000004</v>
      </c>
      <c r="I915">
        <v>47.984347999999997</v>
      </c>
      <c r="J915">
        <v>100</v>
      </c>
      <c r="K915" t="s">
        <v>535</v>
      </c>
      <c r="L915" t="s">
        <v>535</v>
      </c>
      <c r="M915" t="s">
        <v>535</v>
      </c>
      <c r="N915" t="s">
        <v>535</v>
      </c>
      <c r="O915" t="s">
        <v>535</v>
      </c>
      <c r="P915" t="s">
        <v>428</v>
      </c>
      <c r="R915" t="s">
        <v>4164</v>
      </c>
      <c r="U915" t="s">
        <v>4166</v>
      </c>
    </row>
    <row r="916" spans="1:21" x14ac:dyDescent="0.25">
      <c r="A916" t="s">
        <v>4167</v>
      </c>
      <c r="B916" t="s">
        <v>22</v>
      </c>
      <c r="C916" t="s">
        <v>4168</v>
      </c>
      <c r="D916">
        <f t="shared" si="23"/>
        <v>-8006655851</v>
      </c>
      <c r="E916" t="s">
        <v>4169</v>
      </c>
      <c r="F916" t="s">
        <v>4114</v>
      </c>
      <c r="G916" t="s">
        <v>4115</v>
      </c>
      <c r="H916">
        <v>11.4632586849334</v>
      </c>
      <c r="I916">
        <v>48.148569524686899</v>
      </c>
      <c r="J916">
        <v>110</v>
      </c>
      <c r="K916" t="s">
        <v>185</v>
      </c>
      <c r="L916" t="s">
        <v>185</v>
      </c>
      <c r="M916" t="s">
        <v>185</v>
      </c>
      <c r="N916" t="s">
        <v>185</v>
      </c>
      <c r="O916" t="s">
        <v>185</v>
      </c>
      <c r="P916" t="s">
        <v>185</v>
      </c>
      <c r="R916" t="s">
        <v>4170</v>
      </c>
      <c r="U916" t="s">
        <v>4171</v>
      </c>
    </row>
    <row r="917" spans="1:21" x14ac:dyDescent="0.25">
      <c r="A917" t="s">
        <v>4172</v>
      </c>
      <c r="B917" t="s">
        <v>22</v>
      </c>
      <c r="C917" t="s">
        <v>4173</v>
      </c>
      <c r="D917">
        <f t="shared" si="23"/>
        <v>-8006655851</v>
      </c>
      <c r="E917" t="s">
        <v>4174</v>
      </c>
      <c r="F917" t="s">
        <v>4114</v>
      </c>
      <c r="G917" t="s">
        <v>4115</v>
      </c>
      <c r="H917">
        <v>8.4314459999999993</v>
      </c>
      <c r="I917">
        <v>49.317697000000003</v>
      </c>
      <c r="J917">
        <v>100</v>
      </c>
      <c r="K917" t="s">
        <v>535</v>
      </c>
      <c r="L917" t="s">
        <v>535</v>
      </c>
      <c r="M917" t="s">
        <v>535</v>
      </c>
      <c r="N917" t="s">
        <v>535</v>
      </c>
      <c r="O917" t="s">
        <v>535</v>
      </c>
      <c r="P917" t="s">
        <v>535</v>
      </c>
      <c r="R917" t="s">
        <v>4175</v>
      </c>
      <c r="T917" t="s">
        <v>4129</v>
      </c>
      <c r="U917" t="s">
        <v>4176</v>
      </c>
    </row>
    <row r="918" spans="1:21" x14ac:dyDescent="0.25">
      <c r="A918" t="s">
        <v>4177</v>
      </c>
      <c r="B918" t="s">
        <v>38</v>
      </c>
      <c r="C918" t="s">
        <v>4178</v>
      </c>
      <c r="D918">
        <f t="shared" si="23"/>
        <v>-8006655851</v>
      </c>
      <c r="E918" t="s">
        <v>4179</v>
      </c>
      <c r="F918" t="s">
        <v>4114</v>
      </c>
      <c r="G918" t="s">
        <v>4115</v>
      </c>
      <c r="H918">
        <v>9.9901342391967791</v>
      </c>
      <c r="I918">
        <v>48.398137702668997</v>
      </c>
      <c r="J918">
        <v>100</v>
      </c>
      <c r="K918" t="s">
        <v>535</v>
      </c>
      <c r="L918" t="s">
        <v>535</v>
      </c>
      <c r="M918" t="s">
        <v>535</v>
      </c>
      <c r="N918" t="s">
        <v>535</v>
      </c>
      <c r="O918" t="s">
        <v>535</v>
      </c>
      <c r="P918" t="s">
        <v>535</v>
      </c>
      <c r="R918" t="s">
        <v>4178</v>
      </c>
      <c r="U918" t="s">
        <v>4180</v>
      </c>
    </row>
    <row r="919" spans="1:21" x14ac:dyDescent="0.25">
      <c r="A919" t="s">
        <v>4181</v>
      </c>
      <c r="B919" t="s">
        <v>22</v>
      </c>
      <c r="C919" t="s">
        <v>4182</v>
      </c>
      <c r="D919">
        <f t="shared" si="23"/>
        <v>-8006655851</v>
      </c>
      <c r="E919" t="s">
        <v>4183</v>
      </c>
      <c r="F919" t="s">
        <v>4114</v>
      </c>
      <c r="G919" t="s">
        <v>4115</v>
      </c>
      <c r="H919">
        <v>8.6696919999999995</v>
      </c>
      <c r="I919">
        <v>50.587463</v>
      </c>
      <c r="J919">
        <v>100</v>
      </c>
      <c r="K919" t="s">
        <v>45</v>
      </c>
      <c r="L919" t="s">
        <v>45</v>
      </c>
      <c r="M919" t="s">
        <v>45</v>
      </c>
      <c r="N919" t="s">
        <v>45</v>
      </c>
      <c r="O919" t="s">
        <v>45</v>
      </c>
      <c r="P919" t="s">
        <v>45</v>
      </c>
      <c r="R919" t="s">
        <v>4184</v>
      </c>
      <c r="T919" t="s">
        <v>4152</v>
      </c>
      <c r="U919" t="s">
        <v>4185</v>
      </c>
    </row>
    <row r="920" spans="1:21" x14ac:dyDescent="0.25">
      <c r="A920" t="s">
        <v>4186</v>
      </c>
      <c r="B920" t="s">
        <v>38</v>
      </c>
      <c r="C920" t="s">
        <v>4187</v>
      </c>
      <c r="D920">
        <f t="shared" si="23"/>
        <v>-8006655851</v>
      </c>
      <c r="E920" t="s">
        <v>4188</v>
      </c>
      <c r="F920" t="s">
        <v>4114</v>
      </c>
      <c r="G920" t="s">
        <v>4115</v>
      </c>
      <c r="H920">
        <v>7.8915030000000002</v>
      </c>
      <c r="I920">
        <v>51.763255000000001</v>
      </c>
      <c r="J920">
        <v>100</v>
      </c>
      <c r="K920" t="s">
        <v>745</v>
      </c>
      <c r="L920" t="s">
        <v>745</v>
      </c>
      <c r="M920" t="s">
        <v>745</v>
      </c>
      <c r="N920" t="s">
        <v>745</v>
      </c>
      <c r="O920" t="s">
        <v>745</v>
      </c>
      <c r="P920" t="s">
        <v>553</v>
      </c>
      <c r="R920" t="s">
        <v>4187</v>
      </c>
      <c r="T920" t="s">
        <v>4117</v>
      </c>
      <c r="U920" t="s">
        <v>4189</v>
      </c>
    </row>
    <row r="921" spans="1:21" x14ac:dyDescent="0.25">
      <c r="A921" t="s">
        <v>4190</v>
      </c>
      <c r="B921" t="s">
        <v>22</v>
      </c>
      <c r="C921" t="s">
        <v>4191</v>
      </c>
      <c r="D921">
        <f t="shared" si="23"/>
        <v>-8006655851</v>
      </c>
      <c r="E921" t="s">
        <v>4192</v>
      </c>
      <c r="F921" t="s">
        <v>4114</v>
      </c>
      <c r="G921" t="s">
        <v>4115</v>
      </c>
      <c r="H921">
        <v>6.0956099999999998</v>
      </c>
      <c r="I921">
        <v>51.063046</v>
      </c>
      <c r="J921">
        <v>100</v>
      </c>
      <c r="K921" t="s">
        <v>535</v>
      </c>
      <c r="L921" t="s">
        <v>535</v>
      </c>
      <c r="M921" t="s">
        <v>535</v>
      </c>
      <c r="N921" t="s">
        <v>535</v>
      </c>
      <c r="O921" t="s">
        <v>535</v>
      </c>
      <c r="P921" t="s">
        <v>428</v>
      </c>
      <c r="R921" t="s">
        <v>4191</v>
      </c>
      <c r="T921" t="s">
        <v>4117</v>
      </c>
      <c r="U921" t="s">
        <v>4193</v>
      </c>
    </row>
    <row r="922" spans="1:21" x14ac:dyDescent="0.25">
      <c r="A922" t="s">
        <v>4194</v>
      </c>
      <c r="B922" t="s">
        <v>38</v>
      </c>
      <c r="C922" t="s">
        <v>4195</v>
      </c>
      <c r="D922">
        <f t="shared" si="23"/>
        <v>-8006655851</v>
      </c>
      <c r="E922" t="s">
        <v>4196</v>
      </c>
      <c r="F922" t="s">
        <v>4114</v>
      </c>
      <c r="G922" t="s">
        <v>4115</v>
      </c>
      <c r="H922">
        <v>10.0056568778545</v>
      </c>
      <c r="I922">
        <v>48.394210827246297</v>
      </c>
      <c r="J922">
        <v>100</v>
      </c>
      <c r="K922" t="s">
        <v>45</v>
      </c>
      <c r="L922" t="s">
        <v>45</v>
      </c>
      <c r="M922" t="s">
        <v>45</v>
      </c>
      <c r="N922" t="s">
        <v>45</v>
      </c>
      <c r="O922" t="s">
        <v>45</v>
      </c>
      <c r="P922" t="s">
        <v>45</v>
      </c>
      <c r="R922" t="s">
        <v>4197</v>
      </c>
      <c r="T922" t="s">
        <v>4123</v>
      </c>
      <c r="U922" t="s">
        <v>4198</v>
      </c>
    </row>
    <row r="923" spans="1:21" x14ac:dyDescent="0.25">
      <c r="A923" t="s">
        <v>4199</v>
      </c>
      <c r="B923" t="s">
        <v>38</v>
      </c>
      <c r="C923" t="s">
        <v>4200</v>
      </c>
      <c r="D923">
        <f t="shared" si="23"/>
        <v>-8006655851</v>
      </c>
      <c r="E923" t="s">
        <v>4201</v>
      </c>
      <c r="F923" t="s">
        <v>4114</v>
      </c>
      <c r="G923" t="s">
        <v>4115</v>
      </c>
      <c r="H923">
        <v>6.9505809999999997</v>
      </c>
      <c r="I923">
        <v>51.109850000000002</v>
      </c>
      <c r="J923">
        <v>100</v>
      </c>
      <c r="K923" t="s">
        <v>535</v>
      </c>
      <c r="L923" t="s">
        <v>535</v>
      </c>
      <c r="M923" t="s">
        <v>535</v>
      </c>
      <c r="N923" t="s">
        <v>535</v>
      </c>
      <c r="O923" t="s">
        <v>535</v>
      </c>
      <c r="P923" t="s">
        <v>428</v>
      </c>
      <c r="R923" t="s">
        <v>4200</v>
      </c>
      <c r="T923" t="s">
        <v>4117</v>
      </c>
      <c r="U923" t="s">
        <v>4202</v>
      </c>
    </row>
    <row r="924" spans="1:21" x14ac:dyDescent="0.25">
      <c r="A924" t="s">
        <v>4203</v>
      </c>
      <c r="B924" t="s">
        <v>38</v>
      </c>
      <c r="C924" t="s">
        <v>4204</v>
      </c>
      <c r="D924">
        <f t="shared" si="23"/>
        <v>-8006655851</v>
      </c>
      <c r="E924" t="s">
        <v>4205</v>
      </c>
      <c r="F924" t="s">
        <v>4114</v>
      </c>
      <c r="G924" t="s">
        <v>4115</v>
      </c>
      <c r="H924">
        <v>12.64456</v>
      </c>
      <c r="I924">
        <v>51.867319999999999</v>
      </c>
      <c r="J924">
        <v>110</v>
      </c>
      <c r="K924" t="s">
        <v>192</v>
      </c>
      <c r="L924" t="s">
        <v>192</v>
      </c>
      <c r="M924" t="s">
        <v>192</v>
      </c>
      <c r="N924" t="s">
        <v>192</v>
      </c>
      <c r="O924" t="s">
        <v>192</v>
      </c>
      <c r="P924" t="s">
        <v>192</v>
      </c>
      <c r="R924" t="s">
        <v>4206</v>
      </c>
      <c r="T924" t="s">
        <v>4207</v>
      </c>
      <c r="U924" t="s">
        <v>4208</v>
      </c>
    </row>
    <row r="925" spans="1:21" x14ac:dyDescent="0.25">
      <c r="A925" t="s">
        <v>4209</v>
      </c>
      <c r="B925" t="s">
        <v>22</v>
      </c>
      <c r="C925" t="s">
        <v>4210</v>
      </c>
      <c r="D925">
        <f t="shared" si="23"/>
        <v>-8006655851</v>
      </c>
      <c r="E925" t="s">
        <v>4211</v>
      </c>
      <c r="F925" t="s">
        <v>4114</v>
      </c>
      <c r="G925" t="s">
        <v>4115</v>
      </c>
      <c r="H925">
        <v>7.4589499999999997</v>
      </c>
      <c r="I925">
        <v>51.514020000000002</v>
      </c>
      <c r="J925">
        <v>100</v>
      </c>
      <c r="K925" t="s">
        <v>45</v>
      </c>
      <c r="L925" t="s">
        <v>45</v>
      </c>
      <c r="M925" t="s">
        <v>45</v>
      </c>
      <c r="N925" t="s">
        <v>45</v>
      </c>
      <c r="O925" t="s">
        <v>45</v>
      </c>
      <c r="P925" t="s">
        <v>45</v>
      </c>
      <c r="R925" t="s">
        <v>4212</v>
      </c>
      <c r="T925" t="s">
        <v>4117</v>
      </c>
      <c r="U925" t="s">
        <v>4213</v>
      </c>
    </row>
    <row r="926" spans="1:21" x14ac:dyDescent="0.25">
      <c r="A926" t="s">
        <v>4214</v>
      </c>
      <c r="B926" t="s">
        <v>22</v>
      </c>
      <c r="C926" t="s">
        <v>4215</v>
      </c>
      <c r="D926">
        <f t="shared" si="23"/>
        <v>-8006655851</v>
      </c>
      <c r="E926" t="s">
        <v>4216</v>
      </c>
      <c r="F926" t="s">
        <v>4114</v>
      </c>
      <c r="G926" t="s">
        <v>4115</v>
      </c>
      <c r="H926">
        <v>8.5278890000000001</v>
      </c>
      <c r="I926">
        <v>50.119318</v>
      </c>
      <c r="J926">
        <v>100</v>
      </c>
      <c r="K926" t="s">
        <v>185</v>
      </c>
      <c r="L926" t="s">
        <v>185</v>
      </c>
      <c r="M926" t="s">
        <v>185</v>
      </c>
      <c r="N926" t="s">
        <v>2069</v>
      </c>
      <c r="O926" t="s">
        <v>2069</v>
      </c>
      <c r="P926" t="s">
        <v>2069</v>
      </c>
      <c r="R926" t="s">
        <v>4215</v>
      </c>
      <c r="T926" t="s">
        <v>4152</v>
      </c>
      <c r="U926" t="s">
        <v>4217</v>
      </c>
    </row>
    <row r="927" spans="1:21" x14ac:dyDescent="0.25">
      <c r="A927" t="s">
        <v>4218</v>
      </c>
      <c r="B927" t="s">
        <v>38</v>
      </c>
      <c r="C927" t="s">
        <v>4219</v>
      </c>
      <c r="D927">
        <f t="shared" si="23"/>
        <v>-8006655851</v>
      </c>
      <c r="E927" t="s">
        <v>4220</v>
      </c>
      <c r="F927" t="s">
        <v>4114</v>
      </c>
      <c r="G927" t="s">
        <v>4115</v>
      </c>
      <c r="H927">
        <v>12.524430000000001</v>
      </c>
      <c r="I927">
        <v>48.241140000000001</v>
      </c>
      <c r="J927">
        <v>110</v>
      </c>
      <c r="K927" t="s">
        <v>535</v>
      </c>
      <c r="L927" t="s">
        <v>535</v>
      </c>
      <c r="M927" t="s">
        <v>535</v>
      </c>
      <c r="N927" t="s">
        <v>535</v>
      </c>
      <c r="O927" t="s">
        <v>535</v>
      </c>
      <c r="P927" t="s">
        <v>428</v>
      </c>
      <c r="R927" t="s">
        <v>4219</v>
      </c>
      <c r="T927" t="s">
        <v>4123</v>
      </c>
      <c r="U927" t="s">
        <v>4221</v>
      </c>
    </row>
    <row r="928" spans="1:21" x14ac:dyDescent="0.25">
      <c r="A928" t="s">
        <v>4222</v>
      </c>
      <c r="B928" t="s">
        <v>38</v>
      </c>
      <c r="C928" t="s">
        <v>4223</v>
      </c>
      <c r="D928">
        <f t="shared" si="23"/>
        <v>-8006655851</v>
      </c>
      <c r="E928" t="s">
        <v>4224</v>
      </c>
      <c r="F928" t="s">
        <v>4114</v>
      </c>
      <c r="G928" t="s">
        <v>4115</v>
      </c>
      <c r="H928">
        <v>9.7378839999999993</v>
      </c>
      <c r="I928">
        <v>52.439948999999999</v>
      </c>
      <c r="J928">
        <v>100</v>
      </c>
      <c r="K928" t="s">
        <v>185</v>
      </c>
      <c r="L928" t="s">
        <v>185</v>
      </c>
      <c r="M928" t="s">
        <v>185</v>
      </c>
      <c r="N928" t="s">
        <v>185</v>
      </c>
      <c r="O928" t="s">
        <v>185</v>
      </c>
      <c r="P928" t="s">
        <v>185</v>
      </c>
      <c r="R928" t="s">
        <v>4225</v>
      </c>
      <c r="U928" t="s">
        <v>4226</v>
      </c>
    </row>
    <row r="929" spans="1:21" x14ac:dyDescent="0.25">
      <c r="A929" t="s">
        <v>4227</v>
      </c>
      <c r="B929" t="s">
        <v>38</v>
      </c>
      <c r="C929" t="s">
        <v>4228</v>
      </c>
      <c r="D929">
        <f t="shared" si="23"/>
        <v>-8006655851</v>
      </c>
      <c r="E929" t="s">
        <v>4229</v>
      </c>
      <c r="F929" t="s">
        <v>4114</v>
      </c>
      <c r="G929" t="s">
        <v>4115</v>
      </c>
      <c r="H929">
        <v>9.1301070000000006</v>
      </c>
      <c r="I929">
        <v>48.960121000000001</v>
      </c>
      <c r="J929">
        <v>110</v>
      </c>
      <c r="K929" t="s">
        <v>45</v>
      </c>
      <c r="L929" t="s">
        <v>45</v>
      </c>
      <c r="M929" t="s">
        <v>45</v>
      </c>
      <c r="N929" t="s">
        <v>45</v>
      </c>
      <c r="O929" t="s">
        <v>45</v>
      </c>
      <c r="P929" t="s">
        <v>185</v>
      </c>
      <c r="R929" t="s">
        <v>4228</v>
      </c>
      <c r="T929" t="s">
        <v>4146</v>
      </c>
      <c r="U929" t="s">
        <v>4230</v>
      </c>
    </row>
    <row r="930" spans="1:21" x14ac:dyDescent="0.25">
      <c r="A930" t="s">
        <v>4231</v>
      </c>
      <c r="B930" t="s">
        <v>22</v>
      </c>
      <c r="C930" t="s">
        <v>4232</v>
      </c>
      <c r="D930">
        <f t="shared" si="23"/>
        <v>-8006655851</v>
      </c>
      <c r="E930" t="s">
        <v>4233</v>
      </c>
      <c r="F930" t="s">
        <v>4114</v>
      </c>
      <c r="G930" t="s">
        <v>4115</v>
      </c>
      <c r="H930">
        <v>8.6130399999999998</v>
      </c>
      <c r="I930">
        <v>50.228631999999998</v>
      </c>
      <c r="J930">
        <v>100</v>
      </c>
      <c r="K930" t="s">
        <v>185</v>
      </c>
      <c r="L930" t="s">
        <v>185</v>
      </c>
      <c r="M930" t="s">
        <v>185</v>
      </c>
      <c r="N930" t="s">
        <v>185</v>
      </c>
      <c r="O930" t="s">
        <v>185</v>
      </c>
      <c r="P930" t="s">
        <v>184</v>
      </c>
      <c r="R930" t="s">
        <v>4232</v>
      </c>
      <c r="U930" t="s">
        <v>4234</v>
      </c>
    </row>
    <row r="931" spans="1:21" x14ac:dyDescent="0.25">
      <c r="A931" t="s">
        <v>4235</v>
      </c>
      <c r="B931" t="s">
        <v>22</v>
      </c>
      <c r="C931" t="s">
        <v>4236</v>
      </c>
      <c r="D931">
        <f t="shared" si="23"/>
        <v>-8006655851</v>
      </c>
      <c r="E931" t="s">
        <v>4237</v>
      </c>
      <c r="F931" t="s">
        <v>4114</v>
      </c>
      <c r="G931" t="s">
        <v>4115</v>
      </c>
      <c r="H931">
        <v>7.5954430000000004</v>
      </c>
      <c r="I931">
        <v>50.357700999999999</v>
      </c>
      <c r="J931">
        <v>100</v>
      </c>
      <c r="K931" t="s">
        <v>45</v>
      </c>
      <c r="L931" t="s">
        <v>45</v>
      </c>
      <c r="M931" t="s">
        <v>45</v>
      </c>
      <c r="N931" t="s">
        <v>45</v>
      </c>
      <c r="O931" t="s">
        <v>45</v>
      </c>
      <c r="P931" t="s">
        <v>45</v>
      </c>
      <c r="R931" t="s">
        <v>4238</v>
      </c>
      <c r="T931" t="s">
        <v>4129</v>
      </c>
      <c r="U931" t="s">
        <v>4239</v>
      </c>
    </row>
    <row r="932" spans="1:21" x14ac:dyDescent="0.25">
      <c r="A932" t="s">
        <v>4240</v>
      </c>
      <c r="B932" t="s">
        <v>22</v>
      </c>
      <c r="C932" t="s">
        <v>4241</v>
      </c>
      <c r="D932">
        <f t="shared" si="23"/>
        <v>-8006655851</v>
      </c>
      <c r="E932" t="s">
        <v>4242</v>
      </c>
      <c r="F932" t="s">
        <v>4114</v>
      </c>
      <c r="G932" t="s">
        <v>4115</v>
      </c>
      <c r="H932">
        <v>9.1748419999999999</v>
      </c>
      <c r="I932">
        <v>47.660429999999998</v>
      </c>
      <c r="J932">
        <v>100</v>
      </c>
      <c r="K932" t="s">
        <v>45</v>
      </c>
      <c r="L932" t="s">
        <v>45</v>
      </c>
      <c r="M932" t="s">
        <v>45</v>
      </c>
      <c r="N932" t="s">
        <v>45</v>
      </c>
      <c r="O932" t="s">
        <v>45</v>
      </c>
      <c r="P932" t="s">
        <v>45</v>
      </c>
      <c r="R932" t="s">
        <v>4241</v>
      </c>
      <c r="T932" t="s">
        <v>4146</v>
      </c>
      <c r="U932" t="s">
        <v>4243</v>
      </c>
    </row>
    <row r="933" spans="1:21" x14ac:dyDescent="0.25">
      <c r="A933" t="s">
        <v>4244</v>
      </c>
      <c r="B933" t="s">
        <v>38</v>
      </c>
      <c r="C933" t="s">
        <v>4245</v>
      </c>
      <c r="D933">
        <f t="shared" si="23"/>
        <v>-8006655851</v>
      </c>
      <c r="E933" t="s">
        <v>4246</v>
      </c>
      <c r="F933" t="s">
        <v>4114</v>
      </c>
      <c r="G933" t="s">
        <v>4115</v>
      </c>
      <c r="H933">
        <v>12.478168</v>
      </c>
      <c r="I933">
        <v>51.347289000000004</v>
      </c>
      <c r="J933">
        <v>100</v>
      </c>
      <c r="K933" t="s">
        <v>45</v>
      </c>
      <c r="L933" t="s">
        <v>45</v>
      </c>
      <c r="M933" t="s">
        <v>45</v>
      </c>
      <c r="N933" t="s">
        <v>45</v>
      </c>
      <c r="O933" t="s">
        <v>45</v>
      </c>
      <c r="P933" t="s">
        <v>45</v>
      </c>
      <c r="R933" t="s">
        <v>4247</v>
      </c>
      <c r="T933" t="s">
        <v>4248</v>
      </c>
      <c r="U933" t="s">
        <v>4249</v>
      </c>
    </row>
    <row r="934" spans="1:21" x14ac:dyDescent="0.25">
      <c r="A934" t="s">
        <v>4250</v>
      </c>
      <c r="B934" t="s">
        <v>22</v>
      </c>
      <c r="C934" t="s">
        <v>4251</v>
      </c>
      <c r="D934">
        <f t="shared" si="23"/>
        <v>-8006655851</v>
      </c>
      <c r="E934" t="s">
        <v>4252</v>
      </c>
      <c r="F934" t="s">
        <v>4114</v>
      </c>
      <c r="G934" t="s">
        <v>4115</v>
      </c>
      <c r="H934">
        <v>9.6805140000000005</v>
      </c>
      <c r="I934">
        <v>50.552999999999997</v>
      </c>
      <c r="J934">
        <v>100</v>
      </c>
      <c r="K934" t="s">
        <v>535</v>
      </c>
      <c r="L934" t="s">
        <v>535</v>
      </c>
      <c r="M934" t="s">
        <v>535</v>
      </c>
      <c r="N934" t="s">
        <v>535</v>
      </c>
      <c r="O934" t="s">
        <v>535</v>
      </c>
      <c r="P934" t="s">
        <v>535</v>
      </c>
      <c r="R934" t="s">
        <v>4251</v>
      </c>
      <c r="T934" t="s">
        <v>4152</v>
      </c>
      <c r="U934" t="s">
        <v>4253</v>
      </c>
    </row>
    <row r="935" spans="1:21" x14ac:dyDescent="0.25">
      <c r="A935" t="s">
        <v>4254</v>
      </c>
      <c r="B935" t="s">
        <v>22</v>
      </c>
      <c r="C935" t="s">
        <v>4255</v>
      </c>
      <c r="D935">
        <f t="shared" si="23"/>
        <v>-8006655851</v>
      </c>
      <c r="E935" t="s">
        <v>4256</v>
      </c>
      <c r="F935" t="s">
        <v>4114</v>
      </c>
      <c r="G935" t="s">
        <v>4115</v>
      </c>
      <c r="H935">
        <v>9.1681059999999999</v>
      </c>
      <c r="I935">
        <v>53.057507999999999</v>
      </c>
      <c r="J935">
        <v>110</v>
      </c>
      <c r="K935" t="s">
        <v>45</v>
      </c>
      <c r="L935" t="s">
        <v>45</v>
      </c>
      <c r="M935" t="s">
        <v>45</v>
      </c>
      <c r="N935" t="s">
        <v>45</v>
      </c>
      <c r="O935" t="s">
        <v>45</v>
      </c>
      <c r="P935" t="s">
        <v>45</v>
      </c>
      <c r="R935" t="s">
        <v>4257</v>
      </c>
      <c r="S935" t="s">
        <v>4257</v>
      </c>
      <c r="T935" t="s">
        <v>4258</v>
      </c>
      <c r="U935" t="s">
        <v>4259</v>
      </c>
    </row>
    <row r="936" spans="1:21" x14ac:dyDescent="0.25">
      <c r="A936" t="s">
        <v>4260</v>
      </c>
      <c r="B936" t="s">
        <v>38</v>
      </c>
      <c r="C936" t="s">
        <v>4261</v>
      </c>
      <c r="D936">
        <f t="shared" si="23"/>
        <v>-8006655851</v>
      </c>
      <c r="E936" t="s">
        <v>4262</v>
      </c>
      <c r="F936" t="s">
        <v>4114</v>
      </c>
      <c r="G936" t="s">
        <v>4115</v>
      </c>
      <c r="H936">
        <v>7.1174970000000002</v>
      </c>
      <c r="I936">
        <v>49.279701000000003</v>
      </c>
      <c r="J936">
        <v>100</v>
      </c>
      <c r="K936" t="s">
        <v>745</v>
      </c>
      <c r="L936" t="s">
        <v>745</v>
      </c>
      <c r="M936" t="s">
        <v>745</v>
      </c>
      <c r="N936" t="s">
        <v>745</v>
      </c>
      <c r="O936" t="s">
        <v>745</v>
      </c>
      <c r="P936" t="s">
        <v>622</v>
      </c>
      <c r="R936" t="s">
        <v>4261</v>
      </c>
      <c r="T936" t="s">
        <v>4135</v>
      </c>
      <c r="U936" t="s">
        <v>4263</v>
      </c>
    </row>
    <row r="937" spans="1:21" x14ac:dyDescent="0.25">
      <c r="A937" t="s">
        <v>4264</v>
      </c>
      <c r="B937" t="s">
        <v>32</v>
      </c>
      <c r="C937" t="s">
        <v>4265</v>
      </c>
      <c r="D937">
        <f t="shared" si="23"/>
        <v>-8006655851</v>
      </c>
      <c r="E937" t="s">
        <v>4266</v>
      </c>
      <c r="F937" t="s">
        <v>4114</v>
      </c>
      <c r="G937" t="s">
        <v>4115</v>
      </c>
      <c r="H937">
        <v>13.381353635581901</v>
      </c>
      <c r="I937">
        <v>52.510653730070203</v>
      </c>
      <c r="J937">
        <v>100</v>
      </c>
      <c r="K937" t="s">
        <v>45</v>
      </c>
      <c r="L937" t="s">
        <v>45</v>
      </c>
      <c r="M937" t="s">
        <v>45</v>
      </c>
      <c r="N937" t="s">
        <v>45</v>
      </c>
      <c r="O937" t="s">
        <v>536</v>
      </c>
      <c r="P937" t="s">
        <v>536</v>
      </c>
      <c r="R937" t="s">
        <v>4267</v>
      </c>
      <c r="T937" t="s">
        <v>4268</v>
      </c>
      <c r="U937" t="s">
        <v>4269</v>
      </c>
    </row>
    <row r="938" spans="1:21" x14ac:dyDescent="0.25">
      <c r="A938" t="s">
        <v>4270</v>
      </c>
      <c r="B938" t="s">
        <v>22</v>
      </c>
      <c r="C938" t="s">
        <v>4271</v>
      </c>
      <c r="D938">
        <f t="shared" ref="D938:D969" si="24">49-8006655900</f>
        <v>-8006655851</v>
      </c>
      <c r="E938" t="s">
        <v>4272</v>
      </c>
      <c r="F938" t="s">
        <v>4114</v>
      </c>
      <c r="G938" t="s">
        <v>4115</v>
      </c>
      <c r="H938">
        <v>9.7024019999999993</v>
      </c>
      <c r="I938">
        <v>47.553832999999997</v>
      </c>
      <c r="J938">
        <v>100</v>
      </c>
      <c r="K938" t="s">
        <v>192</v>
      </c>
      <c r="L938" t="s">
        <v>192</v>
      </c>
      <c r="M938" t="s">
        <v>192</v>
      </c>
      <c r="N938" t="s">
        <v>192</v>
      </c>
      <c r="O938" t="s">
        <v>192</v>
      </c>
      <c r="P938" t="s">
        <v>192</v>
      </c>
      <c r="R938" t="s">
        <v>4273</v>
      </c>
      <c r="T938" t="s">
        <v>4123</v>
      </c>
      <c r="U938" t="s">
        <v>4274</v>
      </c>
    </row>
    <row r="939" spans="1:21" x14ac:dyDescent="0.25">
      <c r="A939" t="s">
        <v>4275</v>
      </c>
      <c r="B939" t="s">
        <v>38</v>
      </c>
      <c r="C939" t="s">
        <v>4276</v>
      </c>
      <c r="D939">
        <f t="shared" si="24"/>
        <v>-8006655851</v>
      </c>
      <c r="E939" t="s">
        <v>4266</v>
      </c>
      <c r="F939" t="s">
        <v>4114</v>
      </c>
      <c r="G939" t="s">
        <v>4115</v>
      </c>
      <c r="H939">
        <v>13.259646999999999</v>
      </c>
      <c r="I939">
        <v>52.431579999999997</v>
      </c>
      <c r="J939">
        <v>100</v>
      </c>
      <c r="K939" t="s">
        <v>535</v>
      </c>
      <c r="L939" t="s">
        <v>535</v>
      </c>
      <c r="M939" t="s">
        <v>535</v>
      </c>
      <c r="N939" t="s">
        <v>535</v>
      </c>
      <c r="O939" t="s">
        <v>535</v>
      </c>
      <c r="P939" t="s">
        <v>428</v>
      </c>
      <c r="R939" t="s">
        <v>4277</v>
      </c>
      <c r="T939" t="s">
        <v>4278</v>
      </c>
      <c r="U939" t="s">
        <v>4279</v>
      </c>
    </row>
    <row r="940" spans="1:21" x14ac:dyDescent="0.25">
      <c r="A940" t="s">
        <v>4280</v>
      </c>
      <c r="B940" t="s">
        <v>22</v>
      </c>
      <c r="C940" t="s">
        <v>4281</v>
      </c>
      <c r="D940">
        <f t="shared" si="24"/>
        <v>-8006655851</v>
      </c>
      <c r="E940" t="s">
        <v>4282</v>
      </c>
      <c r="F940" t="s">
        <v>4114</v>
      </c>
      <c r="G940" t="s">
        <v>4115</v>
      </c>
      <c r="H940">
        <v>8.7487960000000005</v>
      </c>
      <c r="I940">
        <v>53.111545999999997</v>
      </c>
      <c r="J940">
        <v>110</v>
      </c>
      <c r="K940" t="s">
        <v>45</v>
      </c>
      <c r="L940" t="s">
        <v>45</v>
      </c>
      <c r="M940" t="s">
        <v>45</v>
      </c>
      <c r="N940" t="s">
        <v>45</v>
      </c>
      <c r="O940" t="s">
        <v>45</v>
      </c>
      <c r="P940" t="s">
        <v>45</v>
      </c>
      <c r="R940" t="s">
        <v>4283</v>
      </c>
      <c r="T940" t="s">
        <v>4282</v>
      </c>
      <c r="U940" t="s">
        <v>4284</v>
      </c>
    </row>
    <row r="941" spans="1:21" x14ac:dyDescent="0.25">
      <c r="A941" t="s">
        <v>4285</v>
      </c>
      <c r="B941" t="s">
        <v>38</v>
      </c>
      <c r="C941" t="s">
        <v>4286</v>
      </c>
      <c r="D941">
        <f t="shared" si="24"/>
        <v>-8006655851</v>
      </c>
      <c r="E941" t="s">
        <v>4287</v>
      </c>
      <c r="F941" t="s">
        <v>4114</v>
      </c>
      <c r="G941" t="s">
        <v>4115</v>
      </c>
      <c r="H941">
        <v>11.134901046752899</v>
      </c>
      <c r="I941">
        <v>49.403489544448803</v>
      </c>
      <c r="J941">
        <v>110</v>
      </c>
      <c r="K941" t="s">
        <v>185</v>
      </c>
      <c r="L941" t="s">
        <v>185</v>
      </c>
      <c r="M941" t="s">
        <v>185</v>
      </c>
      <c r="N941" t="s">
        <v>185</v>
      </c>
      <c r="O941" t="s">
        <v>185</v>
      </c>
      <c r="P941" t="s">
        <v>192</v>
      </c>
      <c r="R941" t="s">
        <v>4288</v>
      </c>
      <c r="T941" t="s">
        <v>4123</v>
      </c>
      <c r="U941" t="s">
        <v>4289</v>
      </c>
    </row>
    <row r="942" spans="1:21" x14ac:dyDescent="0.25">
      <c r="A942" t="s">
        <v>4290</v>
      </c>
      <c r="B942" t="s">
        <v>38</v>
      </c>
      <c r="C942" t="s">
        <v>4291</v>
      </c>
      <c r="D942">
        <f t="shared" si="24"/>
        <v>-8006655851</v>
      </c>
      <c r="E942" t="s">
        <v>4292</v>
      </c>
      <c r="F942" t="s">
        <v>4114</v>
      </c>
      <c r="G942" t="s">
        <v>4115</v>
      </c>
      <c r="H942">
        <v>6.9771530000000004</v>
      </c>
      <c r="I942">
        <v>51.249079000000002</v>
      </c>
      <c r="J942">
        <v>100</v>
      </c>
      <c r="K942" t="s">
        <v>535</v>
      </c>
      <c r="L942" t="s">
        <v>535</v>
      </c>
      <c r="M942" t="s">
        <v>535</v>
      </c>
      <c r="N942" t="s">
        <v>535</v>
      </c>
      <c r="O942" t="s">
        <v>535</v>
      </c>
      <c r="P942" t="s">
        <v>535</v>
      </c>
      <c r="R942" t="s">
        <v>4293</v>
      </c>
      <c r="T942" t="s">
        <v>4117</v>
      </c>
      <c r="U942" t="s">
        <v>4294</v>
      </c>
    </row>
    <row r="943" spans="1:21" x14ac:dyDescent="0.25">
      <c r="A943" t="s">
        <v>4295</v>
      </c>
      <c r="B943" t="s">
        <v>22</v>
      </c>
      <c r="C943" t="s">
        <v>4296</v>
      </c>
      <c r="D943">
        <f t="shared" si="24"/>
        <v>-8006655851</v>
      </c>
      <c r="E943" t="s">
        <v>4297</v>
      </c>
      <c r="F943" t="s">
        <v>4114</v>
      </c>
      <c r="G943" t="s">
        <v>4115</v>
      </c>
      <c r="H943">
        <v>8.5026480000000006</v>
      </c>
      <c r="I943">
        <v>50.563156999999997</v>
      </c>
      <c r="J943">
        <v>100</v>
      </c>
      <c r="K943" t="s">
        <v>45</v>
      </c>
      <c r="L943" t="s">
        <v>45</v>
      </c>
      <c r="M943" t="s">
        <v>45</v>
      </c>
      <c r="N943" t="s">
        <v>45</v>
      </c>
      <c r="O943" t="s">
        <v>45</v>
      </c>
      <c r="P943" t="s">
        <v>45</v>
      </c>
      <c r="R943" t="s">
        <v>4298</v>
      </c>
      <c r="T943" t="s">
        <v>4152</v>
      </c>
      <c r="U943" t="s">
        <v>4299</v>
      </c>
    </row>
    <row r="944" spans="1:21" x14ac:dyDescent="0.25">
      <c r="A944" t="s">
        <v>4300</v>
      </c>
      <c r="B944" t="s">
        <v>22</v>
      </c>
      <c r="C944" t="s">
        <v>4301</v>
      </c>
      <c r="D944">
        <f t="shared" si="24"/>
        <v>-8006655851</v>
      </c>
      <c r="E944" t="s">
        <v>4302</v>
      </c>
      <c r="F944" t="s">
        <v>4114</v>
      </c>
      <c r="G944" t="s">
        <v>4115</v>
      </c>
      <c r="H944">
        <v>8.6517959999999992</v>
      </c>
      <c r="I944">
        <v>50.109178999999997</v>
      </c>
      <c r="J944">
        <v>100</v>
      </c>
      <c r="K944" t="s">
        <v>45</v>
      </c>
      <c r="L944" t="s">
        <v>45</v>
      </c>
      <c r="M944" t="s">
        <v>45</v>
      </c>
      <c r="N944" t="s">
        <v>536</v>
      </c>
      <c r="O944" t="s">
        <v>536</v>
      </c>
      <c r="P944" t="s">
        <v>536</v>
      </c>
      <c r="R944" t="s">
        <v>4303</v>
      </c>
      <c r="T944" t="s">
        <v>4152</v>
      </c>
      <c r="U944" t="s">
        <v>4304</v>
      </c>
    </row>
    <row r="945" spans="1:21" x14ac:dyDescent="0.25">
      <c r="A945" t="s">
        <v>4305</v>
      </c>
      <c r="B945" t="s">
        <v>38</v>
      </c>
      <c r="C945" t="s">
        <v>4306</v>
      </c>
      <c r="D945">
        <f t="shared" si="24"/>
        <v>-8006655851</v>
      </c>
      <c r="E945" t="s">
        <v>4307</v>
      </c>
      <c r="F945" t="s">
        <v>4114</v>
      </c>
      <c r="G945" t="s">
        <v>4115</v>
      </c>
      <c r="H945">
        <v>8.7403139999999997</v>
      </c>
      <c r="I945">
        <v>50.180734999999999</v>
      </c>
      <c r="J945">
        <v>100</v>
      </c>
      <c r="K945" t="s">
        <v>535</v>
      </c>
      <c r="L945" t="s">
        <v>535</v>
      </c>
      <c r="M945" t="s">
        <v>535</v>
      </c>
      <c r="N945" t="s">
        <v>535</v>
      </c>
      <c r="O945" t="s">
        <v>535</v>
      </c>
      <c r="P945" t="s">
        <v>428</v>
      </c>
      <c r="R945" t="s">
        <v>4308</v>
      </c>
      <c r="T945" t="s">
        <v>4152</v>
      </c>
      <c r="U945" t="s">
        <v>4309</v>
      </c>
    </row>
    <row r="946" spans="1:21" x14ac:dyDescent="0.25">
      <c r="A946" t="s">
        <v>4310</v>
      </c>
      <c r="B946" t="s">
        <v>38</v>
      </c>
      <c r="C946" t="s">
        <v>4311</v>
      </c>
      <c r="D946">
        <f t="shared" si="24"/>
        <v>-8006655851</v>
      </c>
      <c r="E946" t="s">
        <v>4312</v>
      </c>
      <c r="F946" t="s">
        <v>4114</v>
      </c>
      <c r="G946" t="s">
        <v>4115</v>
      </c>
      <c r="H946">
        <v>9.4291269999999994</v>
      </c>
      <c r="I946">
        <v>48.947569000000001</v>
      </c>
      <c r="J946">
        <v>110</v>
      </c>
      <c r="K946" t="s">
        <v>535</v>
      </c>
      <c r="L946" t="s">
        <v>535</v>
      </c>
      <c r="M946" t="s">
        <v>535</v>
      </c>
      <c r="N946" t="s">
        <v>535</v>
      </c>
      <c r="O946" t="s">
        <v>535</v>
      </c>
      <c r="P946" t="s">
        <v>535</v>
      </c>
      <c r="R946" t="s">
        <v>4311</v>
      </c>
      <c r="T946" t="s">
        <v>4146</v>
      </c>
      <c r="U946" t="s">
        <v>4313</v>
      </c>
    </row>
    <row r="947" spans="1:21" x14ac:dyDescent="0.25">
      <c r="A947" t="s">
        <v>4314</v>
      </c>
      <c r="B947" t="s">
        <v>22</v>
      </c>
      <c r="C947" t="s">
        <v>4315</v>
      </c>
      <c r="D947">
        <f t="shared" si="24"/>
        <v>-8006655851</v>
      </c>
      <c r="E947" t="s">
        <v>4316</v>
      </c>
      <c r="F947" t="s">
        <v>4114</v>
      </c>
      <c r="G947" t="s">
        <v>4115</v>
      </c>
      <c r="H947">
        <v>9.8110160000000004</v>
      </c>
      <c r="I947">
        <v>52.306902999999998</v>
      </c>
      <c r="J947">
        <v>100</v>
      </c>
      <c r="K947" t="s">
        <v>185</v>
      </c>
      <c r="L947" t="s">
        <v>185</v>
      </c>
      <c r="M947" t="s">
        <v>185</v>
      </c>
      <c r="N947" t="s">
        <v>185</v>
      </c>
      <c r="O947" t="s">
        <v>185</v>
      </c>
      <c r="P947" t="s">
        <v>185</v>
      </c>
      <c r="R947" t="s">
        <v>4317</v>
      </c>
      <c r="T947" t="s">
        <v>4258</v>
      </c>
      <c r="U947" t="s">
        <v>4318</v>
      </c>
    </row>
    <row r="948" spans="1:21" x14ac:dyDescent="0.25">
      <c r="A948" t="s">
        <v>4319</v>
      </c>
      <c r="B948" t="s">
        <v>38</v>
      </c>
      <c r="C948" t="s">
        <v>4320</v>
      </c>
      <c r="D948">
        <f t="shared" si="24"/>
        <v>-8006655851</v>
      </c>
      <c r="E948" t="s">
        <v>4321</v>
      </c>
      <c r="F948" t="s">
        <v>4114</v>
      </c>
      <c r="G948" t="s">
        <v>4115</v>
      </c>
      <c r="H948">
        <v>9.4288799999999995</v>
      </c>
      <c r="I948">
        <v>51.227679999999999</v>
      </c>
      <c r="J948">
        <v>110</v>
      </c>
      <c r="K948" t="s">
        <v>45</v>
      </c>
      <c r="L948" t="s">
        <v>45</v>
      </c>
      <c r="M948" t="s">
        <v>45</v>
      </c>
      <c r="N948" t="s">
        <v>45</v>
      </c>
      <c r="O948" t="s">
        <v>45</v>
      </c>
      <c r="P948" t="s">
        <v>45</v>
      </c>
      <c r="R948" t="s">
        <v>4322</v>
      </c>
      <c r="T948" t="s">
        <v>4152</v>
      </c>
      <c r="U948" t="s">
        <v>4323</v>
      </c>
    </row>
    <row r="949" spans="1:21" x14ac:dyDescent="0.25">
      <c r="A949" t="s">
        <v>4324</v>
      </c>
      <c r="B949" t="s">
        <v>22</v>
      </c>
      <c r="C949" t="s">
        <v>4325</v>
      </c>
      <c r="D949">
        <f t="shared" si="24"/>
        <v>-8006655851</v>
      </c>
      <c r="E949" t="s">
        <v>4326</v>
      </c>
      <c r="F949" t="s">
        <v>4114</v>
      </c>
      <c r="G949" t="s">
        <v>4115</v>
      </c>
      <c r="H949">
        <v>13.735377</v>
      </c>
      <c r="I949">
        <v>51.048271999999997</v>
      </c>
      <c r="J949">
        <v>110</v>
      </c>
      <c r="K949" t="s">
        <v>185</v>
      </c>
      <c r="L949" t="s">
        <v>185</v>
      </c>
      <c r="M949" t="s">
        <v>185</v>
      </c>
      <c r="N949" t="s">
        <v>185</v>
      </c>
      <c r="O949" t="s">
        <v>290</v>
      </c>
      <c r="P949" t="s">
        <v>290</v>
      </c>
      <c r="R949" t="s">
        <v>4327</v>
      </c>
      <c r="T949" t="s">
        <v>4248</v>
      </c>
      <c r="U949" t="s">
        <v>4328</v>
      </c>
    </row>
    <row r="950" spans="1:21" x14ac:dyDescent="0.25">
      <c r="A950" t="s">
        <v>4329</v>
      </c>
      <c r="B950" t="s">
        <v>38</v>
      </c>
      <c r="C950" t="s">
        <v>4330</v>
      </c>
      <c r="D950">
        <f t="shared" si="24"/>
        <v>-8006655851</v>
      </c>
      <c r="E950" t="s">
        <v>4113</v>
      </c>
      <c r="F950" t="s">
        <v>4114</v>
      </c>
      <c r="G950" t="s">
        <v>4115</v>
      </c>
      <c r="H950">
        <v>7.0752179999999996</v>
      </c>
      <c r="I950">
        <v>51.447020000000002</v>
      </c>
      <c r="J950">
        <v>100</v>
      </c>
      <c r="K950" t="s">
        <v>184</v>
      </c>
      <c r="L950" t="s">
        <v>184</v>
      </c>
      <c r="M950" t="s">
        <v>184</v>
      </c>
      <c r="N950" t="s">
        <v>184</v>
      </c>
      <c r="O950" t="s">
        <v>184</v>
      </c>
      <c r="P950" t="s">
        <v>262</v>
      </c>
      <c r="R950" t="s">
        <v>4330</v>
      </c>
      <c r="T950" t="s">
        <v>4117</v>
      </c>
      <c r="U950" t="s">
        <v>4331</v>
      </c>
    </row>
    <row r="951" spans="1:21" x14ac:dyDescent="0.25">
      <c r="A951" t="s">
        <v>4332</v>
      </c>
      <c r="B951" t="s">
        <v>22</v>
      </c>
      <c r="C951" t="s">
        <v>4333</v>
      </c>
      <c r="D951">
        <f t="shared" si="24"/>
        <v>-8006655851</v>
      </c>
      <c r="E951" t="s">
        <v>4334</v>
      </c>
      <c r="F951" t="s">
        <v>4114</v>
      </c>
      <c r="G951" t="s">
        <v>4115</v>
      </c>
      <c r="H951">
        <v>10.90751</v>
      </c>
      <c r="I951">
        <v>48.365589999999997</v>
      </c>
      <c r="J951">
        <v>100</v>
      </c>
      <c r="K951" t="s">
        <v>185</v>
      </c>
      <c r="L951" t="s">
        <v>185</v>
      </c>
      <c r="M951" t="s">
        <v>185</v>
      </c>
      <c r="N951" t="s">
        <v>185</v>
      </c>
      <c r="O951" t="s">
        <v>185</v>
      </c>
      <c r="P951" t="s">
        <v>185</v>
      </c>
      <c r="R951" t="s">
        <v>4335</v>
      </c>
      <c r="U951" t="s">
        <v>4336</v>
      </c>
    </row>
    <row r="952" spans="1:21" x14ac:dyDescent="0.25">
      <c r="A952" t="s">
        <v>4337</v>
      </c>
      <c r="B952" t="s">
        <v>22</v>
      </c>
      <c r="C952" t="s">
        <v>4338</v>
      </c>
      <c r="D952">
        <f t="shared" si="24"/>
        <v>-8006655851</v>
      </c>
      <c r="E952" t="s">
        <v>4339</v>
      </c>
      <c r="F952" t="s">
        <v>4114</v>
      </c>
      <c r="G952" t="s">
        <v>4115</v>
      </c>
      <c r="H952">
        <v>8.9164849999999998</v>
      </c>
      <c r="I952">
        <v>50.135060000000003</v>
      </c>
      <c r="J952">
        <v>100</v>
      </c>
      <c r="K952" t="s">
        <v>185</v>
      </c>
      <c r="L952" t="s">
        <v>185</v>
      </c>
      <c r="M952" t="s">
        <v>185</v>
      </c>
      <c r="N952" t="s">
        <v>185</v>
      </c>
      <c r="O952" t="s">
        <v>185</v>
      </c>
      <c r="P952" t="s">
        <v>185</v>
      </c>
      <c r="R952" t="s">
        <v>4340</v>
      </c>
      <c r="T952" t="s">
        <v>4152</v>
      </c>
      <c r="U952" t="s">
        <v>4341</v>
      </c>
    </row>
    <row r="953" spans="1:21" x14ac:dyDescent="0.25">
      <c r="A953" t="s">
        <v>4342</v>
      </c>
      <c r="B953" t="s">
        <v>38</v>
      </c>
      <c r="C953" t="s">
        <v>4343</v>
      </c>
      <c r="D953">
        <f t="shared" si="24"/>
        <v>-8006655851</v>
      </c>
      <c r="E953" t="s">
        <v>4344</v>
      </c>
      <c r="F953" t="s">
        <v>4114</v>
      </c>
      <c r="G953" t="s">
        <v>4115</v>
      </c>
      <c r="H953">
        <v>10.117593469905801</v>
      </c>
      <c r="I953">
        <v>53.605630619243698</v>
      </c>
      <c r="J953">
        <v>100</v>
      </c>
      <c r="K953" t="s">
        <v>45</v>
      </c>
      <c r="L953" t="s">
        <v>45</v>
      </c>
      <c r="M953" t="s">
        <v>45</v>
      </c>
      <c r="N953" t="s">
        <v>45</v>
      </c>
      <c r="O953" t="s">
        <v>45</v>
      </c>
      <c r="P953" t="s">
        <v>45</v>
      </c>
      <c r="R953" t="s">
        <v>4345</v>
      </c>
      <c r="T953" t="s">
        <v>4344</v>
      </c>
      <c r="U953" t="s">
        <v>4346</v>
      </c>
    </row>
    <row r="954" spans="1:21" x14ac:dyDescent="0.25">
      <c r="A954" t="s">
        <v>4347</v>
      </c>
      <c r="B954" t="s">
        <v>22</v>
      </c>
      <c r="C954" t="s">
        <v>4348</v>
      </c>
      <c r="D954">
        <f t="shared" si="24"/>
        <v>-8006655851</v>
      </c>
      <c r="E954" t="s">
        <v>4349</v>
      </c>
      <c r="F954" t="s">
        <v>4114</v>
      </c>
      <c r="G954" t="s">
        <v>4115</v>
      </c>
      <c r="H954">
        <v>7.283137</v>
      </c>
      <c r="I954">
        <v>51.494700000000002</v>
      </c>
      <c r="J954">
        <v>100</v>
      </c>
      <c r="K954" t="s">
        <v>45</v>
      </c>
      <c r="L954" t="s">
        <v>45</v>
      </c>
      <c r="M954" t="s">
        <v>45</v>
      </c>
      <c r="N954" t="s">
        <v>45</v>
      </c>
      <c r="O954" t="s">
        <v>45</v>
      </c>
      <c r="P954" t="s">
        <v>45</v>
      </c>
      <c r="R954" t="s">
        <v>4350</v>
      </c>
      <c r="T954" t="s">
        <v>4117</v>
      </c>
      <c r="U954" t="s">
        <v>4351</v>
      </c>
    </row>
    <row r="955" spans="1:21" x14ac:dyDescent="0.25">
      <c r="A955" t="s">
        <v>4352</v>
      </c>
      <c r="B955" t="s">
        <v>22</v>
      </c>
      <c r="C955" t="s">
        <v>4353</v>
      </c>
      <c r="D955">
        <f t="shared" si="24"/>
        <v>-8006655851</v>
      </c>
      <c r="E955" t="s">
        <v>4354</v>
      </c>
      <c r="F955" t="s">
        <v>4114</v>
      </c>
      <c r="G955" t="s">
        <v>4115</v>
      </c>
      <c r="H955">
        <v>7.2009970000000001</v>
      </c>
      <c r="I955">
        <v>51.613356000000003</v>
      </c>
      <c r="J955">
        <v>100</v>
      </c>
      <c r="K955" t="s">
        <v>45</v>
      </c>
      <c r="L955" t="s">
        <v>45</v>
      </c>
      <c r="M955" t="s">
        <v>45</v>
      </c>
      <c r="N955" t="s">
        <v>45</v>
      </c>
      <c r="O955" t="s">
        <v>45</v>
      </c>
      <c r="P955" t="s">
        <v>45</v>
      </c>
      <c r="R955" t="s">
        <v>4355</v>
      </c>
      <c r="T955" t="s">
        <v>4117</v>
      </c>
      <c r="U955" t="s">
        <v>4356</v>
      </c>
    </row>
    <row r="956" spans="1:21" x14ac:dyDescent="0.25">
      <c r="A956" t="s">
        <v>4357</v>
      </c>
      <c r="B956" t="s">
        <v>22</v>
      </c>
      <c r="C956" t="s">
        <v>4358</v>
      </c>
      <c r="D956">
        <f t="shared" si="24"/>
        <v>-8006655851</v>
      </c>
      <c r="E956" t="s">
        <v>4359</v>
      </c>
      <c r="F956" t="s">
        <v>4114</v>
      </c>
      <c r="G956" t="s">
        <v>4115</v>
      </c>
      <c r="H956">
        <v>8.8398120000000002</v>
      </c>
      <c r="I956">
        <v>47.760092999999998</v>
      </c>
      <c r="J956">
        <v>100</v>
      </c>
      <c r="K956" t="s">
        <v>535</v>
      </c>
      <c r="L956" t="s">
        <v>535</v>
      </c>
      <c r="M956" t="s">
        <v>535</v>
      </c>
      <c r="N956" t="s">
        <v>535</v>
      </c>
      <c r="O956" t="s">
        <v>535</v>
      </c>
      <c r="P956" t="s">
        <v>535</v>
      </c>
      <c r="R956" t="s">
        <v>4358</v>
      </c>
      <c r="U956" t="s">
        <v>4360</v>
      </c>
    </row>
    <row r="957" spans="1:21" x14ac:dyDescent="0.25">
      <c r="A957" t="s">
        <v>4361</v>
      </c>
      <c r="B957" t="s">
        <v>22</v>
      </c>
      <c r="C957" t="s">
        <v>4362</v>
      </c>
      <c r="D957">
        <f t="shared" si="24"/>
        <v>-8006655851</v>
      </c>
      <c r="E957" t="s">
        <v>4246</v>
      </c>
      <c r="F957" t="s">
        <v>4114</v>
      </c>
      <c r="G957" t="s">
        <v>4115</v>
      </c>
      <c r="H957">
        <v>12.374056</v>
      </c>
      <c r="I957">
        <v>51.343649999999997</v>
      </c>
      <c r="J957">
        <v>110</v>
      </c>
      <c r="K957" t="s">
        <v>45</v>
      </c>
      <c r="L957" t="s">
        <v>45</v>
      </c>
      <c r="M957" t="s">
        <v>45</v>
      </c>
      <c r="N957" t="s">
        <v>45</v>
      </c>
      <c r="O957" t="s">
        <v>45</v>
      </c>
      <c r="P957" t="s">
        <v>45</v>
      </c>
      <c r="R957" t="s">
        <v>4363</v>
      </c>
      <c r="T957" t="s">
        <v>4248</v>
      </c>
      <c r="U957" t="s">
        <v>4364</v>
      </c>
    </row>
    <row r="958" spans="1:21" x14ac:dyDescent="0.25">
      <c r="A958" t="s">
        <v>4365</v>
      </c>
      <c r="B958" t="s">
        <v>38</v>
      </c>
      <c r="C958" t="s">
        <v>4366</v>
      </c>
      <c r="D958">
        <f t="shared" si="24"/>
        <v>-8006655851</v>
      </c>
      <c r="E958" t="s">
        <v>4367</v>
      </c>
      <c r="F958" t="s">
        <v>4114</v>
      </c>
      <c r="G958" t="s">
        <v>4115</v>
      </c>
      <c r="H958">
        <v>9.6995973587036097</v>
      </c>
      <c r="I958">
        <v>53.476834531358101</v>
      </c>
      <c r="J958">
        <v>110</v>
      </c>
      <c r="K958" t="s">
        <v>745</v>
      </c>
      <c r="L958" t="s">
        <v>745</v>
      </c>
      <c r="M958" t="s">
        <v>745</v>
      </c>
      <c r="N958" t="s">
        <v>745</v>
      </c>
      <c r="O958" t="s">
        <v>745</v>
      </c>
      <c r="P958" t="s">
        <v>428</v>
      </c>
      <c r="R958" t="s">
        <v>4366</v>
      </c>
      <c r="T958" t="s">
        <v>4258</v>
      </c>
      <c r="U958" t="s">
        <v>4368</v>
      </c>
    </row>
    <row r="959" spans="1:21" x14ac:dyDescent="0.25">
      <c r="A959" t="s">
        <v>4369</v>
      </c>
      <c r="B959" t="s">
        <v>22</v>
      </c>
      <c r="C959" t="s">
        <v>4370</v>
      </c>
      <c r="D959">
        <f t="shared" si="24"/>
        <v>-8006655851</v>
      </c>
      <c r="E959" t="s">
        <v>4371</v>
      </c>
      <c r="F959" t="s">
        <v>4114</v>
      </c>
      <c r="G959" t="s">
        <v>4115</v>
      </c>
      <c r="H959">
        <v>8.5655090000000005</v>
      </c>
      <c r="I959">
        <v>49.527200000000001</v>
      </c>
      <c r="J959">
        <v>100</v>
      </c>
      <c r="K959" t="s">
        <v>45</v>
      </c>
      <c r="L959" t="s">
        <v>45</v>
      </c>
      <c r="M959" t="s">
        <v>45</v>
      </c>
      <c r="N959" t="s">
        <v>45</v>
      </c>
      <c r="O959" t="s">
        <v>45</v>
      </c>
      <c r="P959" t="s">
        <v>45</v>
      </c>
      <c r="R959" t="s">
        <v>4372</v>
      </c>
      <c r="T959" t="s">
        <v>4152</v>
      </c>
      <c r="U959" t="s">
        <v>4373</v>
      </c>
    </row>
    <row r="960" spans="1:21" x14ac:dyDescent="0.25">
      <c r="A960" t="s">
        <v>4374</v>
      </c>
      <c r="B960" t="s">
        <v>22</v>
      </c>
      <c r="C960" t="s">
        <v>4375</v>
      </c>
      <c r="D960">
        <f t="shared" si="24"/>
        <v>-8006655851</v>
      </c>
      <c r="E960" t="s">
        <v>4376</v>
      </c>
      <c r="F960" t="s">
        <v>4114</v>
      </c>
      <c r="G960" t="s">
        <v>4115</v>
      </c>
      <c r="H960">
        <v>8.2081009999999992</v>
      </c>
      <c r="I960">
        <v>48.857982999999997</v>
      </c>
      <c r="J960">
        <v>100</v>
      </c>
      <c r="K960" t="s">
        <v>45</v>
      </c>
      <c r="L960" t="s">
        <v>45</v>
      </c>
      <c r="M960" t="s">
        <v>45</v>
      </c>
      <c r="N960" t="s">
        <v>45</v>
      </c>
      <c r="O960" t="s">
        <v>45</v>
      </c>
      <c r="P960" t="s">
        <v>45</v>
      </c>
      <c r="R960" t="s">
        <v>4377</v>
      </c>
      <c r="T960" t="s">
        <v>4146</v>
      </c>
      <c r="U960" t="s">
        <v>4378</v>
      </c>
    </row>
    <row r="961" spans="1:21" x14ac:dyDescent="0.25">
      <c r="A961" t="s">
        <v>4379</v>
      </c>
      <c r="B961" t="s">
        <v>2322</v>
      </c>
      <c r="C961" t="s">
        <v>4380</v>
      </c>
      <c r="D961">
        <f t="shared" si="24"/>
        <v>-8006655851</v>
      </c>
      <c r="E961" t="s">
        <v>4169</v>
      </c>
      <c r="F961" t="s">
        <v>4114</v>
      </c>
      <c r="G961" t="s">
        <v>4115</v>
      </c>
      <c r="H961">
        <v>11.5751721</v>
      </c>
      <c r="I961">
        <v>48.138455378390802</v>
      </c>
      <c r="J961">
        <v>110</v>
      </c>
      <c r="K961" t="s">
        <v>45</v>
      </c>
      <c r="L961" t="s">
        <v>45</v>
      </c>
      <c r="M961" t="s">
        <v>45</v>
      </c>
      <c r="N961" t="s">
        <v>45</v>
      </c>
      <c r="O961" t="s">
        <v>45</v>
      </c>
      <c r="P961" t="s">
        <v>45</v>
      </c>
      <c r="R961" t="s">
        <v>4380</v>
      </c>
      <c r="U961" t="s">
        <v>4381</v>
      </c>
    </row>
    <row r="962" spans="1:21" x14ac:dyDescent="0.25">
      <c r="A962" t="s">
        <v>4382</v>
      </c>
      <c r="B962" t="s">
        <v>22</v>
      </c>
      <c r="C962" t="s">
        <v>4383</v>
      </c>
      <c r="D962">
        <f t="shared" si="24"/>
        <v>-8006655851</v>
      </c>
      <c r="E962" t="s">
        <v>4384</v>
      </c>
      <c r="F962" t="s">
        <v>4114</v>
      </c>
      <c r="G962" t="s">
        <v>4115</v>
      </c>
      <c r="H962">
        <v>10.871382000000001</v>
      </c>
      <c r="I962">
        <v>49.917836000000001</v>
      </c>
      <c r="J962">
        <v>100</v>
      </c>
      <c r="K962" t="s">
        <v>184</v>
      </c>
      <c r="L962" t="s">
        <v>184</v>
      </c>
      <c r="M962" t="s">
        <v>184</v>
      </c>
      <c r="N962" t="s">
        <v>184</v>
      </c>
      <c r="O962" t="s">
        <v>184</v>
      </c>
      <c r="P962" t="s">
        <v>262</v>
      </c>
      <c r="R962" t="s">
        <v>4385</v>
      </c>
      <c r="T962" t="s">
        <v>4123</v>
      </c>
      <c r="U962" t="s">
        <v>4386</v>
      </c>
    </row>
    <row r="963" spans="1:21" x14ac:dyDescent="0.25">
      <c r="A963" t="s">
        <v>4387</v>
      </c>
      <c r="B963" t="s">
        <v>22</v>
      </c>
      <c r="C963" t="s">
        <v>4388</v>
      </c>
      <c r="D963">
        <f t="shared" si="24"/>
        <v>-8006655851</v>
      </c>
      <c r="E963" t="s">
        <v>4389</v>
      </c>
      <c r="F963" t="s">
        <v>4114</v>
      </c>
      <c r="G963" t="s">
        <v>4115</v>
      </c>
      <c r="H963">
        <v>9.949268</v>
      </c>
      <c r="I963">
        <v>52.154131</v>
      </c>
      <c r="J963">
        <v>110</v>
      </c>
      <c r="K963" t="s">
        <v>184</v>
      </c>
      <c r="L963" t="s">
        <v>184</v>
      </c>
      <c r="M963" t="s">
        <v>184</v>
      </c>
      <c r="N963" t="s">
        <v>184</v>
      </c>
      <c r="O963" t="s">
        <v>184</v>
      </c>
      <c r="P963" t="s">
        <v>184</v>
      </c>
      <c r="R963" t="s">
        <v>4390</v>
      </c>
      <c r="T963" t="s">
        <v>4258</v>
      </c>
      <c r="U963" t="s">
        <v>4391</v>
      </c>
    </row>
    <row r="964" spans="1:21" x14ac:dyDescent="0.25">
      <c r="A964" t="s">
        <v>4392</v>
      </c>
      <c r="B964" t="s">
        <v>22</v>
      </c>
      <c r="C964" t="s">
        <v>4393</v>
      </c>
      <c r="D964">
        <f t="shared" si="24"/>
        <v>-8006655851</v>
      </c>
      <c r="E964" t="s">
        <v>4394</v>
      </c>
      <c r="F964" t="s">
        <v>4114</v>
      </c>
      <c r="G964" t="s">
        <v>4115</v>
      </c>
      <c r="H964">
        <v>10.329764000000001</v>
      </c>
      <c r="I964">
        <v>52.154454999999999</v>
      </c>
      <c r="J964">
        <v>110</v>
      </c>
      <c r="K964" t="s">
        <v>184</v>
      </c>
      <c r="L964" t="s">
        <v>184</v>
      </c>
      <c r="M964" t="s">
        <v>184</v>
      </c>
      <c r="N964" t="s">
        <v>184</v>
      </c>
      <c r="O964" t="s">
        <v>184</v>
      </c>
      <c r="P964" t="s">
        <v>184</v>
      </c>
      <c r="R964" t="s">
        <v>4393</v>
      </c>
      <c r="U964" t="s">
        <v>4395</v>
      </c>
    </row>
    <row r="965" spans="1:21" x14ac:dyDescent="0.25">
      <c r="A965" t="s">
        <v>4396</v>
      </c>
      <c r="B965" t="s">
        <v>22</v>
      </c>
      <c r="C965" t="s">
        <v>4397</v>
      </c>
      <c r="D965">
        <f t="shared" si="24"/>
        <v>-8006655851</v>
      </c>
      <c r="E965" t="s">
        <v>4266</v>
      </c>
      <c r="F965" t="s">
        <v>4114</v>
      </c>
      <c r="G965" t="s">
        <v>4115</v>
      </c>
      <c r="H965">
        <v>13.323295999999999</v>
      </c>
      <c r="I965">
        <v>52.462696000000001</v>
      </c>
      <c r="J965">
        <v>100</v>
      </c>
      <c r="K965" t="s">
        <v>45</v>
      </c>
      <c r="L965" t="s">
        <v>45</v>
      </c>
      <c r="M965" t="s">
        <v>45</v>
      </c>
      <c r="N965" t="s">
        <v>45</v>
      </c>
      <c r="O965" t="s">
        <v>45</v>
      </c>
      <c r="P965" t="s">
        <v>45</v>
      </c>
      <c r="R965" t="s">
        <v>4398</v>
      </c>
      <c r="T965" t="s">
        <v>4278</v>
      </c>
      <c r="U965" t="s">
        <v>4399</v>
      </c>
    </row>
    <row r="966" spans="1:21" x14ac:dyDescent="0.25">
      <c r="A966" t="s">
        <v>4400</v>
      </c>
      <c r="B966" t="s">
        <v>22</v>
      </c>
      <c r="C966" t="s">
        <v>4401</v>
      </c>
      <c r="D966">
        <f t="shared" si="24"/>
        <v>-8006655851</v>
      </c>
      <c r="E966" t="s">
        <v>4321</v>
      </c>
      <c r="F966" t="s">
        <v>4114</v>
      </c>
      <c r="G966" t="s">
        <v>4115</v>
      </c>
      <c r="H966">
        <v>9.498246</v>
      </c>
      <c r="I966">
        <v>51.316865</v>
      </c>
      <c r="J966">
        <v>100</v>
      </c>
      <c r="K966" t="s">
        <v>185</v>
      </c>
      <c r="L966" t="s">
        <v>185</v>
      </c>
      <c r="M966" t="s">
        <v>185</v>
      </c>
      <c r="N966" t="s">
        <v>185</v>
      </c>
      <c r="O966" t="s">
        <v>185</v>
      </c>
      <c r="P966" t="s">
        <v>185</v>
      </c>
      <c r="R966" t="s">
        <v>4402</v>
      </c>
      <c r="T966" t="s">
        <v>4152</v>
      </c>
      <c r="U966" t="s">
        <v>4403</v>
      </c>
    </row>
    <row r="967" spans="1:21" x14ac:dyDescent="0.25">
      <c r="A967" t="s">
        <v>4404</v>
      </c>
      <c r="B967" t="s">
        <v>38</v>
      </c>
      <c r="C967" t="s">
        <v>4405</v>
      </c>
      <c r="D967">
        <f t="shared" si="24"/>
        <v>-8006655851</v>
      </c>
      <c r="E967" t="s">
        <v>4406</v>
      </c>
      <c r="F967" t="s">
        <v>4114</v>
      </c>
      <c r="G967" t="s">
        <v>4115</v>
      </c>
      <c r="H967">
        <v>7.0722490000000002</v>
      </c>
      <c r="I967">
        <v>52.435701999999999</v>
      </c>
      <c r="J967">
        <v>100</v>
      </c>
      <c r="K967" t="s">
        <v>745</v>
      </c>
      <c r="L967" t="s">
        <v>745</v>
      </c>
      <c r="M967" t="s">
        <v>745</v>
      </c>
      <c r="N967" t="s">
        <v>745</v>
      </c>
      <c r="O967" t="s">
        <v>745</v>
      </c>
      <c r="P967" t="s">
        <v>745</v>
      </c>
      <c r="R967" t="s">
        <v>4407</v>
      </c>
      <c r="T967" t="s">
        <v>4258</v>
      </c>
      <c r="U967" t="s">
        <v>4408</v>
      </c>
    </row>
    <row r="968" spans="1:21" x14ac:dyDescent="0.25">
      <c r="A968" t="s">
        <v>4409</v>
      </c>
      <c r="B968" t="s">
        <v>38</v>
      </c>
      <c r="C968" t="s">
        <v>4410</v>
      </c>
      <c r="D968">
        <f t="shared" si="24"/>
        <v>-8006655851</v>
      </c>
      <c r="E968" t="s">
        <v>4411</v>
      </c>
      <c r="F968" t="s">
        <v>4114</v>
      </c>
      <c r="G968" t="s">
        <v>4115</v>
      </c>
      <c r="H968">
        <v>9.6524213999999997</v>
      </c>
      <c r="I968">
        <v>53.752966499999999</v>
      </c>
      <c r="J968">
        <v>100</v>
      </c>
      <c r="K968" t="s">
        <v>184</v>
      </c>
      <c r="L968" t="s">
        <v>184</v>
      </c>
      <c r="M968" t="s">
        <v>184</v>
      </c>
      <c r="N968" t="s">
        <v>184</v>
      </c>
      <c r="O968" t="s">
        <v>184</v>
      </c>
      <c r="P968" t="s">
        <v>262</v>
      </c>
      <c r="R968" t="s">
        <v>4412</v>
      </c>
      <c r="T968" t="s">
        <v>4413</v>
      </c>
      <c r="U968" t="s">
        <v>4414</v>
      </c>
    </row>
    <row r="969" spans="1:21" x14ac:dyDescent="0.25">
      <c r="A969" t="s">
        <v>4415</v>
      </c>
      <c r="B969" t="s">
        <v>22</v>
      </c>
      <c r="C969" t="s">
        <v>4416</v>
      </c>
      <c r="D969">
        <f t="shared" si="24"/>
        <v>-8006655851</v>
      </c>
      <c r="E969" t="s">
        <v>4417</v>
      </c>
      <c r="F969" t="s">
        <v>4114</v>
      </c>
      <c r="G969" t="s">
        <v>4115</v>
      </c>
      <c r="H969">
        <v>9.1721760000000003</v>
      </c>
      <c r="I969">
        <v>48.771951999999999</v>
      </c>
      <c r="J969">
        <v>100</v>
      </c>
      <c r="K969" t="s">
        <v>45</v>
      </c>
      <c r="L969" t="s">
        <v>45</v>
      </c>
      <c r="M969" t="s">
        <v>45</v>
      </c>
      <c r="N969" t="s">
        <v>45</v>
      </c>
      <c r="O969" t="s">
        <v>45</v>
      </c>
      <c r="P969" t="s">
        <v>45</v>
      </c>
      <c r="R969" t="s">
        <v>4418</v>
      </c>
      <c r="T969" t="s">
        <v>4146</v>
      </c>
      <c r="U969" t="s">
        <v>4419</v>
      </c>
    </row>
    <row r="970" spans="1:21" x14ac:dyDescent="0.25">
      <c r="A970" t="s">
        <v>4420</v>
      </c>
      <c r="B970" t="s">
        <v>22</v>
      </c>
      <c r="C970" t="s">
        <v>4421</v>
      </c>
      <c r="D970">
        <f t="shared" ref="D970:D980" si="25">49-8006655900</f>
        <v>-8006655851</v>
      </c>
      <c r="E970" t="s">
        <v>4321</v>
      </c>
      <c r="F970" t="s">
        <v>4114</v>
      </c>
      <c r="G970" t="s">
        <v>4115</v>
      </c>
      <c r="H970">
        <v>9.4760369999999998</v>
      </c>
      <c r="I970">
        <v>51.288110000000003</v>
      </c>
      <c r="J970">
        <v>100</v>
      </c>
      <c r="K970" t="s">
        <v>185</v>
      </c>
      <c r="L970" t="s">
        <v>185</v>
      </c>
      <c r="M970" t="s">
        <v>185</v>
      </c>
      <c r="N970" t="s">
        <v>185</v>
      </c>
      <c r="O970" t="s">
        <v>185</v>
      </c>
      <c r="P970" t="s">
        <v>185</v>
      </c>
      <c r="R970" t="s">
        <v>4422</v>
      </c>
      <c r="T970" t="s">
        <v>4152</v>
      </c>
      <c r="U970" t="s">
        <v>4423</v>
      </c>
    </row>
    <row r="971" spans="1:21" x14ac:dyDescent="0.25">
      <c r="A971" t="s">
        <v>4424</v>
      </c>
      <c r="B971" t="s">
        <v>38</v>
      </c>
      <c r="C971" t="s">
        <v>4425</v>
      </c>
      <c r="D971">
        <f t="shared" si="25"/>
        <v>-8006655851</v>
      </c>
      <c r="E971" t="s">
        <v>4426</v>
      </c>
      <c r="F971" t="s">
        <v>4114</v>
      </c>
      <c r="G971" t="s">
        <v>4115</v>
      </c>
      <c r="H971">
        <v>9.727176</v>
      </c>
      <c r="I971">
        <v>48.283580000000001</v>
      </c>
      <c r="J971">
        <v>100</v>
      </c>
      <c r="K971" t="s">
        <v>428</v>
      </c>
      <c r="L971" t="s">
        <v>428</v>
      </c>
      <c r="M971" t="s">
        <v>428</v>
      </c>
      <c r="N971" t="s">
        <v>428</v>
      </c>
      <c r="O971" t="s">
        <v>428</v>
      </c>
      <c r="P971" t="s">
        <v>428</v>
      </c>
      <c r="R971" t="s">
        <v>4425</v>
      </c>
      <c r="T971" t="s">
        <v>4146</v>
      </c>
      <c r="U971" t="s">
        <v>4427</v>
      </c>
    </row>
    <row r="972" spans="1:21" x14ac:dyDescent="0.25">
      <c r="A972" t="s">
        <v>4428</v>
      </c>
      <c r="B972" t="s">
        <v>22</v>
      </c>
      <c r="C972" t="s">
        <v>4429</v>
      </c>
      <c r="D972">
        <f t="shared" si="25"/>
        <v>-8006655851</v>
      </c>
      <c r="E972" t="s">
        <v>4430</v>
      </c>
      <c r="F972" t="s">
        <v>4114</v>
      </c>
      <c r="G972" t="s">
        <v>4115</v>
      </c>
      <c r="H972">
        <v>7.1265349999999996</v>
      </c>
      <c r="I972">
        <v>50.991078000000002</v>
      </c>
      <c r="J972">
        <v>100</v>
      </c>
      <c r="K972" t="s">
        <v>45</v>
      </c>
      <c r="L972" t="s">
        <v>45</v>
      </c>
      <c r="M972" t="s">
        <v>45</v>
      </c>
      <c r="N972" t="s">
        <v>45</v>
      </c>
      <c r="O972" t="s">
        <v>45</v>
      </c>
      <c r="P972" t="s">
        <v>45</v>
      </c>
      <c r="R972" t="s">
        <v>4429</v>
      </c>
      <c r="T972" t="s">
        <v>4117</v>
      </c>
      <c r="U972" t="s">
        <v>4431</v>
      </c>
    </row>
    <row r="973" spans="1:21" x14ac:dyDescent="0.25">
      <c r="A973" t="s">
        <v>4432</v>
      </c>
      <c r="B973" t="s">
        <v>38</v>
      </c>
      <c r="C973" t="s">
        <v>4433</v>
      </c>
      <c r="D973">
        <f t="shared" si="25"/>
        <v>-8006655851</v>
      </c>
      <c r="E973" t="s">
        <v>4434</v>
      </c>
      <c r="F973" t="s">
        <v>4114</v>
      </c>
      <c r="G973" t="s">
        <v>4115</v>
      </c>
      <c r="H973">
        <v>11.481534999999999</v>
      </c>
      <c r="I973">
        <v>52.176892000000002</v>
      </c>
      <c r="J973">
        <v>100</v>
      </c>
      <c r="K973" t="s">
        <v>45</v>
      </c>
      <c r="L973" t="s">
        <v>45</v>
      </c>
      <c r="M973" t="s">
        <v>45</v>
      </c>
      <c r="N973" t="s">
        <v>45</v>
      </c>
      <c r="O973" t="s">
        <v>45</v>
      </c>
      <c r="P973" t="s">
        <v>45</v>
      </c>
      <c r="R973" t="s">
        <v>4435</v>
      </c>
      <c r="T973" t="s">
        <v>4207</v>
      </c>
      <c r="U973" t="s">
        <v>4436</v>
      </c>
    </row>
    <row r="974" spans="1:21" x14ac:dyDescent="0.25">
      <c r="A974" t="s">
        <v>4437</v>
      </c>
      <c r="B974" t="s">
        <v>38</v>
      </c>
      <c r="C974" t="s">
        <v>4438</v>
      </c>
      <c r="D974">
        <f t="shared" si="25"/>
        <v>-8006655851</v>
      </c>
      <c r="E974" t="s">
        <v>4439</v>
      </c>
      <c r="F974" t="s">
        <v>4114</v>
      </c>
      <c r="G974" t="s">
        <v>4115</v>
      </c>
      <c r="H974">
        <v>9.7994190000000003</v>
      </c>
      <c r="I974">
        <v>53.660746000000003</v>
      </c>
      <c r="J974">
        <v>100</v>
      </c>
      <c r="K974" t="s">
        <v>535</v>
      </c>
      <c r="L974" t="s">
        <v>535</v>
      </c>
      <c r="M974" t="s">
        <v>535</v>
      </c>
      <c r="N974" t="s">
        <v>535</v>
      </c>
      <c r="O974" t="s">
        <v>535</v>
      </c>
      <c r="P974" t="s">
        <v>622</v>
      </c>
      <c r="R974" t="s">
        <v>4440</v>
      </c>
      <c r="T974" t="s">
        <v>4413</v>
      </c>
      <c r="U974" t="s">
        <v>4441</v>
      </c>
    </row>
    <row r="975" spans="1:21" x14ac:dyDescent="0.25">
      <c r="A975" t="s">
        <v>4442</v>
      </c>
      <c r="B975" t="s">
        <v>38</v>
      </c>
      <c r="C975" t="s">
        <v>4443</v>
      </c>
      <c r="D975">
        <f t="shared" si="25"/>
        <v>-8006655851</v>
      </c>
      <c r="E975" t="s">
        <v>4444</v>
      </c>
      <c r="F975" t="s">
        <v>4114</v>
      </c>
      <c r="G975" t="s">
        <v>4115</v>
      </c>
      <c r="H975">
        <v>7.7861200000000004</v>
      </c>
      <c r="I975">
        <v>47.558793000000001</v>
      </c>
      <c r="J975">
        <v>100</v>
      </c>
      <c r="K975" t="s">
        <v>535</v>
      </c>
      <c r="L975" t="s">
        <v>535</v>
      </c>
      <c r="M975" t="s">
        <v>535</v>
      </c>
      <c r="N975" t="s">
        <v>535</v>
      </c>
      <c r="O975" t="s">
        <v>535</v>
      </c>
      <c r="P975" t="s">
        <v>535</v>
      </c>
      <c r="R975" t="s">
        <v>4445</v>
      </c>
      <c r="T975" t="s">
        <v>4146</v>
      </c>
      <c r="U975" t="s">
        <v>4446</v>
      </c>
    </row>
    <row r="976" spans="1:21" x14ac:dyDescent="0.25">
      <c r="A976" t="s">
        <v>4447</v>
      </c>
      <c r="B976" t="s">
        <v>22</v>
      </c>
      <c r="C976" t="s">
        <v>4448</v>
      </c>
      <c r="D976">
        <f t="shared" si="25"/>
        <v>-8006655851</v>
      </c>
      <c r="E976" t="s">
        <v>4449</v>
      </c>
      <c r="F976" t="s">
        <v>4114</v>
      </c>
      <c r="G976" t="s">
        <v>4115</v>
      </c>
      <c r="H976">
        <v>7.0819510000000001</v>
      </c>
      <c r="I976">
        <v>51.171447000000001</v>
      </c>
      <c r="J976">
        <v>100</v>
      </c>
      <c r="K976" t="s">
        <v>45</v>
      </c>
      <c r="L976" t="s">
        <v>45</v>
      </c>
      <c r="M976" t="s">
        <v>45</v>
      </c>
      <c r="N976" t="s">
        <v>45</v>
      </c>
      <c r="O976" t="s">
        <v>45</v>
      </c>
      <c r="P976" t="s">
        <v>45</v>
      </c>
      <c r="R976" t="s">
        <v>4450</v>
      </c>
      <c r="T976" t="s">
        <v>4117</v>
      </c>
      <c r="U976" t="s">
        <v>4451</v>
      </c>
    </row>
    <row r="977" spans="1:21" x14ac:dyDescent="0.25">
      <c r="A977" t="s">
        <v>4452</v>
      </c>
      <c r="B977" t="s">
        <v>38</v>
      </c>
      <c r="C977" t="s">
        <v>4453</v>
      </c>
      <c r="D977">
        <f t="shared" si="25"/>
        <v>-8006655851</v>
      </c>
      <c r="E977" t="s">
        <v>4454</v>
      </c>
      <c r="F977" t="s">
        <v>4114</v>
      </c>
      <c r="G977" t="s">
        <v>4115</v>
      </c>
      <c r="H977">
        <v>10.794897000000001</v>
      </c>
      <c r="I977">
        <v>51.503276999999997</v>
      </c>
      <c r="J977">
        <v>100</v>
      </c>
      <c r="K977" t="s">
        <v>184</v>
      </c>
      <c r="L977" t="s">
        <v>184</v>
      </c>
      <c r="M977" t="s">
        <v>184</v>
      </c>
      <c r="N977" t="s">
        <v>184</v>
      </c>
      <c r="O977" t="s">
        <v>184</v>
      </c>
      <c r="P977" t="s">
        <v>262</v>
      </c>
      <c r="R977" t="s">
        <v>4455</v>
      </c>
      <c r="T977" t="s">
        <v>4157</v>
      </c>
      <c r="U977" t="s">
        <v>4456</v>
      </c>
    </row>
    <row r="978" spans="1:21" x14ac:dyDescent="0.25">
      <c r="A978" t="s">
        <v>4457</v>
      </c>
      <c r="B978" t="s">
        <v>22</v>
      </c>
      <c r="C978" t="s">
        <v>4458</v>
      </c>
      <c r="D978">
        <f t="shared" si="25"/>
        <v>-8006655851</v>
      </c>
      <c r="E978" t="s">
        <v>4459</v>
      </c>
      <c r="F978" t="s">
        <v>4114</v>
      </c>
      <c r="G978" t="s">
        <v>4115</v>
      </c>
      <c r="H978">
        <v>7.8508069717582902</v>
      </c>
      <c r="I978">
        <v>47.996114861871803</v>
      </c>
      <c r="J978">
        <v>100</v>
      </c>
      <c r="K978" t="s">
        <v>45</v>
      </c>
      <c r="L978" t="s">
        <v>45</v>
      </c>
      <c r="M978" t="s">
        <v>45</v>
      </c>
      <c r="N978" t="s">
        <v>45</v>
      </c>
      <c r="O978" t="s">
        <v>45</v>
      </c>
      <c r="P978" t="s">
        <v>45</v>
      </c>
      <c r="R978" t="s">
        <v>4458</v>
      </c>
      <c r="T978" t="s">
        <v>4146</v>
      </c>
      <c r="U978" t="s">
        <v>4460</v>
      </c>
    </row>
    <row r="979" spans="1:21" x14ac:dyDescent="0.25">
      <c r="A979" t="s">
        <v>4461</v>
      </c>
      <c r="B979" t="s">
        <v>22</v>
      </c>
      <c r="C979" t="s">
        <v>4462</v>
      </c>
      <c r="D979">
        <f t="shared" si="25"/>
        <v>-8006655851</v>
      </c>
      <c r="E979" t="s">
        <v>4463</v>
      </c>
      <c r="F979" t="s">
        <v>4114</v>
      </c>
      <c r="G979" t="s">
        <v>4115</v>
      </c>
      <c r="H979">
        <v>10.0841619999999</v>
      </c>
      <c r="I979">
        <v>52.624414999999999</v>
      </c>
      <c r="J979">
        <v>110</v>
      </c>
      <c r="K979" t="s">
        <v>535</v>
      </c>
      <c r="L979" t="s">
        <v>535</v>
      </c>
      <c r="M979" t="s">
        <v>535</v>
      </c>
      <c r="N979" t="s">
        <v>535</v>
      </c>
      <c r="O979" t="s">
        <v>535</v>
      </c>
      <c r="P979" t="s">
        <v>535</v>
      </c>
      <c r="R979" t="s">
        <v>4462</v>
      </c>
      <c r="T979" t="s">
        <v>4258</v>
      </c>
      <c r="U979" t="s">
        <v>4464</v>
      </c>
    </row>
    <row r="980" spans="1:21" x14ac:dyDescent="0.25">
      <c r="A980" t="s">
        <v>4465</v>
      </c>
      <c r="B980" t="s">
        <v>22</v>
      </c>
      <c r="C980" t="s">
        <v>4466</v>
      </c>
      <c r="D980">
        <f t="shared" si="25"/>
        <v>-8006655851</v>
      </c>
      <c r="E980" t="s">
        <v>4417</v>
      </c>
      <c r="F980" t="s">
        <v>4114</v>
      </c>
      <c r="G980" t="s">
        <v>4115</v>
      </c>
      <c r="H980">
        <v>9.1845169999999996</v>
      </c>
      <c r="I980">
        <v>48.791392000000002</v>
      </c>
      <c r="J980">
        <v>100</v>
      </c>
      <c r="K980" t="s">
        <v>45</v>
      </c>
      <c r="L980" t="s">
        <v>45</v>
      </c>
      <c r="M980" t="s">
        <v>45</v>
      </c>
      <c r="N980" t="s">
        <v>45</v>
      </c>
      <c r="O980" t="s">
        <v>45</v>
      </c>
      <c r="P980" t="s">
        <v>45</v>
      </c>
      <c r="R980" t="s">
        <v>4467</v>
      </c>
      <c r="T980" t="s">
        <v>4146</v>
      </c>
      <c r="U980" t="s">
        <v>4468</v>
      </c>
    </row>
    <row r="981" spans="1:21" x14ac:dyDescent="0.25">
      <c r="A981" t="s">
        <v>4469</v>
      </c>
      <c r="B981" t="s">
        <v>38</v>
      </c>
      <c r="C981" t="s">
        <v>4470</v>
      </c>
      <c r="D981">
        <f>49-906-40212960</f>
        <v>-40213817</v>
      </c>
      <c r="E981" t="s">
        <v>4471</v>
      </c>
      <c r="F981" t="s">
        <v>4114</v>
      </c>
      <c r="G981" t="s">
        <v>4115</v>
      </c>
      <c r="H981">
        <v>10.779099</v>
      </c>
      <c r="I981">
        <v>48.718659000000002</v>
      </c>
      <c r="J981">
        <v>100</v>
      </c>
      <c r="K981" t="s">
        <v>745</v>
      </c>
      <c r="L981" t="s">
        <v>745</v>
      </c>
      <c r="M981" t="s">
        <v>745</v>
      </c>
      <c r="N981" t="s">
        <v>745</v>
      </c>
      <c r="O981" t="s">
        <v>745</v>
      </c>
      <c r="P981" t="s">
        <v>428</v>
      </c>
      <c r="R981" t="s">
        <v>4470</v>
      </c>
      <c r="T981" t="s">
        <v>4123</v>
      </c>
      <c r="U981" t="s">
        <v>4472</v>
      </c>
    </row>
    <row r="982" spans="1:21" x14ac:dyDescent="0.25">
      <c r="A982" t="s">
        <v>4473</v>
      </c>
      <c r="B982" t="s">
        <v>22</v>
      </c>
      <c r="C982" t="s">
        <v>4474</v>
      </c>
      <c r="D982">
        <f>49-8006655900</f>
        <v>-8006655851</v>
      </c>
      <c r="E982" t="s">
        <v>4475</v>
      </c>
      <c r="F982" t="s">
        <v>4114</v>
      </c>
      <c r="G982" t="s">
        <v>4115</v>
      </c>
      <c r="H982">
        <v>9.1448250000000009</v>
      </c>
      <c r="I982">
        <v>49.353538999999998</v>
      </c>
      <c r="J982">
        <v>100</v>
      </c>
      <c r="K982" t="s">
        <v>535</v>
      </c>
      <c r="L982" t="s">
        <v>535</v>
      </c>
      <c r="M982" t="s">
        <v>535</v>
      </c>
      <c r="N982" t="s">
        <v>535</v>
      </c>
      <c r="O982" t="s">
        <v>535</v>
      </c>
      <c r="P982" t="s">
        <v>535</v>
      </c>
      <c r="R982" t="s">
        <v>4474</v>
      </c>
      <c r="T982" t="s">
        <v>4146</v>
      </c>
      <c r="U982" t="s">
        <v>4476</v>
      </c>
    </row>
    <row r="983" spans="1:21" x14ac:dyDescent="0.25">
      <c r="A983" t="s">
        <v>4477</v>
      </c>
      <c r="B983" t="s">
        <v>22</v>
      </c>
      <c r="C983" t="s">
        <v>4478</v>
      </c>
      <c r="D983">
        <f>49-8006655900</f>
        <v>-8006655851</v>
      </c>
      <c r="E983" t="s">
        <v>4479</v>
      </c>
      <c r="F983" t="s">
        <v>4114</v>
      </c>
      <c r="G983" t="s">
        <v>4115</v>
      </c>
      <c r="H983">
        <v>13.259817999999999</v>
      </c>
      <c r="I983">
        <v>53.55789</v>
      </c>
      <c r="J983">
        <v>100</v>
      </c>
      <c r="K983" t="s">
        <v>535</v>
      </c>
      <c r="L983" t="s">
        <v>535</v>
      </c>
      <c r="M983" t="s">
        <v>535</v>
      </c>
      <c r="N983" t="s">
        <v>535</v>
      </c>
      <c r="O983" t="s">
        <v>535</v>
      </c>
      <c r="P983" t="s">
        <v>535</v>
      </c>
      <c r="R983" t="s">
        <v>4478</v>
      </c>
      <c r="T983" t="s">
        <v>4480</v>
      </c>
      <c r="U983" t="s">
        <v>4481</v>
      </c>
    </row>
    <row r="984" spans="1:21" x14ac:dyDescent="0.25">
      <c r="A984" t="s">
        <v>4482</v>
      </c>
      <c r="B984" t="s">
        <v>38</v>
      </c>
      <c r="C984" t="s">
        <v>4483</v>
      </c>
      <c r="D984">
        <f>49-8006655900</f>
        <v>-8006655851</v>
      </c>
      <c r="E984" t="s">
        <v>4484</v>
      </c>
      <c r="F984" t="s">
        <v>4114</v>
      </c>
      <c r="G984" t="s">
        <v>4115</v>
      </c>
      <c r="H984">
        <v>12.106847</v>
      </c>
      <c r="I984">
        <v>49.329726999999998</v>
      </c>
      <c r="J984">
        <v>100</v>
      </c>
      <c r="K984" t="s">
        <v>535</v>
      </c>
      <c r="L984" t="s">
        <v>535</v>
      </c>
      <c r="M984" t="s">
        <v>535</v>
      </c>
      <c r="N984" t="s">
        <v>535</v>
      </c>
      <c r="O984" t="s">
        <v>535</v>
      </c>
      <c r="P984" t="s">
        <v>428</v>
      </c>
      <c r="R984" t="s">
        <v>4483</v>
      </c>
      <c r="T984" t="s">
        <v>4123</v>
      </c>
      <c r="U984" t="s">
        <v>4485</v>
      </c>
    </row>
    <row r="985" spans="1:21" x14ac:dyDescent="0.25">
      <c r="A985" t="s">
        <v>4486</v>
      </c>
      <c r="B985" t="s">
        <v>22</v>
      </c>
      <c r="C985" t="s">
        <v>4487</v>
      </c>
      <c r="D985">
        <f>49-800-6655900</f>
        <v>-6656651</v>
      </c>
      <c r="E985" t="s">
        <v>4488</v>
      </c>
      <c r="F985" t="s">
        <v>4114</v>
      </c>
      <c r="G985" t="s">
        <v>4115</v>
      </c>
      <c r="H985">
        <v>8.6979539999999993</v>
      </c>
      <c r="I985">
        <v>53.861832999999997</v>
      </c>
      <c r="J985">
        <v>100</v>
      </c>
      <c r="K985" t="s">
        <v>535</v>
      </c>
      <c r="L985" t="s">
        <v>535</v>
      </c>
      <c r="M985" t="s">
        <v>535</v>
      </c>
      <c r="N985" t="s">
        <v>535</v>
      </c>
      <c r="O985" t="s">
        <v>535</v>
      </c>
      <c r="P985" t="s">
        <v>428</v>
      </c>
      <c r="R985" t="s">
        <v>4487</v>
      </c>
      <c r="T985" t="s">
        <v>4258</v>
      </c>
      <c r="U985" t="s">
        <v>4489</v>
      </c>
    </row>
    <row r="986" spans="1:21" x14ac:dyDescent="0.25">
      <c r="A986" t="s">
        <v>4490</v>
      </c>
      <c r="B986" t="s">
        <v>22</v>
      </c>
      <c r="C986" t="s">
        <v>4491</v>
      </c>
      <c r="D986">
        <f>49-8006655900</f>
        <v>-8006655851</v>
      </c>
      <c r="E986" t="s">
        <v>4492</v>
      </c>
      <c r="F986" t="s">
        <v>4114</v>
      </c>
      <c r="G986" t="s">
        <v>4115</v>
      </c>
      <c r="H986">
        <v>6.7405908908767698</v>
      </c>
      <c r="I986">
        <v>51.562164172278202</v>
      </c>
      <c r="J986">
        <v>100</v>
      </c>
      <c r="K986" t="s">
        <v>45</v>
      </c>
      <c r="L986" t="s">
        <v>45</v>
      </c>
      <c r="M986" t="s">
        <v>45</v>
      </c>
      <c r="N986" t="s">
        <v>45</v>
      </c>
      <c r="O986" t="s">
        <v>45</v>
      </c>
      <c r="P986" t="s">
        <v>45</v>
      </c>
      <c r="R986" t="s">
        <v>4493</v>
      </c>
      <c r="T986" t="s">
        <v>4117</v>
      </c>
      <c r="U986" t="s">
        <v>4494</v>
      </c>
    </row>
    <row r="987" spans="1:21" x14ac:dyDescent="0.25">
      <c r="A987" t="s">
        <v>4495</v>
      </c>
      <c r="B987" t="s">
        <v>38</v>
      </c>
      <c r="C987" t="s">
        <v>4496</v>
      </c>
      <c r="D987">
        <f>49-8006655900</f>
        <v>-8006655851</v>
      </c>
      <c r="E987" t="s">
        <v>4497</v>
      </c>
      <c r="F987" t="s">
        <v>4114</v>
      </c>
      <c r="G987" t="s">
        <v>4115</v>
      </c>
      <c r="H987">
        <v>8.2848839999999999</v>
      </c>
      <c r="I987">
        <v>51.347586999999997</v>
      </c>
      <c r="J987">
        <v>100</v>
      </c>
      <c r="K987" t="s">
        <v>184</v>
      </c>
      <c r="L987" t="s">
        <v>184</v>
      </c>
      <c r="M987" t="s">
        <v>184</v>
      </c>
      <c r="N987" t="s">
        <v>184</v>
      </c>
      <c r="O987" t="s">
        <v>184</v>
      </c>
      <c r="P987" t="s">
        <v>184</v>
      </c>
      <c r="R987" t="s">
        <v>4496</v>
      </c>
      <c r="T987" t="s">
        <v>4117</v>
      </c>
      <c r="U987" t="s">
        <v>4498</v>
      </c>
    </row>
    <row r="988" spans="1:21" x14ac:dyDescent="0.25">
      <c r="A988" t="s">
        <v>4499</v>
      </c>
      <c r="B988" t="s">
        <v>38</v>
      </c>
      <c r="C988" t="s">
        <v>4500</v>
      </c>
      <c r="D988">
        <f>49-8006655900</f>
        <v>-8006655851</v>
      </c>
      <c r="E988" t="s">
        <v>4501</v>
      </c>
      <c r="F988" t="s">
        <v>4114</v>
      </c>
      <c r="G988" t="s">
        <v>4115</v>
      </c>
      <c r="H988">
        <v>9.4583106169800395</v>
      </c>
      <c r="I988">
        <v>52.504767553278299</v>
      </c>
      <c r="J988">
        <v>100</v>
      </c>
      <c r="K988" t="s">
        <v>728</v>
      </c>
      <c r="L988" t="s">
        <v>728</v>
      </c>
      <c r="M988" t="s">
        <v>728</v>
      </c>
      <c r="N988" t="s">
        <v>728</v>
      </c>
      <c r="O988" t="s">
        <v>728</v>
      </c>
      <c r="P988" t="s">
        <v>4502</v>
      </c>
      <c r="R988" t="s">
        <v>4500</v>
      </c>
      <c r="T988" t="s">
        <v>4258</v>
      </c>
      <c r="U988" t="s">
        <v>4503</v>
      </c>
    </row>
    <row r="989" spans="1:21" x14ac:dyDescent="0.25">
      <c r="A989" t="s">
        <v>4504</v>
      </c>
      <c r="B989" t="s">
        <v>38</v>
      </c>
      <c r="C989" t="s">
        <v>4505</v>
      </c>
      <c r="D989">
        <f>49-8006655900</f>
        <v>-8006655851</v>
      </c>
      <c r="E989" t="s">
        <v>4266</v>
      </c>
      <c r="F989" t="s">
        <v>4114</v>
      </c>
      <c r="G989" t="s">
        <v>4115</v>
      </c>
      <c r="H989">
        <v>13.344765000000001</v>
      </c>
      <c r="I989">
        <v>52.52666</v>
      </c>
      <c r="J989">
        <v>100</v>
      </c>
      <c r="K989" t="s">
        <v>45</v>
      </c>
      <c r="L989" t="s">
        <v>45</v>
      </c>
      <c r="M989" t="s">
        <v>45</v>
      </c>
      <c r="N989" t="s">
        <v>45</v>
      </c>
      <c r="O989" t="s">
        <v>45</v>
      </c>
      <c r="P989" t="s">
        <v>45</v>
      </c>
      <c r="R989" t="s">
        <v>4506</v>
      </c>
      <c r="T989" t="s">
        <v>4278</v>
      </c>
      <c r="U989" t="s">
        <v>4507</v>
      </c>
    </row>
    <row r="990" spans="1:21" x14ac:dyDescent="0.25">
      <c r="A990" t="s">
        <v>4508</v>
      </c>
      <c r="B990" t="s">
        <v>22</v>
      </c>
      <c r="C990" t="s">
        <v>4509</v>
      </c>
      <c r="D990">
        <f>49-8006655900</f>
        <v>-8006655851</v>
      </c>
      <c r="E990" t="s">
        <v>4266</v>
      </c>
      <c r="F990" t="s">
        <v>4114</v>
      </c>
      <c r="G990" t="s">
        <v>4115</v>
      </c>
      <c r="H990">
        <v>13.446664999999999</v>
      </c>
      <c r="I990">
        <v>52.505561999999998</v>
      </c>
      <c r="J990">
        <v>100</v>
      </c>
      <c r="K990" t="s">
        <v>45</v>
      </c>
      <c r="L990" t="s">
        <v>45</v>
      </c>
      <c r="M990" t="s">
        <v>45</v>
      </c>
      <c r="N990" t="s">
        <v>45</v>
      </c>
      <c r="O990" t="s">
        <v>45</v>
      </c>
      <c r="P990" t="s">
        <v>45</v>
      </c>
      <c r="R990" t="s">
        <v>4510</v>
      </c>
      <c r="T990" t="s">
        <v>4268</v>
      </c>
      <c r="U990" t="s">
        <v>4511</v>
      </c>
    </row>
    <row r="991" spans="1:21" x14ac:dyDescent="0.25">
      <c r="A991" t="s">
        <v>4512</v>
      </c>
      <c r="B991" t="s">
        <v>38</v>
      </c>
      <c r="C991" t="s">
        <v>4513</v>
      </c>
      <c r="E991" t="s">
        <v>4514</v>
      </c>
      <c r="F991" t="s">
        <v>4114</v>
      </c>
      <c r="G991" t="s">
        <v>4115</v>
      </c>
      <c r="H991">
        <v>11.912781399999901</v>
      </c>
      <c r="I991">
        <v>50.3135391</v>
      </c>
      <c r="J991">
        <v>110</v>
      </c>
      <c r="K991" t="s">
        <v>535</v>
      </c>
      <c r="L991" t="s">
        <v>535</v>
      </c>
      <c r="M991" t="s">
        <v>535</v>
      </c>
      <c r="N991" t="s">
        <v>535</v>
      </c>
      <c r="O991" t="s">
        <v>535</v>
      </c>
      <c r="P991" t="s">
        <v>428</v>
      </c>
      <c r="R991" t="s">
        <v>4513</v>
      </c>
      <c r="T991" t="s">
        <v>4123</v>
      </c>
      <c r="U991" t="s">
        <v>4515</v>
      </c>
    </row>
    <row r="992" spans="1:21" x14ac:dyDescent="0.25">
      <c r="A992" t="s">
        <v>4516</v>
      </c>
      <c r="B992" t="s">
        <v>38</v>
      </c>
      <c r="C992" t="s">
        <v>4517</v>
      </c>
      <c r="D992">
        <f>49-800-6655900</f>
        <v>-6656651</v>
      </c>
      <c r="E992" t="s">
        <v>4282</v>
      </c>
      <c r="F992" t="s">
        <v>4114</v>
      </c>
      <c r="G992" t="s">
        <v>4115</v>
      </c>
      <c r="H992">
        <v>8.7694804882827402</v>
      </c>
      <c r="I992">
        <v>53.064712118809801</v>
      </c>
      <c r="J992">
        <v>100</v>
      </c>
      <c r="K992" t="s">
        <v>45</v>
      </c>
      <c r="L992" t="s">
        <v>45</v>
      </c>
      <c r="M992" t="s">
        <v>45</v>
      </c>
      <c r="N992" t="s">
        <v>45</v>
      </c>
      <c r="O992" t="s">
        <v>45</v>
      </c>
      <c r="P992" t="s">
        <v>45</v>
      </c>
      <c r="R992" t="s">
        <v>4518</v>
      </c>
      <c r="T992" t="s">
        <v>4282</v>
      </c>
      <c r="U992" t="s">
        <v>4519</v>
      </c>
    </row>
    <row r="993" spans="1:21" x14ac:dyDescent="0.25">
      <c r="A993" t="s">
        <v>4520</v>
      </c>
      <c r="B993" t="s">
        <v>22</v>
      </c>
      <c r="C993" t="s">
        <v>4521</v>
      </c>
      <c r="D993">
        <f>49-8006655900</f>
        <v>-8006655851</v>
      </c>
      <c r="E993" t="s">
        <v>4266</v>
      </c>
      <c r="F993" t="s">
        <v>4114</v>
      </c>
      <c r="G993" t="s">
        <v>4115</v>
      </c>
      <c r="H993">
        <v>13.404399</v>
      </c>
      <c r="I993">
        <v>52.524574000000001</v>
      </c>
      <c r="J993">
        <v>100</v>
      </c>
      <c r="K993" t="s">
        <v>1035</v>
      </c>
      <c r="L993" t="s">
        <v>1035</v>
      </c>
      <c r="M993" t="s">
        <v>1035</v>
      </c>
      <c r="N993" t="s">
        <v>1035</v>
      </c>
      <c r="O993" t="s">
        <v>1035</v>
      </c>
      <c r="P993" t="s">
        <v>1035</v>
      </c>
      <c r="R993" t="s">
        <v>4522</v>
      </c>
      <c r="T993" t="s">
        <v>4268</v>
      </c>
      <c r="U993" t="s">
        <v>4523</v>
      </c>
    </row>
    <row r="994" spans="1:21" x14ac:dyDescent="0.25">
      <c r="A994" t="s">
        <v>4524</v>
      </c>
      <c r="B994" t="s">
        <v>38</v>
      </c>
      <c r="C994" t="s">
        <v>4525</v>
      </c>
      <c r="E994" t="s">
        <v>4526</v>
      </c>
      <c r="F994" t="s">
        <v>4114</v>
      </c>
      <c r="G994" t="s">
        <v>4115</v>
      </c>
      <c r="H994">
        <v>10.989064000000001</v>
      </c>
      <c r="I994">
        <v>49.475771999999999</v>
      </c>
      <c r="J994">
        <v>110</v>
      </c>
      <c r="K994" t="s">
        <v>45</v>
      </c>
      <c r="L994" t="s">
        <v>45</v>
      </c>
      <c r="M994" t="s">
        <v>45</v>
      </c>
      <c r="N994" t="s">
        <v>45</v>
      </c>
      <c r="O994" t="s">
        <v>45</v>
      </c>
      <c r="P994" t="s">
        <v>45</v>
      </c>
      <c r="R994" t="s">
        <v>4525</v>
      </c>
      <c r="T994" t="s">
        <v>4123</v>
      </c>
      <c r="U994" t="s">
        <v>4527</v>
      </c>
    </row>
    <row r="995" spans="1:21" x14ac:dyDescent="0.25">
      <c r="A995" t="s">
        <v>4528</v>
      </c>
      <c r="B995" t="s">
        <v>32</v>
      </c>
      <c r="C995" t="s">
        <v>4529</v>
      </c>
      <c r="D995">
        <f t="shared" ref="D995:D1026" si="26">49-8006655900</f>
        <v>-8006655851</v>
      </c>
      <c r="E995" t="s">
        <v>4169</v>
      </c>
      <c r="F995" t="s">
        <v>4114</v>
      </c>
      <c r="G995" t="s">
        <v>4115</v>
      </c>
      <c r="H995">
        <v>11.574223268508799</v>
      </c>
      <c r="I995">
        <v>48.137565629587399</v>
      </c>
      <c r="J995">
        <v>100</v>
      </c>
      <c r="K995" t="s">
        <v>45</v>
      </c>
      <c r="L995" t="s">
        <v>45</v>
      </c>
      <c r="M995" t="s">
        <v>45</v>
      </c>
      <c r="N995" t="s">
        <v>45</v>
      </c>
      <c r="O995" t="s">
        <v>45</v>
      </c>
      <c r="P995" t="s">
        <v>45</v>
      </c>
      <c r="R995" t="s">
        <v>4529</v>
      </c>
      <c r="T995" t="s">
        <v>4123</v>
      </c>
      <c r="U995" t="s">
        <v>4530</v>
      </c>
    </row>
    <row r="996" spans="1:21" x14ac:dyDescent="0.25">
      <c r="A996" t="s">
        <v>4531</v>
      </c>
      <c r="B996" t="s">
        <v>32</v>
      </c>
      <c r="C996" t="s">
        <v>4532</v>
      </c>
      <c r="D996">
        <f t="shared" si="26"/>
        <v>-8006655851</v>
      </c>
      <c r="E996" t="s">
        <v>4344</v>
      </c>
      <c r="F996" t="s">
        <v>4114</v>
      </c>
      <c r="G996" t="s">
        <v>4115</v>
      </c>
      <c r="H996">
        <v>10.0012263905541</v>
      </c>
      <c r="I996">
        <v>53.550993259307702</v>
      </c>
      <c r="J996">
        <v>100</v>
      </c>
      <c r="K996" t="s">
        <v>45</v>
      </c>
      <c r="L996" t="s">
        <v>45</v>
      </c>
      <c r="M996" t="s">
        <v>45</v>
      </c>
      <c r="N996" t="s">
        <v>45</v>
      </c>
      <c r="O996" t="s">
        <v>45</v>
      </c>
      <c r="P996" t="s">
        <v>45</v>
      </c>
      <c r="R996" t="s">
        <v>4532</v>
      </c>
      <c r="T996" t="s">
        <v>4344</v>
      </c>
      <c r="U996" t="s">
        <v>4533</v>
      </c>
    </row>
    <row r="997" spans="1:21" x14ac:dyDescent="0.25">
      <c r="A997" t="s">
        <v>4534</v>
      </c>
      <c r="B997" t="s">
        <v>22</v>
      </c>
      <c r="C997" t="s">
        <v>4535</v>
      </c>
      <c r="D997">
        <f t="shared" si="26"/>
        <v>-8006655851</v>
      </c>
      <c r="E997" t="s">
        <v>4536</v>
      </c>
      <c r="F997" t="s">
        <v>4114</v>
      </c>
      <c r="G997" t="s">
        <v>4115</v>
      </c>
      <c r="H997">
        <v>8.063015</v>
      </c>
      <c r="I997">
        <v>50.385984000000001</v>
      </c>
      <c r="J997">
        <v>100</v>
      </c>
      <c r="K997" t="s">
        <v>184</v>
      </c>
      <c r="L997" t="s">
        <v>184</v>
      </c>
      <c r="M997" t="s">
        <v>184</v>
      </c>
      <c r="N997" t="s">
        <v>184</v>
      </c>
      <c r="O997" t="s">
        <v>184</v>
      </c>
      <c r="P997" t="s">
        <v>262</v>
      </c>
      <c r="R997" t="s">
        <v>4535</v>
      </c>
      <c r="T997" t="s">
        <v>4152</v>
      </c>
      <c r="U997" t="s">
        <v>4537</v>
      </c>
    </row>
    <row r="998" spans="1:21" x14ac:dyDescent="0.25">
      <c r="A998" t="s">
        <v>4538</v>
      </c>
      <c r="B998" t="s">
        <v>22</v>
      </c>
      <c r="C998" t="s">
        <v>4539</v>
      </c>
      <c r="D998">
        <f t="shared" si="26"/>
        <v>-8006655851</v>
      </c>
      <c r="E998" t="s">
        <v>4302</v>
      </c>
      <c r="F998" t="s">
        <v>4114</v>
      </c>
      <c r="G998" t="s">
        <v>4115</v>
      </c>
      <c r="H998">
        <v>8.6869599999999991</v>
      </c>
      <c r="I998">
        <v>50.114851000000002</v>
      </c>
      <c r="J998">
        <v>100</v>
      </c>
      <c r="K998" t="s">
        <v>45</v>
      </c>
      <c r="L998" t="s">
        <v>45</v>
      </c>
      <c r="M998" t="s">
        <v>45</v>
      </c>
      <c r="N998" t="s">
        <v>45</v>
      </c>
      <c r="O998" t="s">
        <v>45</v>
      </c>
      <c r="P998" t="s">
        <v>45</v>
      </c>
      <c r="R998" t="s">
        <v>4539</v>
      </c>
      <c r="T998" t="s">
        <v>4152</v>
      </c>
      <c r="U998" t="s">
        <v>4540</v>
      </c>
    </row>
    <row r="999" spans="1:21" x14ac:dyDescent="0.25">
      <c r="A999" t="s">
        <v>4541</v>
      </c>
      <c r="B999" t="s">
        <v>22</v>
      </c>
      <c r="C999" t="s">
        <v>4542</v>
      </c>
      <c r="D999">
        <f t="shared" si="26"/>
        <v>-8006655851</v>
      </c>
      <c r="E999" t="s">
        <v>4543</v>
      </c>
      <c r="F999" t="s">
        <v>4114</v>
      </c>
      <c r="G999" t="s">
        <v>4115</v>
      </c>
      <c r="H999">
        <v>6.0899494000000196</v>
      </c>
      <c r="I999">
        <v>50.7750007</v>
      </c>
      <c r="J999">
        <v>100</v>
      </c>
      <c r="K999" t="s">
        <v>45</v>
      </c>
      <c r="L999" t="s">
        <v>45</v>
      </c>
      <c r="M999" t="s">
        <v>45</v>
      </c>
      <c r="N999" t="s">
        <v>45</v>
      </c>
      <c r="O999" t="s">
        <v>45</v>
      </c>
      <c r="P999" t="s">
        <v>45</v>
      </c>
      <c r="R999" t="s">
        <v>4542</v>
      </c>
      <c r="T999" t="s">
        <v>4117</v>
      </c>
      <c r="U999" t="s">
        <v>4544</v>
      </c>
    </row>
    <row r="1000" spans="1:21" x14ac:dyDescent="0.25">
      <c r="A1000" t="s">
        <v>4545</v>
      </c>
      <c r="B1000" t="s">
        <v>38</v>
      </c>
      <c r="C1000" t="s">
        <v>4546</v>
      </c>
      <c r="D1000">
        <f t="shared" si="26"/>
        <v>-8006655851</v>
      </c>
      <c r="E1000" t="s">
        <v>4547</v>
      </c>
      <c r="F1000" t="s">
        <v>4114</v>
      </c>
      <c r="G1000" t="s">
        <v>4115</v>
      </c>
      <c r="H1000">
        <v>7.6049100000000003</v>
      </c>
      <c r="I1000">
        <v>49.200791000000002</v>
      </c>
      <c r="J1000">
        <v>100</v>
      </c>
      <c r="K1000" t="s">
        <v>535</v>
      </c>
      <c r="L1000" t="s">
        <v>535</v>
      </c>
      <c r="M1000" t="s">
        <v>535</v>
      </c>
      <c r="N1000" t="s">
        <v>535</v>
      </c>
      <c r="O1000" t="s">
        <v>535</v>
      </c>
      <c r="P1000" t="s">
        <v>553</v>
      </c>
      <c r="R1000" t="s">
        <v>4548</v>
      </c>
      <c r="T1000" t="s">
        <v>4129</v>
      </c>
      <c r="U1000" t="s">
        <v>4549</v>
      </c>
    </row>
    <row r="1001" spans="1:21" x14ac:dyDescent="0.25">
      <c r="A1001" t="s">
        <v>4550</v>
      </c>
      <c r="B1001" t="s">
        <v>22</v>
      </c>
      <c r="C1001" t="s">
        <v>4551</v>
      </c>
      <c r="D1001">
        <f t="shared" si="26"/>
        <v>-8006655851</v>
      </c>
      <c r="E1001" t="s">
        <v>4552</v>
      </c>
      <c r="F1001" t="s">
        <v>4114</v>
      </c>
      <c r="G1001" t="s">
        <v>4115</v>
      </c>
      <c r="H1001">
        <v>7.1488281742745103</v>
      </c>
      <c r="I1001">
        <v>51.256726035836301</v>
      </c>
      <c r="J1001">
        <v>100</v>
      </c>
      <c r="K1001" t="s">
        <v>185</v>
      </c>
      <c r="L1001" t="s">
        <v>185</v>
      </c>
      <c r="M1001" t="s">
        <v>185</v>
      </c>
      <c r="N1001" t="s">
        <v>185</v>
      </c>
      <c r="O1001" t="s">
        <v>185</v>
      </c>
      <c r="P1001" t="s">
        <v>185</v>
      </c>
      <c r="R1001" t="s">
        <v>4553</v>
      </c>
      <c r="T1001" t="s">
        <v>4117</v>
      </c>
      <c r="U1001" t="s">
        <v>4554</v>
      </c>
    </row>
    <row r="1002" spans="1:21" x14ac:dyDescent="0.25">
      <c r="A1002" t="s">
        <v>4555</v>
      </c>
      <c r="B1002" t="s">
        <v>38</v>
      </c>
      <c r="C1002" t="s">
        <v>4556</v>
      </c>
      <c r="D1002">
        <f t="shared" si="26"/>
        <v>-8006655851</v>
      </c>
      <c r="E1002" t="s">
        <v>4557</v>
      </c>
      <c r="F1002" t="s">
        <v>4114</v>
      </c>
      <c r="G1002" t="s">
        <v>4115</v>
      </c>
      <c r="H1002">
        <v>7.3390490833282902</v>
      </c>
      <c r="I1002">
        <v>49.322148001979599</v>
      </c>
      <c r="J1002">
        <v>100</v>
      </c>
      <c r="K1002" t="s">
        <v>774</v>
      </c>
      <c r="L1002" t="s">
        <v>774</v>
      </c>
      <c r="M1002" t="s">
        <v>774</v>
      </c>
      <c r="N1002" t="s">
        <v>774</v>
      </c>
      <c r="O1002" t="s">
        <v>774</v>
      </c>
      <c r="P1002" t="s">
        <v>428</v>
      </c>
      <c r="R1002" t="s">
        <v>4558</v>
      </c>
      <c r="T1002" t="s">
        <v>4135</v>
      </c>
      <c r="U1002" t="s">
        <v>4559</v>
      </c>
    </row>
    <row r="1003" spans="1:21" x14ac:dyDescent="0.25">
      <c r="A1003" t="s">
        <v>4560</v>
      </c>
      <c r="B1003" t="s">
        <v>38</v>
      </c>
      <c r="C1003" t="s">
        <v>4561</v>
      </c>
      <c r="D1003">
        <f t="shared" si="26"/>
        <v>-8006655851</v>
      </c>
      <c r="E1003" t="s">
        <v>4562</v>
      </c>
      <c r="F1003" t="s">
        <v>4114</v>
      </c>
      <c r="G1003" t="s">
        <v>4115</v>
      </c>
      <c r="H1003">
        <v>14.333601</v>
      </c>
      <c r="I1003">
        <v>51.758670000000002</v>
      </c>
      <c r="J1003">
        <v>100</v>
      </c>
      <c r="K1003" t="s">
        <v>535</v>
      </c>
      <c r="L1003" t="s">
        <v>535</v>
      </c>
      <c r="M1003" t="s">
        <v>535</v>
      </c>
      <c r="N1003" t="s">
        <v>535</v>
      </c>
      <c r="O1003" t="s">
        <v>535</v>
      </c>
      <c r="P1003" t="s">
        <v>535</v>
      </c>
      <c r="R1003" t="s">
        <v>4561</v>
      </c>
      <c r="T1003" t="s">
        <v>4563</v>
      </c>
      <c r="U1003" t="s">
        <v>4564</v>
      </c>
    </row>
    <row r="1004" spans="1:21" x14ac:dyDescent="0.25">
      <c r="A1004" t="s">
        <v>4565</v>
      </c>
      <c r="B1004" t="s">
        <v>38</v>
      </c>
      <c r="C1004" t="s">
        <v>4566</v>
      </c>
      <c r="D1004">
        <f t="shared" si="26"/>
        <v>-8006655851</v>
      </c>
      <c r="E1004" t="s">
        <v>4567</v>
      </c>
      <c r="F1004" t="s">
        <v>4114</v>
      </c>
      <c r="G1004" t="s">
        <v>4115</v>
      </c>
      <c r="H1004">
        <v>10.618798</v>
      </c>
      <c r="I1004">
        <v>47.881056999999998</v>
      </c>
      <c r="J1004">
        <v>100</v>
      </c>
      <c r="K1004" t="s">
        <v>535</v>
      </c>
      <c r="L1004" t="s">
        <v>535</v>
      </c>
      <c r="M1004" t="s">
        <v>535</v>
      </c>
      <c r="N1004" t="s">
        <v>535</v>
      </c>
      <c r="O1004" t="s">
        <v>535</v>
      </c>
      <c r="P1004" t="s">
        <v>428</v>
      </c>
      <c r="R1004" t="s">
        <v>4566</v>
      </c>
      <c r="T1004" t="s">
        <v>4123</v>
      </c>
      <c r="U1004" t="s">
        <v>4568</v>
      </c>
    </row>
    <row r="1005" spans="1:21" x14ac:dyDescent="0.25">
      <c r="A1005" t="s">
        <v>4569</v>
      </c>
      <c r="B1005" t="s">
        <v>22</v>
      </c>
      <c r="C1005" t="s">
        <v>4570</v>
      </c>
      <c r="D1005">
        <f t="shared" si="26"/>
        <v>-8006655851</v>
      </c>
      <c r="E1005" t="s">
        <v>4571</v>
      </c>
      <c r="F1005" t="s">
        <v>4114</v>
      </c>
      <c r="G1005" t="s">
        <v>4115</v>
      </c>
      <c r="H1005">
        <v>9.1503879999999995</v>
      </c>
      <c r="I1005">
        <v>48.921368999999999</v>
      </c>
      <c r="J1005">
        <v>100</v>
      </c>
      <c r="K1005" t="s">
        <v>45</v>
      </c>
      <c r="L1005" t="s">
        <v>45</v>
      </c>
      <c r="M1005" t="s">
        <v>45</v>
      </c>
      <c r="N1005" t="s">
        <v>45</v>
      </c>
      <c r="O1005" t="s">
        <v>45</v>
      </c>
      <c r="P1005" t="s">
        <v>185</v>
      </c>
      <c r="R1005" t="s">
        <v>4572</v>
      </c>
      <c r="T1005" t="s">
        <v>4146</v>
      </c>
      <c r="U1005" t="s">
        <v>4573</v>
      </c>
    </row>
    <row r="1006" spans="1:21" x14ac:dyDescent="0.25">
      <c r="A1006" t="s">
        <v>4574</v>
      </c>
      <c r="B1006" t="s">
        <v>38</v>
      </c>
      <c r="C1006" t="s">
        <v>4575</v>
      </c>
      <c r="D1006">
        <f t="shared" si="26"/>
        <v>-8006655851</v>
      </c>
      <c r="E1006" t="s">
        <v>4576</v>
      </c>
      <c r="F1006" t="s">
        <v>4114</v>
      </c>
      <c r="G1006" t="s">
        <v>4115</v>
      </c>
      <c r="H1006">
        <v>10.1822518</v>
      </c>
      <c r="I1006">
        <v>47.984159400000003</v>
      </c>
      <c r="J1006">
        <v>100</v>
      </c>
      <c r="K1006" t="s">
        <v>535</v>
      </c>
      <c r="L1006" t="s">
        <v>535</v>
      </c>
      <c r="M1006" t="s">
        <v>535</v>
      </c>
      <c r="N1006" t="s">
        <v>535</v>
      </c>
      <c r="O1006" t="s">
        <v>535</v>
      </c>
      <c r="P1006" t="s">
        <v>428</v>
      </c>
      <c r="R1006" t="s">
        <v>4577</v>
      </c>
      <c r="T1006" t="s">
        <v>4123</v>
      </c>
      <c r="U1006" t="s">
        <v>4578</v>
      </c>
    </row>
    <row r="1007" spans="1:21" x14ac:dyDescent="0.25">
      <c r="A1007" t="s">
        <v>4579</v>
      </c>
      <c r="B1007" t="s">
        <v>22</v>
      </c>
      <c r="C1007" t="s">
        <v>4580</v>
      </c>
      <c r="D1007">
        <f t="shared" si="26"/>
        <v>-8006655851</v>
      </c>
      <c r="E1007" t="s">
        <v>4581</v>
      </c>
      <c r="F1007" t="s">
        <v>4114</v>
      </c>
      <c r="G1007" t="s">
        <v>4115</v>
      </c>
      <c r="H1007">
        <v>7.8601239999999999</v>
      </c>
      <c r="I1007">
        <v>49.843305999999998</v>
      </c>
      <c r="J1007">
        <v>100</v>
      </c>
      <c r="K1007" t="s">
        <v>535</v>
      </c>
      <c r="L1007" t="s">
        <v>535</v>
      </c>
      <c r="M1007" t="s">
        <v>535</v>
      </c>
      <c r="N1007" t="s">
        <v>535</v>
      </c>
      <c r="O1007" t="s">
        <v>535</v>
      </c>
      <c r="P1007" t="s">
        <v>535</v>
      </c>
      <c r="R1007" t="s">
        <v>4580</v>
      </c>
      <c r="T1007" t="s">
        <v>4129</v>
      </c>
      <c r="U1007" t="s">
        <v>4582</v>
      </c>
    </row>
    <row r="1008" spans="1:21" x14ac:dyDescent="0.25">
      <c r="A1008" t="s">
        <v>4583</v>
      </c>
      <c r="B1008" t="s">
        <v>22</v>
      </c>
      <c r="C1008" t="s">
        <v>4584</v>
      </c>
      <c r="D1008">
        <f t="shared" si="26"/>
        <v>-8006655851</v>
      </c>
      <c r="E1008" t="s">
        <v>4344</v>
      </c>
      <c r="F1008" t="s">
        <v>4114</v>
      </c>
      <c r="G1008" t="s">
        <v>4115</v>
      </c>
      <c r="H1008">
        <v>9.9525509619712693</v>
      </c>
      <c r="I1008">
        <v>53.622296456692702</v>
      </c>
      <c r="J1008">
        <v>100</v>
      </c>
      <c r="K1008" t="s">
        <v>45</v>
      </c>
      <c r="L1008" t="s">
        <v>45</v>
      </c>
      <c r="M1008" t="s">
        <v>45</v>
      </c>
      <c r="N1008" t="s">
        <v>45</v>
      </c>
      <c r="O1008" t="s">
        <v>45</v>
      </c>
      <c r="P1008" t="s">
        <v>262</v>
      </c>
      <c r="R1008" t="s">
        <v>4585</v>
      </c>
      <c r="T1008" t="s">
        <v>4344</v>
      </c>
      <c r="U1008" t="s">
        <v>4586</v>
      </c>
    </row>
    <row r="1009" spans="1:21" x14ac:dyDescent="0.25">
      <c r="A1009" t="s">
        <v>4587</v>
      </c>
      <c r="B1009" t="s">
        <v>22</v>
      </c>
      <c r="C1009" t="s">
        <v>4588</v>
      </c>
      <c r="D1009">
        <f t="shared" si="26"/>
        <v>-8006655851</v>
      </c>
      <c r="E1009" t="s">
        <v>4589</v>
      </c>
      <c r="F1009" t="s">
        <v>4114</v>
      </c>
      <c r="G1009" t="s">
        <v>4115</v>
      </c>
      <c r="H1009">
        <v>8.4584449999999993</v>
      </c>
      <c r="I1009">
        <v>48.059640000000002</v>
      </c>
      <c r="J1009">
        <v>100</v>
      </c>
      <c r="K1009" t="s">
        <v>45</v>
      </c>
      <c r="L1009" t="s">
        <v>45</v>
      </c>
      <c r="M1009" t="s">
        <v>45</v>
      </c>
      <c r="N1009" t="s">
        <v>45</v>
      </c>
      <c r="O1009" t="s">
        <v>45</v>
      </c>
      <c r="P1009" t="s">
        <v>535</v>
      </c>
      <c r="R1009" t="s">
        <v>4588</v>
      </c>
      <c r="T1009" t="s">
        <v>4146</v>
      </c>
      <c r="U1009" t="s">
        <v>4590</v>
      </c>
    </row>
    <row r="1010" spans="1:21" x14ac:dyDescent="0.25">
      <c r="A1010" t="s">
        <v>4591</v>
      </c>
      <c r="B1010" t="s">
        <v>22</v>
      </c>
      <c r="C1010" t="s">
        <v>4592</v>
      </c>
      <c r="D1010">
        <f t="shared" si="26"/>
        <v>-8006655851</v>
      </c>
      <c r="E1010" t="s">
        <v>4593</v>
      </c>
      <c r="F1010" t="s">
        <v>4114</v>
      </c>
      <c r="G1010" t="s">
        <v>4115</v>
      </c>
      <c r="H1010">
        <v>8.6978650846557493</v>
      </c>
      <c r="I1010">
        <v>50.049199891180798</v>
      </c>
      <c r="J1010">
        <v>100</v>
      </c>
      <c r="K1010" t="s">
        <v>185</v>
      </c>
      <c r="L1010" t="s">
        <v>185</v>
      </c>
      <c r="M1010" t="s">
        <v>185</v>
      </c>
      <c r="N1010" t="s">
        <v>185</v>
      </c>
      <c r="O1010" t="s">
        <v>185</v>
      </c>
      <c r="P1010" t="s">
        <v>185</v>
      </c>
      <c r="R1010" t="s">
        <v>4594</v>
      </c>
      <c r="T1010" t="s">
        <v>4152</v>
      </c>
      <c r="U1010" t="s">
        <v>4595</v>
      </c>
    </row>
    <row r="1011" spans="1:21" x14ac:dyDescent="0.25">
      <c r="A1011" t="s">
        <v>4596</v>
      </c>
      <c r="B1011" t="s">
        <v>38</v>
      </c>
      <c r="C1011" t="s">
        <v>4597</v>
      </c>
      <c r="D1011">
        <f t="shared" si="26"/>
        <v>-8006655851</v>
      </c>
      <c r="E1011" t="s">
        <v>4598</v>
      </c>
      <c r="F1011" t="s">
        <v>4114</v>
      </c>
      <c r="G1011" t="s">
        <v>4115</v>
      </c>
      <c r="H1011">
        <v>12.157361999999999</v>
      </c>
      <c r="I1011">
        <v>49.674616999999998</v>
      </c>
      <c r="J1011">
        <v>100</v>
      </c>
      <c r="K1011" t="s">
        <v>535</v>
      </c>
      <c r="L1011" t="s">
        <v>535</v>
      </c>
      <c r="M1011" t="s">
        <v>535</v>
      </c>
      <c r="N1011" t="s">
        <v>535</v>
      </c>
      <c r="O1011" t="s">
        <v>535</v>
      </c>
      <c r="P1011" t="s">
        <v>428</v>
      </c>
      <c r="R1011" t="s">
        <v>4599</v>
      </c>
      <c r="T1011" t="s">
        <v>4123</v>
      </c>
      <c r="U1011" t="s">
        <v>4600</v>
      </c>
    </row>
    <row r="1012" spans="1:21" x14ac:dyDescent="0.25">
      <c r="A1012" t="s">
        <v>4601</v>
      </c>
      <c r="B1012" t="s">
        <v>22</v>
      </c>
      <c r="C1012" t="s">
        <v>4602</v>
      </c>
      <c r="D1012">
        <f t="shared" si="26"/>
        <v>-8006655851</v>
      </c>
      <c r="E1012" t="s">
        <v>4603</v>
      </c>
      <c r="F1012" t="s">
        <v>4114</v>
      </c>
      <c r="G1012" t="s">
        <v>4115</v>
      </c>
      <c r="H1012">
        <v>8.1058859999999999</v>
      </c>
      <c r="I1012">
        <v>51.573276</v>
      </c>
      <c r="J1012">
        <v>100</v>
      </c>
      <c r="K1012" t="s">
        <v>745</v>
      </c>
      <c r="L1012" t="s">
        <v>745</v>
      </c>
      <c r="M1012" t="s">
        <v>745</v>
      </c>
      <c r="N1012" t="s">
        <v>745</v>
      </c>
      <c r="O1012" t="s">
        <v>745</v>
      </c>
      <c r="P1012" t="s">
        <v>428</v>
      </c>
      <c r="R1012" t="s">
        <v>4602</v>
      </c>
      <c r="T1012" t="s">
        <v>4117</v>
      </c>
      <c r="U1012" t="s">
        <v>4604</v>
      </c>
    </row>
    <row r="1013" spans="1:21" x14ac:dyDescent="0.25">
      <c r="A1013" t="s">
        <v>4605</v>
      </c>
      <c r="B1013" t="s">
        <v>22</v>
      </c>
      <c r="C1013" t="s">
        <v>4606</v>
      </c>
      <c r="D1013">
        <f t="shared" si="26"/>
        <v>-8006655851</v>
      </c>
      <c r="E1013" t="s">
        <v>4121</v>
      </c>
      <c r="F1013" t="s">
        <v>4114</v>
      </c>
      <c r="G1013" t="s">
        <v>4115</v>
      </c>
      <c r="H1013">
        <v>12.098523</v>
      </c>
      <c r="I1013">
        <v>49.010572000000003</v>
      </c>
      <c r="J1013">
        <v>100</v>
      </c>
      <c r="K1013" t="s">
        <v>185</v>
      </c>
      <c r="L1013" t="s">
        <v>185</v>
      </c>
      <c r="M1013" t="s">
        <v>185</v>
      </c>
      <c r="N1013" t="s">
        <v>185</v>
      </c>
      <c r="O1013" t="s">
        <v>185</v>
      </c>
      <c r="P1013" t="s">
        <v>185</v>
      </c>
      <c r="R1013" t="s">
        <v>4607</v>
      </c>
      <c r="T1013" t="s">
        <v>4123</v>
      </c>
      <c r="U1013" t="s">
        <v>4608</v>
      </c>
    </row>
    <row r="1014" spans="1:21" x14ac:dyDescent="0.25">
      <c r="A1014" t="s">
        <v>4609</v>
      </c>
      <c r="B1014" t="s">
        <v>22</v>
      </c>
      <c r="C1014" t="s">
        <v>4610</v>
      </c>
      <c r="D1014">
        <f t="shared" si="26"/>
        <v>-8006655851</v>
      </c>
      <c r="E1014" t="s">
        <v>4611</v>
      </c>
      <c r="F1014" t="s">
        <v>4114</v>
      </c>
      <c r="G1014" t="s">
        <v>4115</v>
      </c>
      <c r="H1014">
        <v>10.686722</v>
      </c>
      <c r="I1014">
        <v>53.868392999999998</v>
      </c>
      <c r="J1014">
        <v>100</v>
      </c>
      <c r="K1014" t="s">
        <v>535</v>
      </c>
      <c r="L1014" t="s">
        <v>535</v>
      </c>
      <c r="M1014" t="s">
        <v>535</v>
      </c>
      <c r="N1014" t="s">
        <v>535</v>
      </c>
      <c r="O1014" t="s">
        <v>535</v>
      </c>
      <c r="P1014" t="s">
        <v>535</v>
      </c>
      <c r="R1014" t="s">
        <v>4612</v>
      </c>
      <c r="T1014" t="s">
        <v>4413</v>
      </c>
      <c r="U1014" t="s">
        <v>4613</v>
      </c>
    </row>
    <row r="1015" spans="1:21" x14ac:dyDescent="0.25">
      <c r="A1015" t="s">
        <v>4614</v>
      </c>
      <c r="B1015" t="s">
        <v>22</v>
      </c>
      <c r="C1015" t="s">
        <v>4615</v>
      </c>
      <c r="D1015">
        <f t="shared" si="26"/>
        <v>-8006655851</v>
      </c>
      <c r="E1015" t="s">
        <v>4616</v>
      </c>
      <c r="F1015" t="s">
        <v>4114</v>
      </c>
      <c r="G1015" t="s">
        <v>4115</v>
      </c>
      <c r="H1015">
        <v>7.4746656441802797</v>
      </c>
      <c r="I1015">
        <v>51.358445901260502</v>
      </c>
      <c r="J1015">
        <v>100</v>
      </c>
      <c r="K1015" t="s">
        <v>45</v>
      </c>
      <c r="L1015" t="s">
        <v>45</v>
      </c>
      <c r="M1015" t="s">
        <v>45</v>
      </c>
      <c r="N1015" t="s">
        <v>45</v>
      </c>
      <c r="O1015" t="s">
        <v>45</v>
      </c>
      <c r="P1015" t="s">
        <v>45</v>
      </c>
      <c r="R1015" t="s">
        <v>4617</v>
      </c>
      <c r="T1015" t="s">
        <v>4117</v>
      </c>
      <c r="U1015" t="s">
        <v>4618</v>
      </c>
    </row>
    <row r="1016" spans="1:21" x14ac:dyDescent="0.25">
      <c r="A1016" t="s">
        <v>4619</v>
      </c>
      <c r="B1016" t="s">
        <v>38</v>
      </c>
      <c r="C1016" t="s">
        <v>4620</v>
      </c>
      <c r="D1016">
        <f t="shared" si="26"/>
        <v>-8006655851</v>
      </c>
      <c r="E1016" t="s">
        <v>4621</v>
      </c>
      <c r="F1016" t="s">
        <v>4114</v>
      </c>
      <c r="G1016" t="s">
        <v>4115</v>
      </c>
      <c r="H1016">
        <v>9.3816985000000006</v>
      </c>
      <c r="I1016">
        <v>51.775182299999997</v>
      </c>
      <c r="J1016">
        <v>100</v>
      </c>
      <c r="K1016" t="s">
        <v>728</v>
      </c>
      <c r="L1016" t="s">
        <v>728</v>
      </c>
      <c r="M1016" t="s">
        <v>728</v>
      </c>
      <c r="N1016" t="s">
        <v>728</v>
      </c>
      <c r="O1016" t="s">
        <v>728</v>
      </c>
      <c r="P1016" t="s">
        <v>262</v>
      </c>
      <c r="R1016" t="s">
        <v>4620</v>
      </c>
      <c r="T1016" t="s">
        <v>4117</v>
      </c>
      <c r="U1016" t="s">
        <v>4622</v>
      </c>
    </row>
    <row r="1017" spans="1:21" x14ac:dyDescent="0.25">
      <c r="A1017" t="s">
        <v>4623</v>
      </c>
      <c r="B1017" t="s">
        <v>38</v>
      </c>
      <c r="C1017" t="s">
        <v>4624</v>
      </c>
      <c r="D1017">
        <f t="shared" si="26"/>
        <v>-8006655851</v>
      </c>
      <c r="E1017" t="s">
        <v>4563</v>
      </c>
      <c r="F1017" t="s">
        <v>4114</v>
      </c>
      <c r="G1017" t="s">
        <v>4115</v>
      </c>
      <c r="H1017">
        <v>12.6585674285888</v>
      </c>
      <c r="I1017">
        <v>52.421188201723602</v>
      </c>
      <c r="J1017">
        <v>100</v>
      </c>
      <c r="K1017" t="s">
        <v>535</v>
      </c>
      <c r="L1017" t="s">
        <v>535</v>
      </c>
      <c r="M1017" t="s">
        <v>535</v>
      </c>
      <c r="N1017" t="s">
        <v>535</v>
      </c>
      <c r="O1017" t="s">
        <v>535</v>
      </c>
      <c r="P1017" t="s">
        <v>428</v>
      </c>
      <c r="R1017" t="s">
        <v>4624</v>
      </c>
      <c r="T1017" t="s">
        <v>4563</v>
      </c>
      <c r="U1017" t="s">
        <v>4625</v>
      </c>
    </row>
    <row r="1018" spans="1:21" x14ac:dyDescent="0.25">
      <c r="A1018" t="s">
        <v>4626</v>
      </c>
      <c r="B1018" t="s">
        <v>38</v>
      </c>
      <c r="C1018" t="s">
        <v>4627</v>
      </c>
      <c r="D1018">
        <f t="shared" si="26"/>
        <v>-8006655851</v>
      </c>
      <c r="E1018" t="s">
        <v>4628</v>
      </c>
      <c r="F1018" t="s">
        <v>4114</v>
      </c>
      <c r="G1018" t="s">
        <v>4115</v>
      </c>
      <c r="H1018">
        <v>9.7974574000000008</v>
      </c>
      <c r="I1018">
        <v>48.8004715</v>
      </c>
      <c r="J1018">
        <v>100</v>
      </c>
      <c r="K1018" t="s">
        <v>535</v>
      </c>
      <c r="L1018" t="s">
        <v>535</v>
      </c>
      <c r="M1018" t="s">
        <v>535</v>
      </c>
      <c r="N1018" t="s">
        <v>535</v>
      </c>
      <c r="O1018" t="s">
        <v>535</v>
      </c>
      <c r="P1018" t="s">
        <v>535</v>
      </c>
      <c r="R1018" t="s">
        <v>4629</v>
      </c>
      <c r="T1018" t="s">
        <v>4146</v>
      </c>
      <c r="U1018" t="s">
        <v>4630</v>
      </c>
    </row>
    <row r="1019" spans="1:21" x14ac:dyDescent="0.25">
      <c r="A1019" t="s">
        <v>4631</v>
      </c>
      <c r="B1019" t="s">
        <v>22</v>
      </c>
      <c r="C1019" t="s">
        <v>4632</v>
      </c>
      <c r="D1019">
        <f t="shared" si="26"/>
        <v>-8006655851</v>
      </c>
      <c r="E1019" t="s">
        <v>4169</v>
      </c>
      <c r="F1019" t="s">
        <v>4114</v>
      </c>
      <c r="G1019" t="s">
        <v>4115</v>
      </c>
      <c r="H1019">
        <v>11.692081</v>
      </c>
      <c r="I1019">
        <v>48.131926</v>
      </c>
      <c r="J1019">
        <v>100</v>
      </c>
      <c r="K1019" t="s">
        <v>45</v>
      </c>
      <c r="L1019" t="s">
        <v>45</v>
      </c>
      <c r="M1019" t="s">
        <v>45</v>
      </c>
      <c r="N1019" t="s">
        <v>45</v>
      </c>
      <c r="O1019" t="s">
        <v>45</v>
      </c>
      <c r="P1019" t="s">
        <v>45</v>
      </c>
      <c r="R1019" t="s">
        <v>4633</v>
      </c>
      <c r="U1019" t="s">
        <v>4634</v>
      </c>
    </row>
    <row r="1020" spans="1:21" x14ac:dyDescent="0.25">
      <c r="A1020" t="s">
        <v>4635</v>
      </c>
      <c r="B1020" t="s">
        <v>38</v>
      </c>
      <c r="C1020" t="s">
        <v>4636</v>
      </c>
      <c r="D1020">
        <f t="shared" si="26"/>
        <v>-8006655851</v>
      </c>
      <c r="E1020" t="s">
        <v>4637</v>
      </c>
      <c r="F1020" t="s">
        <v>4114</v>
      </c>
      <c r="G1020" t="s">
        <v>4115</v>
      </c>
      <c r="H1020">
        <v>7.6314375999999999</v>
      </c>
      <c r="I1020">
        <v>51.215687299999999</v>
      </c>
      <c r="J1020">
        <v>100</v>
      </c>
      <c r="K1020" t="s">
        <v>45</v>
      </c>
      <c r="L1020" t="s">
        <v>45</v>
      </c>
      <c r="M1020" t="s">
        <v>45</v>
      </c>
      <c r="N1020" t="s">
        <v>45</v>
      </c>
      <c r="O1020" t="s">
        <v>45</v>
      </c>
      <c r="P1020" t="s">
        <v>45</v>
      </c>
      <c r="R1020" t="s">
        <v>4638</v>
      </c>
      <c r="T1020" t="s">
        <v>4117</v>
      </c>
      <c r="U1020" t="s">
        <v>4639</v>
      </c>
    </row>
    <row r="1021" spans="1:21" x14ac:dyDescent="0.25">
      <c r="A1021" t="s">
        <v>4640</v>
      </c>
      <c r="B1021" t="s">
        <v>22</v>
      </c>
      <c r="C1021" t="s">
        <v>4641</v>
      </c>
      <c r="D1021">
        <f t="shared" si="26"/>
        <v>-8006655851</v>
      </c>
      <c r="E1021" t="s">
        <v>4642</v>
      </c>
      <c r="F1021" t="s">
        <v>4114</v>
      </c>
      <c r="G1021" t="s">
        <v>4115</v>
      </c>
      <c r="H1021">
        <v>6.9550001621246302</v>
      </c>
      <c r="I1021">
        <v>51.437871717642402</v>
      </c>
      <c r="J1021">
        <v>100</v>
      </c>
      <c r="K1021" t="s">
        <v>45</v>
      </c>
      <c r="L1021" t="s">
        <v>45</v>
      </c>
      <c r="M1021" t="s">
        <v>45</v>
      </c>
      <c r="N1021" t="s">
        <v>45</v>
      </c>
      <c r="O1021" t="s">
        <v>45</v>
      </c>
      <c r="P1021" t="s">
        <v>45</v>
      </c>
      <c r="R1021" t="s">
        <v>4643</v>
      </c>
      <c r="T1021" t="s">
        <v>4117</v>
      </c>
      <c r="U1021" t="s">
        <v>4644</v>
      </c>
    </row>
    <row r="1022" spans="1:21" x14ac:dyDescent="0.25">
      <c r="A1022" t="s">
        <v>4645</v>
      </c>
      <c r="B1022" t="s">
        <v>22</v>
      </c>
      <c r="C1022" t="s">
        <v>4646</v>
      </c>
      <c r="D1022">
        <f t="shared" si="26"/>
        <v>-8006655851</v>
      </c>
      <c r="E1022" t="s">
        <v>4647</v>
      </c>
      <c r="F1022" t="s">
        <v>4114</v>
      </c>
      <c r="G1022" t="s">
        <v>4115</v>
      </c>
      <c r="H1022">
        <v>9.0302699999999998</v>
      </c>
      <c r="I1022">
        <v>48.704028999999998</v>
      </c>
      <c r="J1022">
        <v>100</v>
      </c>
      <c r="K1022" t="s">
        <v>45</v>
      </c>
      <c r="L1022" t="s">
        <v>45</v>
      </c>
      <c r="M1022" t="s">
        <v>45</v>
      </c>
      <c r="N1022" t="s">
        <v>27</v>
      </c>
      <c r="O1022" t="s">
        <v>45</v>
      </c>
      <c r="P1022" t="s">
        <v>185</v>
      </c>
      <c r="R1022" t="s">
        <v>4648</v>
      </c>
      <c r="T1022" t="s">
        <v>4146</v>
      </c>
      <c r="U1022" t="s">
        <v>4649</v>
      </c>
    </row>
    <row r="1023" spans="1:21" x14ac:dyDescent="0.25">
      <c r="A1023" t="s">
        <v>4650</v>
      </c>
      <c r="B1023" t="s">
        <v>38</v>
      </c>
      <c r="C1023" t="s">
        <v>4651</v>
      </c>
      <c r="D1023">
        <f t="shared" si="26"/>
        <v>-8006655851</v>
      </c>
      <c r="E1023" t="s">
        <v>4652</v>
      </c>
      <c r="F1023" t="s">
        <v>4114</v>
      </c>
      <c r="G1023" t="s">
        <v>4115</v>
      </c>
      <c r="H1023">
        <v>7.8729579999999997</v>
      </c>
      <c r="I1023">
        <v>48.340826999999997</v>
      </c>
      <c r="J1023">
        <v>100</v>
      </c>
      <c r="K1023" t="s">
        <v>535</v>
      </c>
      <c r="L1023" t="s">
        <v>535</v>
      </c>
      <c r="M1023" t="s">
        <v>535</v>
      </c>
      <c r="N1023" t="s">
        <v>535</v>
      </c>
      <c r="O1023" t="s">
        <v>535</v>
      </c>
      <c r="P1023" t="s">
        <v>262</v>
      </c>
      <c r="R1023" t="s">
        <v>4651</v>
      </c>
      <c r="T1023" t="s">
        <v>4146</v>
      </c>
      <c r="U1023" t="s">
        <v>4653</v>
      </c>
    </row>
    <row r="1024" spans="1:21" x14ac:dyDescent="0.25">
      <c r="A1024" t="s">
        <v>4654</v>
      </c>
      <c r="B1024" t="s">
        <v>22</v>
      </c>
      <c r="C1024" t="s">
        <v>4655</v>
      </c>
      <c r="D1024">
        <f t="shared" si="26"/>
        <v>-8006655851</v>
      </c>
      <c r="E1024" t="s">
        <v>4656</v>
      </c>
      <c r="F1024" t="s">
        <v>4114</v>
      </c>
      <c r="G1024" t="s">
        <v>4115</v>
      </c>
      <c r="H1024">
        <v>9.3559160000000006</v>
      </c>
      <c r="I1024">
        <v>52.102620999999999</v>
      </c>
      <c r="J1024">
        <v>100</v>
      </c>
      <c r="K1024" t="s">
        <v>535</v>
      </c>
      <c r="L1024" t="s">
        <v>535</v>
      </c>
      <c r="M1024" t="s">
        <v>535</v>
      </c>
      <c r="N1024" t="s">
        <v>535</v>
      </c>
      <c r="O1024" t="s">
        <v>535</v>
      </c>
      <c r="P1024" t="s">
        <v>535</v>
      </c>
      <c r="R1024" t="s">
        <v>4655</v>
      </c>
      <c r="T1024" t="s">
        <v>4258</v>
      </c>
      <c r="U1024" t="s">
        <v>4657</v>
      </c>
    </row>
    <row r="1025" spans="1:21" x14ac:dyDescent="0.25">
      <c r="A1025" t="s">
        <v>4658</v>
      </c>
      <c r="B1025" t="s">
        <v>38</v>
      </c>
      <c r="C1025" t="s">
        <v>4659</v>
      </c>
      <c r="D1025">
        <f t="shared" si="26"/>
        <v>-8006655851</v>
      </c>
      <c r="E1025" t="s">
        <v>4660</v>
      </c>
      <c r="F1025" t="s">
        <v>4114</v>
      </c>
      <c r="G1025" t="s">
        <v>4115</v>
      </c>
      <c r="H1025">
        <v>13.378883999999999</v>
      </c>
      <c r="I1025">
        <v>54.095954999999996</v>
      </c>
      <c r="J1025">
        <v>100</v>
      </c>
      <c r="K1025" t="s">
        <v>535</v>
      </c>
      <c r="L1025" t="s">
        <v>535</v>
      </c>
      <c r="M1025" t="s">
        <v>535</v>
      </c>
      <c r="N1025" t="s">
        <v>535</v>
      </c>
      <c r="O1025" t="s">
        <v>535</v>
      </c>
      <c r="P1025" t="s">
        <v>262</v>
      </c>
      <c r="R1025" t="s">
        <v>4659</v>
      </c>
      <c r="T1025" t="s">
        <v>4480</v>
      </c>
      <c r="U1025" t="s">
        <v>4661</v>
      </c>
    </row>
    <row r="1026" spans="1:21" x14ac:dyDescent="0.25">
      <c r="A1026" t="s">
        <v>4662</v>
      </c>
      <c r="B1026" t="s">
        <v>22</v>
      </c>
      <c r="C1026" t="s">
        <v>4663</v>
      </c>
      <c r="D1026">
        <f t="shared" si="26"/>
        <v>-8006655851</v>
      </c>
      <c r="E1026" t="s">
        <v>4664</v>
      </c>
      <c r="F1026" t="s">
        <v>4114</v>
      </c>
      <c r="G1026" t="s">
        <v>4115</v>
      </c>
      <c r="H1026">
        <v>8.3646125423278992</v>
      </c>
      <c r="I1026">
        <v>49.6320086119918</v>
      </c>
      <c r="J1026">
        <v>100</v>
      </c>
      <c r="K1026" t="s">
        <v>185</v>
      </c>
      <c r="L1026" t="s">
        <v>185</v>
      </c>
      <c r="M1026" t="s">
        <v>185</v>
      </c>
      <c r="N1026" t="s">
        <v>185</v>
      </c>
      <c r="O1026" t="s">
        <v>185</v>
      </c>
      <c r="P1026" t="s">
        <v>185</v>
      </c>
      <c r="R1026" t="s">
        <v>4665</v>
      </c>
      <c r="T1026" t="s">
        <v>4129</v>
      </c>
      <c r="U1026" t="s">
        <v>4666</v>
      </c>
    </row>
    <row r="1027" spans="1:21" x14ac:dyDescent="0.25">
      <c r="A1027" t="s">
        <v>4667</v>
      </c>
      <c r="B1027" t="s">
        <v>38</v>
      </c>
      <c r="C1027" t="s">
        <v>4668</v>
      </c>
      <c r="D1027">
        <f t="shared" ref="D1027:D1058" si="27">49-8006655900</f>
        <v>-8006655851</v>
      </c>
      <c r="E1027" t="s">
        <v>4669</v>
      </c>
      <c r="F1027" t="s">
        <v>4114</v>
      </c>
      <c r="G1027" t="s">
        <v>4115</v>
      </c>
      <c r="H1027">
        <v>10.152172999999999</v>
      </c>
      <c r="I1027">
        <v>48.679735000000001</v>
      </c>
      <c r="J1027">
        <v>100</v>
      </c>
      <c r="K1027" t="s">
        <v>185</v>
      </c>
      <c r="L1027" t="s">
        <v>185</v>
      </c>
      <c r="M1027" t="s">
        <v>185</v>
      </c>
      <c r="N1027" t="s">
        <v>185</v>
      </c>
      <c r="O1027" t="s">
        <v>185</v>
      </c>
      <c r="P1027" t="s">
        <v>185</v>
      </c>
      <c r="R1027" t="s">
        <v>4670</v>
      </c>
      <c r="T1027" t="s">
        <v>4146</v>
      </c>
      <c r="U1027" t="s">
        <v>4671</v>
      </c>
    </row>
    <row r="1028" spans="1:21" x14ac:dyDescent="0.25">
      <c r="A1028" t="s">
        <v>4672</v>
      </c>
      <c r="B1028" t="s">
        <v>22</v>
      </c>
      <c r="C1028" t="s">
        <v>4673</v>
      </c>
      <c r="D1028">
        <f t="shared" si="27"/>
        <v>-8006655851</v>
      </c>
      <c r="E1028" t="s">
        <v>4674</v>
      </c>
      <c r="F1028" t="s">
        <v>4114</v>
      </c>
      <c r="G1028" t="s">
        <v>4115</v>
      </c>
      <c r="H1028">
        <v>6.1377309999999996</v>
      </c>
      <c r="I1028">
        <v>51.787069000000002</v>
      </c>
      <c r="J1028">
        <v>100</v>
      </c>
      <c r="K1028" t="s">
        <v>535</v>
      </c>
      <c r="L1028" t="s">
        <v>535</v>
      </c>
      <c r="M1028" t="s">
        <v>535</v>
      </c>
      <c r="N1028" t="s">
        <v>535</v>
      </c>
      <c r="O1028" t="s">
        <v>535</v>
      </c>
      <c r="P1028" t="s">
        <v>428</v>
      </c>
      <c r="R1028" t="s">
        <v>4673</v>
      </c>
      <c r="T1028" t="s">
        <v>4117</v>
      </c>
      <c r="U1028" t="s">
        <v>4675</v>
      </c>
    </row>
    <row r="1029" spans="1:21" x14ac:dyDescent="0.25">
      <c r="A1029" t="s">
        <v>4676</v>
      </c>
      <c r="B1029" t="s">
        <v>38</v>
      </c>
      <c r="C1029" t="s">
        <v>4677</v>
      </c>
      <c r="D1029">
        <f t="shared" si="27"/>
        <v>-8006655851</v>
      </c>
      <c r="E1029" t="s">
        <v>4678</v>
      </c>
      <c r="F1029" t="s">
        <v>4114</v>
      </c>
      <c r="G1029" t="s">
        <v>4115</v>
      </c>
      <c r="H1029">
        <v>6.9255079999999998</v>
      </c>
      <c r="I1029">
        <v>51.522227999999998</v>
      </c>
      <c r="J1029">
        <v>100</v>
      </c>
      <c r="K1029" t="s">
        <v>745</v>
      </c>
      <c r="L1029" t="s">
        <v>745</v>
      </c>
      <c r="M1029" t="s">
        <v>745</v>
      </c>
      <c r="N1029" t="s">
        <v>745</v>
      </c>
      <c r="O1029" t="s">
        <v>745</v>
      </c>
      <c r="P1029" t="s">
        <v>553</v>
      </c>
      <c r="R1029" t="s">
        <v>4677</v>
      </c>
      <c r="T1029" t="s">
        <v>4117</v>
      </c>
      <c r="U1029" t="s">
        <v>4679</v>
      </c>
    </row>
    <row r="1030" spans="1:21" x14ac:dyDescent="0.25">
      <c r="A1030" t="s">
        <v>4680</v>
      </c>
      <c r="B1030" t="s">
        <v>22</v>
      </c>
      <c r="C1030" t="s">
        <v>4681</v>
      </c>
      <c r="D1030">
        <f t="shared" si="27"/>
        <v>-8006655851</v>
      </c>
      <c r="E1030" t="s">
        <v>4682</v>
      </c>
      <c r="F1030" t="s">
        <v>4114</v>
      </c>
      <c r="G1030" t="s">
        <v>4115</v>
      </c>
      <c r="H1030">
        <v>9.7360019999999992</v>
      </c>
      <c r="I1030">
        <v>52.374881999999999</v>
      </c>
      <c r="J1030">
        <v>100</v>
      </c>
      <c r="K1030" t="s">
        <v>45</v>
      </c>
      <c r="L1030" t="s">
        <v>45</v>
      </c>
      <c r="M1030" t="s">
        <v>45</v>
      </c>
      <c r="N1030" t="s">
        <v>45</v>
      </c>
      <c r="O1030" t="s">
        <v>45</v>
      </c>
      <c r="P1030" t="s">
        <v>45</v>
      </c>
      <c r="R1030" t="s">
        <v>4681</v>
      </c>
      <c r="T1030" t="s">
        <v>4258</v>
      </c>
      <c r="U1030" t="s">
        <v>4683</v>
      </c>
    </row>
    <row r="1031" spans="1:21" x14ac:dyDescent="0.25">
      <c r="A1031" t="s">
        <v>4684</v>
      </c>
      <c r="B1031" t="s">
        <v>38</v>
      </c>
      <c r="C1031" t="s">
        <v>4685</v>
      </c>
      <c r="D1031">
        <f t="shared" si="27"/>
        <v>-8006655851</v>
      </c>
      <c r="E1031" t="s">
        <v>4686</v>
      </c>
      <c r="F1031" t="s">
        <v>4114</v>
      </c>
      <c r="G1031" t="s">
        <v>4115</v>
      </c>
      <c r="H1031">
        <v>11.053077642852699</v>
      </c>
      <c r="I1031">
        <v>51.8957559325831</v>
      </c>
      <c r="J1031">
        <v>100</v>
      </c>
      <c r="K1031" t="s">
        <v>535</v>
      </c>
      <c r="L1031" t="s">
        <v>535</v>
      </c>
      <c r="M1031" t="s">
        <v>535</v>
      </c>
      <c r="N1031" t="s">
        <v>535</v>
      </c>
      <c r="O1031" t="s">
        <v>535</v>
      </c>
      <c r="P1031" t="s">
        <v>428</v>
      </c>
      <c r="R1031" t="s">
        <v>4685</v>
      </c>
      <c r="T1031" t="s">
        <v>4207</v>
      </c>
      <c r="U1031" t="s">
        <v>4687</v>
      </c>
    </row>
    <row r="1032" spans="1:21" x14ac:dyDescent="0.25">
      <c r="A1032" t="s">
        <v>4688</v>
      </c>
      <c r="B1032" t="s">
        <v>22</v>
      </c>
      <c r="C1032" t="s">
        <v>4689</v>
      </c>
      <c r="D1032">
        <f t="shared" si="27"/>
        <v>-8006655851</v>
      </c>
      <c r="E1032" t="s">
        <v>4690</v>
      </c>
      <c r="F1032" t="s">
        <v>4114</v>
      </c>
      <c r="G1032" t="s">
        <v>4115</v>
      </c>
      <c r="H1032">
        <v>7.6610370000000003</v>
      </c>
      <c r="I1032">
        <v>47.613261999999999</v>
      </c>
      <c r="J1032">
        <v>100</v>
      </c>
      <c r="K1032" t="s">
        <v>774</v>
      </c>
      <c r="L1032" t="s">
        <v>774</v>
      </c>
      <c r="M1032" t="s">
        <v>774</v>
      </c>
      <c r="N1032" t="s">
        <v>774</v>
      </c>
      <c r="O1032" t="s">
        <v>774</v>
      </c>
      <c r="P1032" t="s">
        <v>165</v>
      </c>
      <c r="R1032" t="s">
        <v>4689</v>
      </c>
      <c r="T1032" t="s">
        <v>4146</v>
      </c>
      <c r="U1032" t="s">
        <v>4691</v>
      </c>
    </row>
    <row r="1033" spans="1:21" x14ac:dyDescent="0.25">
      <c r="A1033" t="s">
        <v>4692</v>
      </c>
      <c r="B1033" t="s">
        <v>22</v>
      </c>
      <c r="C1033" t="s">
        <v>4693</v>
      </c>
      <c r="D1033">
        <f t="shared" si="27"/>
        <v>-8006655851</v>
      </c>
      <c r="E1033" t="s">
        <v>4694</v>
      </c>
      <c r="F1033" t="s">
        <v>4114</v>
      </c>
      <c r="G1033" t="s">
        <v>4115</v>
      </c>
      <c r="H1033">
        <v>7.0997560000000002</v>
      </c>
      <c r="I1033">
        <v>51.507444</v>
      </c>
      <c r="J1033">
        <v>110</v>
      </c>
      <c r="K1033" t="s">
        <v>535</v>
      </c>
      <c r="L1033" t="s">
        <v>535</v>
      </c>
      <c r="M1033" t="s">
        <v>535</v>
      </c>
      <c r="N1033" t="s">
        <v>535</v>
      </c>
      <c r="O1033" t="s">
        <v>535</v>
      </c>
      <c r="P1033" t="s">
        <v>535</v>
      </c>
      <c r="R1033" t="s">
        <v>4695</v>
      </c>
      <c r="T1033" t="s">
        <v>4117</v>
      </c>
      <c r="U1033" t="s">
        <v>4696</v>
      </c>
    </row>
    <row r="1034" spans="1:21" x14ac:dyDescent="0.25">
      <c r="A1034" t="s">
        <v>4697</v>
      </c>
      <c r="B1034" t="s">
        <v>22</v>
      </c>
      <c r="C1034" t="s">
        <v>4698</v>
      </c>
      <c r="D1034">
        <f t="shared" si="27"/>
        <v>-8006655851</v>
      </c>
      <c r="E1034" t="s">
        <v>4699</v>
      </c>
      <c r="F1034" t="s">
        <v>4114</v>
      </c>
      <c r="G1034" t="s">
        <v>4115</v>
      </c>
      <c r="H1034">
        <v>10.231019999999999</v>
      </c>
      <c r="I1034">
        <v>50.044285000000002</v>
      </c>
      <c r="J1034">
        <v>100</v>
      </c>
      <c r="K1034" t="s">
        <v>535</v>
      </c>
      <c r="L1034" t="s">
        <v>535</v>
      </c>
      <c r="M1034" t="s">
        <v>535</v>
      </c>
      <c r="N1034" t="s">
        <v>535</v>
      </c>
      <c r="O1034" t="s">
        <v>535</v>
      </c>
      <c r="P1034" t="s">
        <v>184</v>
      </c>
      <c r="R1034" t="s">
        <v>4698</v>
      </c>
      <c r="T1034" t="s">
        <v>4123</v>
      </c>
      <c r="U1034" t="s">
        <v>4700</v>
      </c>
    </row>
    <row r="1035" spans="1:21" x14ac:dyDescent="0.25">
      <c r="A1035" t="s">
        <v>4701</v>
      </c>
      <c r="B1035" t="s">
        <v>38</v>
      </c>
      <c r="C1035" t="s">
        <v>4702</v>
      </c>
      <c r="D1035">
        <f t="shared" si="27"/>
        <v>-8006655851</v>
      </c>
      <c r="E1035" t="s">
        <v>4237</v>
      </c>
      <c r="F1035" t="s">
        <v>4114</v>
      </c>
      <c r="G1035" t="s">
        <v>4115</v>
      </c>
      <c r="H1035">
        <v>7.5932320000000004</v>
      </c>
      <c r="I1035">
        <v>50.359183999999999</v>
      </c>
      <c r="J1035">
        <v>100</v>
      </c>
      <c r="K1035" t="s">
        <v>535</v>
      </c>
      <c r="L1035" t="s">
        <v>535</v>
      </c>
      <c r="M1035" t="s">
        <v>535</v>
      </c>
      <c r="N1035" t="s">
        <v>535</v>
      </c>
      <c r="O1035" t="s">
        <v>45</v>
      </c>
      <c r="P1035" t="s">
        <v>45</v>
      </c>
      <c r="R1035" t="s">
        <v>4702</v>
      </c>
      <c r="T1035" t="s">
        <v>4129</v>
      </c>
      <c r="U1035" t="s">
        <v>4703</v>
      </c>
    </row>
    <row r="1036" spans="1:21" x14ac:dyDescent="0.25">
      <c r="A1036" t="s">
        <v>4704</v>
      </c>
      <c r="B1036" t="s">
        <v>22</v>
      </c>
      <c r="C1036" t="s">
        <v>4705</v>
      </c>
      <c r="D1036">
        <f t="shared" si="27"/>
        <v>-8006655851</v>
      </c>
      <c r="E1036" t="s">
        <v>4287</v>
      </c>
      <c r="F1036" t="s">
        <v>4114</v>
      </c>
      <c r="G1036" t="s">
        <v>4115</v>
      </c>
      <c r="H1036">
        <v>11.102245999999999</v>
      </c>
      <c r="I1036">
        <v>49.469597999999998</v>
      </c>
      <c r="J1036">
        <v>100</v>
      </c>
      <c r="K1036" t="s">
        <v>185</v>
      </c>
      <c r="L1036" t="s">
        <v>185</v>
      </c>
      <c r="M1036" t="s">
        <v>185</v>
      </c>
      <c r="N1036" t="s">
        <v>185</v>
      </c>
      <c r="O1036" t="s">
        <v>185</v>
      </c>
      <c r="P1036" t="s">
        <v>185</v>
      </c>
      <c r="R1036" t="s">
        <v>4706</v>
      </c>
      <c r="T1036" t="s">
        <v>4123</v>
      </c>
      <c r="U1036" t="s">
        <v>4707</v>
      </c>
    </row>
    <row r="1037" spans="1:21" x14ac:dyDescent="0.25">
      <c r="A1037" t="s">
        <v>4708</v>
      </c>
      <c r="B1037" t="s">
        <v>38</v>
      </c>
      <c r="C1037" t="s">
        <v>4709</v>
      </c>
      <c r="D1037">
        <f t="shared" si="27"/>
        <v>-8006655851</v>
      </c>
      <c r="E1037" t="s">
        <v>4710</v>
      </c>
      <c r="F1037" t="s">
        <v>4114</v>
      </c>
      <c r="G1037" t="s">
        <v>4115</v>
      </c>
      <c r="H1037">
        <v>11.4513637525703</v>
      </c>
      <c r="I1037">
        <v>50.108385788063003</v>
      </c>
      <c r="J1037">
        <v>100</v>
      </c>
      <c r="K1037" t="s">
        <v>165</v>
      </c>
      <c r="L1037" t="s">
        <v>165</v>
      </c>
      <c r="M1037" t="s">
        <v>165</v>
      </c>
      <c r="N1037" t="s">
        <v>165</v>
      </c>
      <c r="O1037" t="s">
        <v>165</v>
      </c>
      <c r="P1037" t="s">
        <v>166</v>
      </c>
      <c r="R1037" t="s">
        <v>4711</v>
      </c>
      <c r="T1037" t="s">
        <v>4123</v>
      </c>
      <c r="U1037" t="s">
        <v>4712</v>
      </c>
    </row>
    <row r="1038" spans="1:21" x14ac:dyDescent="0.25">
      <c r="A1038" t="s">
        <v>4713</v>
      </c>
      <c r="B1038" t="s">
        <v>22</v>
      </c>
      <c r="C1038" t="s">
        <v>4714</v>
      </c>
      <c r="D1038">
        <f t="shared" si="27"/>
        <v>-8006655851</v>
      </c>
      <c r="E1038" t="s">
        <v>4715</v>
      </c>
      <c r="F1038" t="s">
        <v>4114</v>
      </c>
      <c r="G1038" t="s">
        <v>4115</v>
      </c>
      <c r="H1038">
        <v>8.7683773040771502</v>
      </c>
      <c r="I1038">
        <v>50.807128005177098</v>
      </c>
      <c r="J1038">
        <v>100</v>
      </c>
      <c r="K1038" t="s">
        <v>535</v>
      </c>
      <c r="L1038" t="s">
        <v>535</v>
      </c>
      <c r="M1038" t="s">
        <v>535</v>
      </c>
      <c r="N1038" t="s">
        <v>535</v>
      </c>
      <c r="O1038" t="s">
        <v>535</v>
      </c>
      <c r="P1038" t="s">
        <v>535</v>
      </c>
      <c r="R1038" t="s">
        <v>4716</v>
      </c>
      <c r="U1038" t="s">
        <v>4717</v>
      </c>
    </row>
    <row r="1039" spans="1:21" x14ac:dyDescent="0.25">
      <c r="A1039" t="s">
        <v>4718</v>
      </c>
      <c r="B1039" t="s">
        <v>38</v>
      </c>
      <c r="C1039" t="s">
        <v>4719</v>
      </c>
      <c r="D1039">
        <f t="shared" si="27"/>
        <v>-8006655851</v>
      </c>
      <c r="E1039" t="s">
        <v>4720</v>
      </c>
      <c r="F1039" t="s">
        <v>4114</v>
      </c>
      <c r="G1039" t="s">
        <v>4115</v>
      </c>
      <c r="H1039">
        <v>11.020971536636299</v>
      </c>
      <c r="I1039">
        <v>49.328730086768701</v>
      </c>
      <c r="J1039">
        <v>100</v>
      </c>
      <c r="K1039" t="s">
        <v>535</v>
      </c>
      <c r="L1039" t="s">
        <v>535</v>
      </c>
      <c r="M1039" t="s">
        <v>535</v>
      </c>
      <c r="N1039" t="s">
        <v>535</v>
      </c>
      <c r="O1039" t="s">
        <v>535</v>
      </c>
      <c r="P1039" t="s">
        <v>428</v>
      </c>
      <c r="R1039" t="s">
        <v>4721</v>
      </c>
      <c r="T1039" t="s">
        <v>4123</v>
      </c>
      <c r="U1039" t="s">
        <v>4722</v>
      </c>
    </row>
    <row r="1040" spans="1:21" x14ac:dyDescent="0.25">
      <c r="A1040" t="s">
        <v>4723</v>
      </c>
      <c r="B1040" t="s">
        <v>22</v>
      </c>
      <c r="C1040" t="s">
        <v>4724</v>
      </c>
      <c r="D1040">
        <f t="shared" si="27"/>
        <v>-8006655851</v>
      </c>
      <c r="E1040" t="s">
        <v>4725</v>
      </c>
      <c r="F1040" t="s">
        <v>4114</v>
      </c>
      <c r="G1040" t="s">
        <v>4115</v>
      </c>
      <c r="H1040">
        <v>7.9613759999999996</v>
      </c>
      <c r="I1040">
        <v>51.452235000000002</v>
      </c>
      <c r="J1040">
        <v>100</v>
      </c>
      <c r="K1040" t="s">
        <v>535</v>
      </c>
      <c r="L1040" t="s">
        <v>535</v>
      </c>
      <c r="M1040" t="s">
        <v>535</v>
      </c>
      <c r="N1040" t="s">
        <v>535</v>
      </c>
      <c r="O1040" t="s">
        <v>535</v>
      </c>
      <c r="P1040" t="s">
        <v>428</v>
      </c>
      <c r="R1040" t="s">
        <v>4724</v>
      </c>
      <c r="T1040" t="s">
        <v>4117</v>
      </c>
      <c r="U1040" t="s">
        <v>4726</v>
      </c>
    </row>
    <row r="1041" spans="1:21" x14ac:dyDescent="0.25">
      <c r="A1041" t="s">
        <v>4727</v>
      </c>
      <c r="B1041" t="s">
        <v>22</v>
      </c>
      <c r="C1041" t="s">
        <v>4728</v>
      </c>
      <c r="D1041">
        <f t="shared" si="27"/>
        <v>-8006655851</v>
      </c>
      <c r="E1041" t="s">
        <v>4729</v>
      </c>
      <c r="F1041" t="s">
        <v>4114</v>
      </c>
      <c r="G1041" t="s">
        <v>4115</v>
      </c>
      <c r="H1041">
        <v>10.546918</v>
      </c>
      <c r="I1041">
        <v>52.486592000000002</v>
      </c>
      <c r="J1041">
        <v>100</v>
      </c>
      <c r="K1041" t="s">
        <v>184</v>
      </c>
      <c r="L1041" t="s">
        <v>184</v>
      </c>
      <c r="M1041" t="s">
        <v>184</v>
      </c>
      <c r="N1041" t="s">
        <v>184</v>
      </c>
      <c r="O1041" t="s">
        <v>184</v>
      </c>
      <c r="P1041" t="s">
        <v>166</v>
      </c>
      <c r="R1041" t="s">
        <v>4728</v>
      </c>
      <c r="T1041" t="s">
        <v>4258</v>
      </c>
      <c r="U1041" t="s">
        <v>4730</v>
      </c>
    </row>
    <row r="1042" spans="1:21" x14ac:dyDescent="0.25">
      <c r="A1042" t="s">
        <v>4731</v>
      </c>
      <c r="B1042" t="s">
        <v>22</v>
      </c>
      <c r="C1042" t="s">
        <v>4732</v>
      </c>
      <c r="D1042">
        <f t="shared" si="27"/>
        <v>-8006655851</v>
      </c>
      <c r="E1042" t="s">
        <v>4733</v>
      </c>
      <c r="F1042" t="s">
        <v>4114</v>
      </c>
      <c r="G1042" t="s">
        <v>4115</v>
      </c>
      <c r="H1042">
        <v>8.6968580000000006</v>
      </c>
      <c r="I1042">
        <v>48.892463999999997</v>
      </c>
      <c r="J1042">
        <v>100</v>
      </c>
      <c r="K1042" t="s">
        <v>45</v>
      </c>
      <c r="L1042" t="s">
        <v>45</v>
      </c>
      <c r="M1042" t="s">
        <v>45</v>
      </c>
      <c r="N1042" t="s">
        <v>45</v>
      </c>
      <c r="O1042" t="s">
        <v>45</v>
      </c>
      <c r="P1042" t="s">
        <v>535</v>
      </c>
      <c r="R1042" t="s">
        <v>4734</v>
      </c>
      <c r="U1042" t="s">
        <v>4735</v>
      </c>
    </row>
    <row r="1043" spans="1:21" x14ac:dyDescent="0.25">
      <c r="A1043" t="s">
        <v>4736</v>
      </c>
      <c r="B1043" t="s">
        <v>22</v>
      </c>
      <c r="C1043" t="s">
        <v>4737</v>
      </c>
      <c r="D1043">
        <f t="shared" si="27"/>
        <v>-8006655851</v>
      </c>
      <c r="E1043" t="s">
        <v>4738</v>
      </c>
      <c r="F1043" t="s">
        <v>4114</v>
      </c>
      <c r="G1043" t="s">
        <v>4115</v>
      </c>
      <c r="H1043">
        <v>7.4613579999999997</v>
      </c>
      <c r="I1043">
        <v>53.231589999999997</v>
      </c>
      <c r="J1043">
        <v>100</v>
      </c>
      <c r="K1043" t="s">
        <v>745</v>
      </c>
      <c r="L1043" t="s">
        <v>745</v>
      </c>
      <c r="M1043" t="s">
        <v>745</v>
      </c>
      <c r="N1043" t="s">
        <v>745</v>
      </c>
      <c r="O1043" t="s">
        <v>745</v>
      </c>
      <c r="P1043" t="s">
        <v>428</v>
      </c>
      <c r="R1043" t="s">
        <v>4737</v>
      </c>
      <c r="T1043" t="s">
        <v>4258</v>
      </c>
      <c r="U1043" t="s">
        <v>4739</v>
      </c>
    </row>
    <row r="1044" spans="1:21" x14ac:dyDescent="0.25">
      <c r="A1044" t="s">
        <v>4740</v>
      </c>
      <c r="B1044" t="s">
        <v>22</v>
      </c>
      <c r="C1044" t="s">
        <v>4741</v>
      </c>
      <c r="D1044">
        <f t="shared" si="27"/>
        <v>-8006655851</v>
      </c>
      <c r="E1044" t="s">
        <v>4742</v>
      </c>
      <c r="F1044" t="s">
        <v>4114</v>
      </c>
      <c r="G1044" t="s">
        <v>4115</v>
      </c>
      <c r="H1044">
        <v>7.3169659999999999</v>
      </c>
      <c r="I1044">
        <v>52.520789999999998</v>
      </c>
      <c r="J1044">
        <v>100</v>
      </c>
      <c r="K1044" t="s">
        <v>535</v>
      </c>
      <c r="L1044" t="s">
        <v>535</v>
      </c>
      <c r="M1044" t="s">
        <v>535</v>
      </c>
      <c r="N1044" t="s">
        <v>535</v>
      </c>
      <c r="O1044" t="s">
        <v>535</v>
      </c>
      <c r="P1044" t="s">
        <v>535</v>
      </c>
      <c r="R1044" t="s">
        <v>4741</v>
      </c>
      <c r="T1044" t="s">
        <v>4258</v>
      </c>
      <c r="U1044" t="s">
        <v>4743</v>
      </c>
    </row>
    <row r="1045" spans="1:21" x14ac:dyDescent="0.25">
      <c r="A1045" t="s">
        <v>4744</v>
      </c>
      <c r="B1045" t="s">
        <v>38</v>
      </c>
      <c r="C1045" t="s">
        <v>4745</v>
      </c>
      <c r="D1045">
        <f t="shared" si="27"/>
        <v>-8006655851</v>
      </c>
      <c r="E1045" t="s">
        <v>4746</v>
      </c>
      <c r="F1045" t="s">
        <v>4114</v>
      </c>
      <c r="G1045" t="s">
        <v>4115</v>
      </c>
      <c r="H1045">
        <v>8.3799543055572503</v>
      </c>
      <c r="I1045">
        <v>51.907503157630799</v>
      </c>
      <c r="J1045">
        <v>100</v>
      </c>
      <c r="K1045" t="s">
        <v>535</v>
      </c>
      <c r="L1045" t="s">
        <v>535</v>
      </c>
      <c r="M1045" t="s">
        <v>535</v>
      </c>
      <c r="N1045" t="s">
        <v>535</v>
      </c>
      <c r="O1045" t="s">
        <v>535</v>
      </c>
      <c r="P1045" t="s">
        <v>428</v>
      </c>
      <c r="R1045" t="s">
        <v>4745</v>
      </c>
      <c r="T1045" t="s">
        <v>4117</v>
      </c>
      <c r="U1045" t="s">
        <v>4747</v>
      </c>
    </row>
    <row r="1046" spans="1:21" x14ac:dyDescent="0.25">
      <c r="A1046" t="s">
        <v>4748</v>
      </c>
      <c r="B1046" t="s">
        <v>38</v>
      </c>
      <c r="C1046" t="s">
        <v>4749</v>
      </c>
      <c r="D1046">
        <f t="shared" si="27"/>
        <v>-8006655851</v>
      </c>
      <c r="E1046" t="s">
        <v>4750</v>
      </c>
      <c r="F1046" t="s">
        <v>4114</v>
      </c>
      <c r="G1046" t="s">
        <v>4115</v>
      </c>
      <c r="H1046">
        <v>8.6292659999999994</v>
      </c>
      <c r="I1046">
        <v>53.048608000000002</v>
      </c>
      <c r="J1046">
        <v>100</v>
      </c>
      <c r="K1046" t="s">
        <v>428</v>
      </c>
      <c r="L1046" t="s">
        <v>428</v>
      </c>
      <c r="M1046" t="s">
        <v>428</v>
      </c>
      <c r="N1046" t="s">
        <v>428</v>
      </c>
      <c r="O1046" t="s">
        <v>428</v>
      </c>
      <c r="P1046" t="s">
        <v>622</v>
      </c>
      <c r="R1046" t="s">
        <v>4749</v>
      </c>
      <c r="T1046" t="s">
        <v>4258</v>
      </c>
      <c r="U1046" t="s">
        <v>4751</v>
      </c>
    </row>
    <row r="1047" spans="1:21" x14ac:dyDescent="0.25">
      <c r="A1047" t="s">
        <v>4752</v>
      </c>
      <c r="B1047" t="s">
        <v>22</v>
      </c>
      <c r="C1047" t="s">
        <v>4753</v>
      </c>
      <c r="D1047">
        <f t="shared" si="27"/>
        <v>-8006655851</v>
      </c>
      <c r="E1047" t="s">
        <v>4754</v>
      </c>
      <c r="F1047" t="s">
        <v>4114</v>
      </c>
      <c r="G1047" t="s">
        <v>4115</v>
      </c>
      <c r="H1047">
        <v>9.4806489999999997</v>
      </c>
      <c r="I1047">
        <v>47.651291000000001</v>
      </c>
      <c r="J1047">
        <v>100</v>
      </c>
      <c r="K1047" t="s">
        <v>535</v>
      </c>
      <c r="L1047" t="s">
        <v>535</v>
      </c>
      <c r="M1047" t="s">
        <v>535</v>
      </c>
      <c r="N1047" t="s">
        <v>535</v>
      </c>
      <c r="O1047" t="s">
        <v>535</v>
      </c>
      <c r="P1047" t="s">
        <v>535</v>
      </c>
      <c r="R1047" t="s">
        <v>4753</v>
      </c>
      <c r="T1047" t="s">
        <v>4146</v>
      </c>
      <c r="U1047" t="s">
        <v>4755</v>
      </c>
    </row>
    <row r="1048" spans="1:21" x14ac:dyDescent="0.25">
      <c r="A1048" t="s">
        <v>4756</v>
      </c>
      <c r="B1048" t="s">
        <v>32</v>
      </c>
      <c r="C1048" t="s">
        <v>4757</v>
      </c>
      <c r="D1048">
        <f t="shared" si="27"/>
        <v>-8006655851</v>
      </c>
      <c r="E1048" t="s">
        <v>4344</v>
      </c>
      <c r="F1048" t="s">
        <v>4114</v>
      </c>
      <c r="G1048" t="s">
        <v>4115</v>
      </c>
      <c r="H1048">
        <v>10.002143999999999</v>
      </c>
      <c r="I1048">
        <v>53.551935999999998</v>
      </c>
      <c r="J1048">
        <v>100</v>
      </c>
      <c r="K1048" t="s">
        <v>45</v>
      </c>
      <c r="L1048" t="s">
        <v>45</v>
      </c>
      <c r="M1048" t="s">
        <v>45</v>
      </c>
      <c r="N1048" t="s">
        <v>536</v>
      </c>
      <c r="O1048" t="s">
        <v>536</v>
      </c>
      <c r="P1048" t="s">
        <v>45</v>
      </c>
      <c r="R1048" t="s">
        <v>4757</v>
      </c>
      <c r="T1048" t="s">
        <v>4344</v>
      </c>
      <c r="U1048" t="s">
        <v>4758</v>
      </c>
    </row>
    <row r="1049" spans="1:21" x14ac:dyDescent="0.25">
      <c r="A1049" t="s">
        <v>4759</v>
      </c>
      <c r="B1049" t="s">
        <v>22</v>
      </c>
      <c r="C1049" t="s">
        <v>4760</v>
      </c>
      <c r="D1049">
        <f t="shared" si="27"/>
        <v>-8006655851</v>
      </c>
      <c r="E1049" t="s">
        <v>4344</v>
      </c>
      <c r="F1049" t="s">
        <v>4114</v>
      </c>
      <c r="G1049" t="s">
        <v>4115</v>
      </c>
      <c r="H1049">
        <v>10.031103999999999</v>
      </c>
      <c r="I1049">
        <v>53.572972</v>
      </c>
      <c r="J1049">
        <v>100</v>
      </c>
      <c r="K1049" t="s">
        <v>45</v>
      </c>
      <c r="L1049" t="s">
        <v>45</v>
      </c>
      <c r="M1049" t="s">
        <v>45</v>
      </c>
      <c r="N1049" t="s">
        <v>45</v>
      </c>
      <c r="O1049" t="s">
        <v>45</v>
      </c>
      <c r="P1049" t="s">
        <v>45</v>
      </c>
      <c r="R1049" t="s">
        <v>4761</v>
      </c>
      <c r="T1049" t="s">
        <v>4344</v>
      </c>
      <c r="U1049" t="s">
        <v>4762</v>
      </c>
    </row>
    <row r="1050" spans="1:21" x14ac:dyDescent="0.25">
      <c r="A1050" t="s">
        <v>4763</v>
      </c>
      <c r="B1050" t="s">
        <v>2322</v>
      </c>
      <c r="C1050" t="s">
        <v>4764</v>
      </c>
      <c r="D1050">
        <f t="shared" si="27"/>
        <v>-8006655851</v>
      </c>
      <c r="E1050" t="s">
        <v>4344</v>
      </c>
      <c r="F1050" t="s">
        <v>4114</v>
      </c>
      <c r="G1050" t="s">
        <v>4115</v>
      </c>
      <c r="H1050">
        <v>9.9903929999999992</v>
      </c>
      <c r="I1050">
        <v>53.553063999999999</v>
      </c>
      <c r="J1050">
        <v>110</v>
      </c>
      <c r="K1050" t="s">
        <v>45</v>
      </c>
      <c r="L1050" t="s">
        <v>45</v>
      </c>
      <c r="M1050" t="s">
        <v>45</v>
      </c>
      <c r="N1050" t="s">
        <v>45</v>
      </c>
      <c r="O1050" t="s">
        <v>45</v>
      </c>
      <c r="P1050" t="s">
        <v>45</v>
      </c>
      <c r="R1050" t="s">
        <v>4765</v>
      </c>
      <c r="T1050" t="s">
        <v>4344</v>
      </c>
      <c r="U1050" t="s">
        <v>4766</v>
      </c>
    </row>
    <row r="1051" spans="1:21" x14ac:dyDescent="0.25">
      <c r="A1051" t="s">
        <v>4767</v>
      </c>
      <c r="B1051" t="s">
        <v>22</v>
      </c>
      <c r="C1051" t="s">
        <v>4768</v>
      </c>
      <c r="D1051">
        <f t="shared" si="27"/>
        <v>-8006655851</v>
      </c>
      <c r="E1051" t="s">
        <v>4769</v>
      </c>
      <c r="F1051" t="s">
        <v>4114</v>
      </c>
      <c r="G1051" t="s">
        <v>4115</v>
      </c>
      <c r="H1051">
        <v>7.1519360000000001</v>
      </c>
      <c r="I1051">
        <v>50.682597999999999</v>
      </c>
      <c r="J1051">
        <v>100</v>
      </c>
      <c r="K1051" t="s">
        <v>774</v>
      </c>
      <c r="L1051" t="s">
        <v>774</v>
      </c>
      <c r="M1051" t="s">
        <v>774</v>
      </c>
      <c r="N1051" t="s">
        <v>774</v>
      </c>
      <c r="O1051" t="s">
        <v>774</v>
      </c>
      <c r="P1051" t="s">
        <v>428</v>
      </c>
      <c r="R1051" t="s">
        <v>4770</v>
      </c>
      <c r="T1051" t="s">
        <v>4117</v>
      </c>
      <c r="U1051" t="s">
        <v>4771</v>
      </c>
    </row>
    <row r="1052" spans="1:21" x14ac:dyDescent="0.25">
      <c r="A1052" t="s">
        <v>4772</v>
      </c>
      <c r="B1052" t="s">
        <v>38</v>
      </c>
      <c r="C1052" t="s">
        <v>4773</v>
      </c>
      <c r="D1052">
        <f t="shared" si="27"/>
        <v>-8006655851</v>
      </c>
      <c r="E1052" t="s">
        <v>4417</v>
      </c>
      <c r="F1052" t="s">
        <v>4114</v>
      </c>
      <c r="G1052" t="s">
        <v>4115</v>
      </c>
      <c r="H1052">
        <v>9.2210070000000002</v>
      </c>
      <c r="I1052">
        <v>48.801670999999999</v>
      </c>
      <c r="J1052">
        <v>110</v>
      </c>
      <c r="K1052" t="s">
        <v>185</v>
      </c>
      <c r="L1052" t="s">
        <v>185</v>
      </c>
      <c r="M1052" t="s">
        <v>185</v>
      </c>
      <c r="N1052" t="s">
        <v>185</v>
      </c>
      <c r="O1052" t="s">
        <v>185</v>
      </c>
      <c r="P1052" t="s">
        <v>185</v>
      </c>
      <c r="R1052" t="s">
        <v>4774</v>
      </c>
      <c r="T1052" t="s">
        <v>4146</v>
      </c>
      <c r="U1052" t="s">
        <v>4775</v>
      </c>
    </row>
    <row r="1053" spans="1:21" x14ac:dyDescent="0.25">
      <c r="A1053" t="s">
        <v>4776</v>
      </c>
      <c r="B1053" t="s">
        <v>38</v>
      </c>
      <c r="C1053" t="s">
        <v>4777</v>
      </c>
      <c r="D1053">
        <f t="shared" si="27"/>
        <v>-8006655851</v>
      </c>
      <c r="E1053" t="s">
        <v>4778</v>
      </c>
      <c r="F1053" t="s">
        <v>4114</v>
      </c>
      <c r="G1053" t="s">
        <v>4115</v>
      </c>
      <c r="H1053">
        <v>11.856183</v>
      </c>
      <c r="I1053">
        <v>49.444989999999997</v>
      </c>
      <c r="J1053">
        <v>110</v>
      </c>
      <c r="K1053" t="s">
        <v>535</v>
      </c>
      <c r="L1053" t="s">
        <v>535</v>
      </c>
      <c r="M1053" t="s">
        <v>535</v>
      </c>
      <c r="N1053" t="s">
        <v>535</v>
      </c>
      <c r="O1053" t="s">
        <v>535</v>
      </c>
      <c r="P1053" t="s">
        <v>535</v>
      </c>
      <c r="R1053" t="s">
        <v>4777</v>
      </c>
      <c r="T1053" t="s">
        <v>4123</v>
      </c>
      <c r="U1053" t="s">
        <v>4779</v>
      </c>
    </row>
    <row r="1054" spans="1:21" x14ac:dyDescent="0.25">
      <c r="A1054" t="s">
        <v>4780</v>
      </c>
      <c r="B1054" t="s">
        <v>38</v>
      </c>
      <c r="C1054" t="s">
        <v>4781</v>
      </c>
      <c r="D1054">
        <f t="shared" si="27"/>
        <v>-8006655851</v>
      </c>
      <c r="E1054" t="s">
        <v>4782</v>
      </c>
      <c r="F1054" t="s">
        <v>4114</v>
      </c>
      <c r="G1054" t="s">
        <v>4115</v>
      </c>
      <c r="H1054">
        <v>6.6269140000000002</v>
      </c>
      <c r="I1054">
        <v>51.451408000000001</v>
      </c>
      <c r="J1054">
        <v>100</v>
      </c>
      <c r="K1054" t="s">
        <v>535</v>
      </c>
      <c r="L1054" t="s">
        <v>535</v>
      </c>
      <c r="M1054" t="s">
        <v>535</v>
      </c>
      <c r="N1054" t="s">
        <v>535</v>
      </c>
      <c r="O1054" t="s">
        <v>535</v>
      </c>
      <c r="P1054" t="s">
        <v>535</v>
      </c>
      <c r="R1054" t="s">
        <v>4781</v>
      </c>
      <c r="T1054" t="s">
        <v>4117</v>
      </c>
      <c r="U1054" t="s">
        <v>4783</v>
      </c>
    </row>
    <row r="1055" spans="1:21" x14ac:dyDescent="0.25">
      <c r="A1055" t="s">
        <v>4784</v>
      </c>
      <c r="B1055" t="s">
        <v>22</v>
      </c>
      <c r="C1055" t="s">
        <v>4785</v>
      </c>
      <c r="D1055">
        <f t="shared" si="27"/>
        <v>-8006655851</v>
      </c>
      <c r="E1055" t="s">
        <v>4786</v>
      </c>
      <c r="F1055" t="s">
        <v>4114</v>
      </c>
      <c r="G1055" t="s">
        <v>4115</v>
      </c>
      <c r="H1055">
        <v>6.9984859999999998</v>
      </c>
      <c r="I1055">
        <v>50.938254000000001</v>
      </c>
      <c r="J1055">
        <v>100</v>
      </c>
      <c r="K1055" t="s">
        <v>45</v>
      </c>
      <c r="L1055" t="s">
        <v>45</v>
      </c>
      <c r="M1055" t="s">
        <v>45</v>
      </c>
      <c r="N1055" t="s">
        <v>45</v>
      </c>
      <c r="O1055" t="s">
        <v>27</v>
      </c>
      <c r="P1055" t="s">
        <v>27</v>
      </c>
      <c r="R1055" t="s">
        <v>4787</v>
      </c>
      <c r="T1055" t="s">
        <v>4117</v>
      </c>
      <c r="U1055" t="s">
        <v>4788</v>
      </c>
    </row>
    <row r="1056" spans="1:21" x14ac:dyDescent="0.25">
      <c r="A1056" t="s">
        <v>4789</v>
      </c>
      <c r="B1056" t="s">
        <v>22</v>
      </c>
      <c r="C1056" t="s">
        <v>4790</v>
      </c>
      <c r="D1056">
        <f t="shared" si="27"/>
        <v>-8006655851</v>
      </c>
      <c r="E1056" t="s">
        <v>4791</v>
      </c>
      <c r="F1056" t="s">
        <v>4114</v>
      </c>
      <c r="G1056" t="s">
        <v>4115</v>
      </c>
      <c r="H1056">
        <v>9.0556219999999996</v>
      </c>
      <c r="I1056">
        <v>48.520491</v>
      </c>
      <c r="J1056">
        <v>100</v>
      </c>
      <c r="K1056" t="s">
        <v>535</v>
      </c>
      <c r="L1056" t="s">
        <v>535</v>
      </c>
      <c r="M1056" t="s">
        <v>535</v>
      </c>
      <c r="N1056" t="s">
        <v>535</v>
      </c>
      <c r="O1056" t="s">
        <v>535</v>
      </c>
      <c r="P1056" t="s">
        <v>535</v>
      </c>
      <c r="R1056" t="s">
        <v>4790</v>
      </c>
      <c r="T1056" t="s">
        <v>4146</v>
      </c>
      <c r="U1056" t="s">
        <v>4792</v>
      </c>
    </row>
    <row r="1057" spans="1:21" x14ac:dyDescent="0.25">
      <c r="A1057" t="s">
        <v>4793</v>
      </c>
      <c r="B1057" t="s">
        <v>22</v>
      </c>
      <c r="C1057" t="s">
        <v>4794</v>
      </c>
      <c r="D1057">
        <f t="shared" si="27"/>
        <v>-8006655851</v>
      </c>
      <c r="E1057" t="s">
        <v>4795</v>
      </c>
      <c r="F1057" t="s">
        <v>4114</v>
      </c>
      <c r="G1057" t="s">
        <v>4115</v>
      </c>
      <c r="H1057">
        <v>6.937138</v>
      </c>
      <c r="I1057">
        <v>51.168911000000001</v>
      </c>
      <c r="J1057">
        <v>100</v>
      </c>
      <c r="K1057" t="s">
        <v>535</v>
      </c>
      <c r="L1057" t="s">
        <v>535</v>
      </c>
      <c r="M1057" t="s">
        <v>535</v>
      </c>
      <c r="N1057" t="s">
        <v>535</v>
      </c>
      <c r="O1057" t="s">
        <v>535</v>
      </c>
      <c r="P1057" t="s">
        <v>428</v>
      </c>
      <c r="R1057" t="s">
        <v>4794</v>
      </c>
      <c r="T1057" t="s">
        <v>4117</v>
      </c>
      <c r="U1057" t="s">
        <v>4796</v>
      </c>
    </row>
    <row r="1058" spans="1:21" x14ac:dyDescent="0.25">
      <c r="A1058" t="s">
        <v>4797</v>
      </c>
      <c r="B1058" t="s">
        <v>38</v>
      </c>
      <c r="C1058" t="s">
        <v>4798</v>
      </c>
      <c r="D1058">
        <f t="shared" si="27"/>
        <v>-8006655851</v>
      </c>
      <c r="E1058" t="s">
        <v>4799</v>
      </c>
      <c r="F1058" t="s">
        <v>4114</v>
      </c>
      <c r="G1058" t="s">
        <v>4115</v>
      </c>
      <c r="H1058">
        <v>6.9635889999999998</v>
      </c>
      <c r="I1058">
        <v>51.660634000000002</v>
      </c>
      <c r="J1058">
        <v>100</v>
      </c>
      <c r="K1058" t="s">
        <v>535</v>
      </c>
      <c r="L1058" t="s">
        <v>535</v>
      </c>
      <c r="M1058" t="s">
        <v>535</v>
      </c>
      <c r="N1058" t="s">
        <v>535</v>
      </c>
      <c r="O1058" t="s">
        <v>535</v>
      </c>
      <c r="P1058" t="s">
        <v>428</v>
      </c>
      <c r="R1058" t="s">
        <v>4798</v>
      </c>
      <c r="T1058" t="s">
        <v>4117</v>
      </c>
      <c r="U1058" t="s">
        <v>4800</v>
      </c>
    </row>
    <row r="1059" spans="1:21" x14ac:dyDescent="0.25">
      <c r="A1059" t="s">
        <v>4801</v>
      </c>
      <c r="B1059" t="s">
        <v>22</v>
      </c>
      <c r="C1059" t="s">
        <v>4802</v>
      </c>
      <c r="D1059">
        <f t="shared" ref="D1059:D1090" si="28">49-8006655900</f>
        <v>-8006655851</v>
      </c>
      <c r="E1059" t="s">
        <v>4246</v>
      </c>
      <c r="F1059" t="s">
        <v>4114</v>
      </c>
      <c r="G1059" t="s">
        <v>4115</v>
      </c>
      <c r="H1059">
        <v>12.374705000000001</v>
      </c>
      <c r="I1059">
        <v>51.339331999999999</v>
      </c>
      <c r="J1059">
        <v>100</v>
      </c>
      <c r="K1059" t="s">
        <v>45</v>
      </c>
      <c r="L1059" t="s">
        <v>45</v>
      </c>
      <c r="M1059" t="s">
        <v>45</v>
      </c>
      <c r="N1059" t="s">
        <v>45</v>
      </c>
      <c r="O1059" t="s">
        <v>45</v>
      </c>
      <c r="P1059" t="s">
        <v>45</v>
      </c>
      <c r="R1059" t="s">
        <v>4802</v>
      </c>
      <c r="T1059" t="s">
        <v>4248</v>
      </c>
      <c r="U1059" t="s">
        <v>4803</v>
      </c>
    </row>
    <row r="1060" spans="1:21" x14ac:dyDescent="0.25">
      <c r="A1060" t="s">
        <v>4804</v>
      </c>
      <c r="B1060" t="s">
        <v>38</v>
      </c>
      <c r="C1060" t="s">
        <v>4805</v>
      </c>
      <c r="D1060">
        <f t="shared" si="28"/>
        <v>-8006655851</v>
      </c>
      <c r="E1060" t="s">
        <v>4806</v>
      </c>
      <c r="F1060" t="s">
        <v>4114</v>
      </c>
      <c r="G1060" t="s">
        <v>4115</v>
      </c>
      <c r="H1060">
        <v>12.151088</v>
      </c>
      <c r="I1060">
        <v>48.534905000000002</v>
      </c>
      <c r="J1060">
        <v>100</v>
      </c>
      <c r="K1060" t="s">
        <v>535</v>
      </c>
      <c r="L1060" t="s">
        <v>535</v>
      </c>
      <c r="M1060" t="s">
        <v>535</v>
      </c>
      <c r="N1060" t="s">
        <v>535</v>
      </c>
      <c r="O1060" t="s">
        <v>535</v>
      </c>
      <c r="P1060" t="s">
        <v>535</v>
      </c>
      <c r="R1060" t="s">
        <v>4805</v>
      </c>
      <c r="T1060" t="s">
        <v>4123</v>
      </c>
      <c r="U1060" t="s">
        <v>4807</v>
      </c>
    </row>
    <row r="1061" spans="1:21" x14ac:dyDescent="0.25">
      <c r="A1061" t="s">
        <v>4808</v>
      </c>
      <c r="B1061" t="s">
        <v>22</v>
      </c>
      <c r="C1061" t="s">
        <v>4809</v>
      </c>
      <c r="D1061">
        <f t="shared" si="28"/>
        <v>-8006655851</v>
      </c>
      <c r="E1061" t="s">
        <v>4810</v>
      </c>
      <c r="F1061" t="s">
        <v>4114</v>
      </c>
      <c r="G1061" t="s">
        <v>4115</v>
      </c>
      <c r="H1061">
        <v>9.7093919999999994</v>
      </c>
      <c r="I1061">
        <v>50.868993000000003</v>
      </c>
      <c r="J1061">
        <v>100</v>
      </c>
      <c r="K1061" t="s">
        <v>428</v>
      </c>
      <c r="L1061" t="s">
        <v>428</v>
      </c>
      <c r="M1061" t="s">
        <v>428</v>
      </c>
      <c r="N1061" t="s">
        <v>428</v>
      </c>
      <c r="O1061" t="s">
        <v>428</v>
      </c>
      <c r="P1061" t="s">
        <v>428</v>
      </c>
      <c r="R1061" t="s">
        <v>4811</v>
      </c>
      <c r="T1061" t="s">
        <v>4152</v>
      </c>
      <c r="U1061" t="s">
        <v>4812</v>
      </c>
    </row>
    <row r="1062" spans="1:21" x14ac:dyDescent="0.25">
      <c r="A1062" t="s">
        <v>4813</v>
      </c>
      <c r="B1062" t="s">
        <v>22</v>
      </c>
      <c r="C1062" t="s">
        <v>4814</v>
      </c>
      <c r="D1062">
        <f t="shared" si="28"/>
        <v>-8006655851</v>
      </c>
      <c r="E1062" t="s">
        <v>4786</v>
      </c>
      <c r="F1062" t="s">
        <v>4114</v>
      </c>
      <c r="G1062" t="s">
        <v>4115</v>
      </c>
      <c r="H1062">
        <v>6.9552880000000004</v>
      </c>
      <c r="I1062">
        <v>50.936638000000002</v>
      </c>
      <c r="J1062">
        <v>100</v>
      </c>
      <c r="K1062" t="s">
        <v>45</v>
      </c>
      <c r="L1062" t="s">
        <v>45</v>
      </c>
      <c r="M1062" t="s">
        <v>45</v>
      </c>
      <c r="N1062" t="s">
        <v>45</v>
      </c>
      <c r="O1062" t="s">
        <v>45</v>
      </c>
      <c r="P1062" t="s">
        <v>45</v>
      </c>
      <c r="R1062" t="s">
        <v>4814</v>
      </c>
      <c r="T1062" t="s">
        <v>4117</v>
      </c>
      <c r="U1062" t="s">
        <v>4815</v>
      </c>
    </row>
    <row r="1063" spans="1:21" x14ac:dyDescent="0.25">
      <c r="A1063" t="s">
        <v>4816</v>
      </c>
      <c r="B1063" t="s">
        <v>22</v>
      </c>
      <c r="C1063" t="s">
        <v>4817</v>
      </c>
      <c r="D1063">
        <f t="shared" si="28"/>
        <v>-8006655851</v>
      </c>
      <c r="E1063" t="s">
        <v>4169</v>
      </c>
      <c r="F1063" t="s">
        <v>4114</v>
      </c>
      <c r="G1063" t="s">
        <v>4115</v>
      </c>
      <c r="H1063">
        <v>11.535436449073799</v>
      </c>
      <c r="I1063">
        <v>48.183204005079702</v>
      </c>
      <c r="J1063">
        <v>110</v>
      </c>
      <c r="K1063" t="s">
        <v>185</v>
      </c>
      <c r="L1063" t="s">
        <v>185</v>
      </c>
      <c r="M1063" t="s">
        <v>185</v>
      </c>
      <c r="N1063" t="s">
        <v>185</v>
      </c>
      <c r="O1063" t="s">
        <v>185</v>
      </c>
      <c r="P1063" t="s">
        <v>185</v>
      </c>
      <c r="R1063" t="s">
        <v>4818</v>
      </c>
      <c r="T1063" t="s">
        <v>4123</v>
      </c>
      <c r="U1063" t="s">
        <v>4819</v>
      </c>
    </row>
    <row r="1064" spans="1:21" x14ac:dyDescent="0.25">
      <c r="A1064" t="s">
        <v>4820</v>
      </c>
      <c r="B1064" t="s">
        <v>22</v>
      </c>
      <c r="C1064" t="s">
        <v>4821</v>
      </c>
      <c r="D1064">
        <f t="shared" si="28"/>
        <v>-8006655851</v>
      </c>
      <c r="E1064" t="s">
        <v>4822</v>
      </c>
      <c r="F1064" t="s">
        <v>4114</v>
      </c>
      <c r="G1064" t="s">
        <v>4115</v>
      </c>
      <c r="H1064">
        <v>6.4811458220901796</v>
      </c>
      <c r="I1064">
        <v>50.805092475250497</v>
      </c>
      <c r="J1064">
        <v>100</v>
      </c>
      <c r="K1064" t="s">
        <v>45</v>
      </c>
      <c r="L1064" t="s">
        <v>45</v>
      </c>
      <c r="M1064" t="s">
        <v>45</v>
      </c>
      <c r="N1064" t="s">
        <v>45</v>
      </c>
      <c r="O1064" t="s">
        <v>45</v>
      </c>
      <c r="P1064" t="s">
        <v>45</v>
      </c>
      <c r="R1064" t="s">
        <v>4823</v>
      </c>
      <c r="T1064" t="s">
        <v>4117</v>
      </c>
      <c r="U1064" t="s">
        <v>4824</v>
      </c>
    </row>
    <row r="1065" spans="1:21" x14ac:dyDescent="0.25">
      <c r="A1065" t="s">
        <v>4825</v>
      </c>
      <c r="B1065" t="s">
        <v>22</v>
      </c>
      <c r="C1065" t="s">
        <v>4826</v>
      </c>
      <c r="D1065">
        <f t="shared" si="28"/>
        <v>-8006655851</v>
      </c>
      <c r="E1065" t="s">
        <v>4344</v>
      </c>
      <c r="F1065" t="s">
        <v>4114</v>
      </c>
      <c r="G1065" t="s">
        <v>4115</v>
      </c>
      <c r="H1065">
        <v>9.9868424748688103</v>
      </c>
      <c r="I1065">
        <v>53.456233927157399</v>
      </c>
      <c r="J1065">
        <v>100</v>
      </c>
      <c r="K1065" t="s">
        <v>185</v>
      </c>
      <c r="L1065" t="s">
        <v>185</v>
      </c>
      <c r="M1065" t="s">
        <v>185</v>
      </c>
      <c r="N1065" t="s">
        <v>185</v>
      </c>
      <c r="O1065" t="s">
        <v>185</v>
      </c>
      <c r="P1065" t="s">
        <v>185</v>
      </c>
      <c r="R1065" t="s">
        <v>4827</v>
      </c>
      <c r="T1065" t="s">
        <v>4344</v>
      </c>
      <c r="U1065" t="s">
        <v>4828</v>
      </c>
    </row>
    <row r="1066" spans="1:21" x14ac:dyDescent="0.25">
      <c r="A1066" t="s">
        <v>4829</v>
      </c>
      <c r="B1066" t="s">
        <v>38</v>
      </c>
      <c r="C1066" t="s">
        <v>4830</v>
      </c>
      <c r="D1066">
        <f t="shared" si="28"/>
        <v>-8006655851</v>
      </c>
      <c r="E1066" t="s">
        <v>4831</v>
      </c>
      <c r="F1066" t="s">
        <v>4114</v>
      </c>
      <c r="G1066" t="s">
        <v>4115</v>
      </c>
      <c r="H1066">
        <v>7.6975567890243601</v>
      </c>
      <c r="I1066">
        <v>51.374570706135998</v>
      </c>
      <c r="J1066">
        <v>100</v>
      </c>
      <c r="K1066" t="s">
        <v>535</v>
      </c>
      <c r="L1066" t="s">
        <v>535</v>
      </c>
      <c r="M1066" t="s">
        <v>535</v>
      </c>
      <c r="N1066" t="s">
        <v>535</v>
      </c>
      <c r="O1066" t="s">
        <v>535</v>
      </c>
      <c r="P1066" t="s">
        <v>428</v>
      </c>
      <c r="R1066" t="s">
        <v>4830</v>
      </c>
      <c r="T1066" t="s">
        <v>4117</v>
      </c>
      <c r="U1066" t="s">
        <v>4832</v>
      </c>
    </row>
    <row r="1067" spans="1:21" x14ac:dyDescent="0.25">
      <c r="A1067" t="s">
        <v>4833</v>
      </c>
      <c r="B1067" t="s">
        <v>38</v>
      </c>
      <c r="C1067" t="s">
        <v>4834</v>
      </c>
      <c r="D1067">
        <f t="shared" si="28"/>
        <v>-8006655851</v>
      </c>
      <c r="E1067" t="s">
        <v>4835</v>
      </c>
      <c r="F1067" t="s">
        <v>4114</v>
      </c>
      <c r="G1067" t="s">
        <v>4115</v>
      </c>
      <c r="H1067">
        <v>9.9976167288359594</v>
      </c>
      <c r="I1067">
        <v>51.7066828048129</v>
      </c>
      <c r="J1067">
        <v>100</v>
      </c>
      <c r="K1067" t="s">
        <v>728</v>
      </c>
      <c r="L1067" t="s">
        <v>728</v>
      </c>
      <c r="M1067" t="s">
        <v>728</v>
      </c>
      <c r="N1067" t="s">
        <v>728</v>
      </c>
      <c r="O1067" t="s">
        <v>728</v>
      </c>
      <c r="P1067" t="s">
        <v>326</v>
      </c>
      <c r="R1067" t="s">
        <v>4836</v>
      </c>
      <c r="T1067" t="s">
        <v>4258</v>
      </c>
      <c r="U1067" t="s">
        <v>4837</v>
      </c>
    </row>
    <row r="1068" spans="1:21" x14ac:dyDescent="0.25">
      <c r="A1068" t="s">
        <v>4838</v>
      </c>
      <c r="B1068" t="s">
        <v>22</v>
      </c>
      <c r="C1068" t="s">
        <v>4839</v>
      </c>
      <c r="D1068">
        <f t="shared" si="28"/>
        <v>-8006655851</v>
      </c>
      <c r="E1068" t="s">
        <v>4840</v>
      </c>
      <c r="F1068" t="s">
        <v>4114</v>
      </c>
      <c r="G1068" t="s">
        <v>4115</v>
      </c>
      <c r="H1068">
        <v>10.524255</v>
      </c>
      <c r="I1068">
        <v>52.262461000000002</v>
      </c>
      <c r="J1068">
        <v>100</v>
      </c>
      <c r="K1068" t="s">
        <v>45</v>
      </c>
      <c r="L1068" t="s">
        <v>45</v>
      </c>
      <c r="M1068" t="s">
        <v>45</v>
      </c>
      <c r="N1068" t="s">
        <v>45</v>
      </c>
      <c r="O1068" t="s">
        <v>45</v>
      </c>
      <c r="P1068" t="s">
        <v>45</v>
      </c>
      <c r="R1068" t="s">
        <v>4839</v>
      </c>
      <c r="T1068" t="s">
        <v>4258</v>
      </c>
      <c r="U1068" t="s">
        <v>4841</v>
      </c>
    </row>
    <row r="1069" spans="1:21" x14ac:dyDescent="0.25">
      <c r="A1069" t="s">
        <v>4842</v>
      </c>
      <c r="B1069" t="s">
        <v>38</v>
      </c>
      <c r="C1069" t="s">
        <v>4843</v>
      </c>
      <c r="D1069">
        <f t="shared" si="28"/>
        <v>-8006655851</v>
      </c>
      <c r="E1069" t="s">
        <v>4844</v>
      </c>
      <c r="F1069" t="s">
        <v>4114</v>
      </c>
      <c r="G1069" t="s">
        <v>4115</v>
      </c>
      <c r="H1069">
        <v>7.4805900000000003</v>
      </c>
      <c r="I1069">
        <v>53.46922</v>
      </c>
      <c r="J1069">
        <v>100</v>
      </c>
      <c r="K1069" t="s">
        <v>745</v>
      </c>
      <c r="L1069" t="s">
        <v>745</v>
      </c>
      <c r="M1069" t="s">
        <v>745</v>
      </c>
      <c r="N1069" t="s">
        <v>745</v>
      </c>
      <c r="O1069" t="s">
        <v>745</v>
      </c>
      <c r="P1069" t="s">
        <v>428</v>
      </c>
      <c r="R1069" t="s">
        <v>4843</v>
      </c>
      <c r="T1069" t="s">
        <v>4258</v>
      </c>
      <c r="U1069" t="s">
        <v>4845</v>
      </c>
    </row>
    <row r="1070" spans="1:21" x14ac:dyDescent="0.25">
      <c r="A1070" t="s">
        <v>4846</v>
      </c>
      <c r="B1070" t="s">
        <v>22</v>
      </c>
      <c r="C1070" t="s">
        <v>4847</v>
      </c>
      <c r="D1070">
        <f t="shared" si="28"/>
        <v>-8006655851</v>
      </c>
      <c r="E1070" t="s">
        <v>4848</v>
      </c>
      <c r="F1070" t="s">
        <v>4114</v>
      </c>
      <c r="G1070" t="s">
        <v>4115</v>
      </c>
      <c r="H1070">
        <v>13.454393</v>
      </c>
      <c r="I1070">
        <v>48.574463000000002</v>
      </c>
      <c r="J1070">
        <v>110</v>
      </c>
      <c r="K1070" t="s">
        <v>535</v>
      </c>
      <c r="L1070" t="s">
        <v>535</v>
      </c>
      <c r="M1070" t="s">
        <v>535</v>
      </c>
      <c r="N1070" t="s">
        <v>535</v>
      </c>
      <c r="O1070" t="s">
        <v>535</v>
      </c>
      <c r="P1070" t="s">
        <v>535</v>
      </c>
      <c r="R1070" t="s">
        <v>4847</v>
      </c>
      <c r="T1070" t="s">
        <v>4123</v>
      </c>
      <c r="U1070" t="s">
        <v>4849</v>
      </c>
    </row>
    <row r="1071" spans="1:21" x14ac:dyDescent="0.25">
      <c r="A1071" t="s">
        <v>4850</v>
      </c>
      <c r="B1071" t="s">
        <v>38</v>
      </c>
      <c r="C1071" t="s">
        <v>4851</v>
      </c>
      <c r="D1071">
        <f t="shared" si="28"/>
        <v>-8006655851</v>
      </c>
      <c r="E1071" t="s">
        <v>4852</v>
      </c>
      <c r="F1071" t="s">
        <v>4114</v>
      </c>
      <c r="G1071" t="s">
        <v>4115</v>
      </c>
      <c r="H1071">
        <v>12.492654999999999</v>
      </c>
      <c r="I1071">
        <v>50.718940000000003</v>
      </c>
      <c r="J1071">
        <v>110</v>
      </c>
      <c r="K1071" t="s">
        <v>184</v>
      </c>
      <c r="L1071" t="s">
        <v>184</v>
      </c>
      <c r="M1071" t="s">
        <v>184</v>
      </c>
      <c r="N1071" t="s">
        <v>184</v>
      </c>
      <c r="O1071" t="s">
        <v>184</v>
      </c>
      <c r="P1071" t="s">
        <v>184</v>
      </c>
      <c r="R1071" t="s">
        <v>4851</v>
      </c>
      <c r="T1071" t="s">
        <v>4248</v>
      </c>
      <c r="U1071" t="s">
        <v>4853</v>
      </c>
    </row>
    <row r="1072" spans="1:21" x14ac:dyDescent="0.25">
      <c r="A1072" t="s">
        <v>4854</v>
      </c>
      <c r="B1072" t="s">
        <v>38</v>
      </c>
      <c r="C1072" t="s">
        <v>4855</v>
      </c>
      <c r="D1072">
        <f t="shared" si="28"/>
        <v>-8006655851</v>
      </c>
      <c r="E1072" t="s">
        <v>4856</v>
      </c>
      <c r="F1072" t="s">
        <v>4114</v>
      </c>
      <c r="G1072" t="s">
        <v>4115</v>
      </c>
      <c r="H1072">
        <v>14.272737066131601</v>
      </c>
      <c r="I1072">
        <v>53.065129615502698</v>
      </c>
      <c r="J1072">
        <v>110</v>
      </c>
      <c r="K1072" t="s">
        <v>184</v>
      </c>
      <c r="L1072" t="s">
        <v>184</v>
      </c>
      <c r="M1072" t="s">
        <v>184</v>
      </c>
      <c r="N1072" t="s">
        <v>184</v>
      </c>
      <c r="O1072" t="s">
        <v>184</v>
      </c>
      <c r="P1072" t="s">
        <v>184</v>
      </c>
      <c r="R1072" t="s">
        <v>4857</v>
      </c>
      <c r="T1072" t="s">
        <v>4563</v>
      </c>
      <c r="U1072" t="s">
        <v>4858</v>
      </c>
    </row>
    <row r="1073" spans="1:21" x14ac:dyDescent="0.25">
      <c r="A1073" t="s">
        <v>4859</v>
      </c>
      <c r="B1073" t="s">
        <v>22</v>
      </c>
      <c r="C1073" t="s">
        <v>4860</v>
      </c>
      <c r="D1073">
        <f t="shared" si="28"/>
        <v>-8006655851</v>
      </c>
      <c r="E1073" t="s">
        <v>4861</v>
      </c>
      <c r="F1073" t="s">
        <v>4114</v>
      </c>
      <c r="G1073" t="s">
        <v>4115</v>
      </c>
      <c r="H1073">
        <v>12.177913</v>
      </c>
      <c r="I1073">
        <v>51.343729000000003</v>
      </c>
      <c r="J1073">
        <v>100</v>
      </c>
      <c r="K1073" t="s">
        <v>45</v>
      </c>
      <c r="L1073" t="s">
        <v>45</v>
      </c>
      <c r="M1073" t="s">
        <v>45</v>
      </c>
      <c r="N1073" t="s">
        <v>45</v>
      </c>
      <c r="O1073" t="s">
        <v>45</v>
      </c>
      <c r="P1073" t="s">
        <v>45</v>
      </c>
      <c r="R1073" t="s">
        <v>4862</v>
      </c>
      <c r="T1073" t="s">
        <v>4207</v>
      </c>
      <c r="U1073" t="s">
        <v>4863</v>
      </c>
    </row>
    <row r="1074" spans="1:21" x14ac:dyDescent="0.25">
      <c r="A1074" t="s">
        <v>4864</v>
      </c>
      <c r="B1074" t="s">
        <v>38</v>
      </c>
      <c r="C1074" t="s">
        <v>4865</v>
      </c>
      <c r="D1074">
        <f t="shared" si="28"/>
        <v>-8006655851</v>
      </c>
      <c r="E1074" t="s">
        <v>4866</v>
      </c>
      <c r="F1074" t="s">
        <v>4114</v>
      </c>
      <c r="G1074" t="s">
        <v>4115</v>
      </c>
      <c r="H1074">
        <v>8.2419021190490902</v>
      </c>
      <c r="I1074">
        <v>50.070858951639302</v>
      </c>
      <c r="J1074">
        <v>100</v>
      </c>
      <c r="K1074" t="s">
        <v>45</v>
      </c>
      <c r="L1074" t="s">
        <v>45</v>
      </c>
      <c r="M1074" t="s">
        <v>45</v>
      </c>
      <c r="N1074" t="s">
        <v>45</v>
      </c>
      <c r="O1074" t="s">
        <v>45</v>
      </c>
      <c r="P1074" t="s">
        <v>45</v>
      </c>
      <c r="R1074" t="s">
        <v>4867</v>
      </c>
      <c r="T1074" t="s">
        <v>4152</v>
      </c>
      <c r="U1074" t="s">
        <v>4868</v>
      </c>
    </row>
    <row r="1075" spans="1:21" x14ac:dyDescent="0.25">
      <c r="A1075" t="s">
        <v>4869</v>
      </c>
      <c r="B1075" t="s">
        <v>22</v>
      </c>
      <c r="C1075" t="s">
        <v>4870</v>
      </c>
      <c r="D1075">
        <f t="shared" si="28"/>
        <v>-8006655851</v>
      </c>
      <c r="E1075" t="s">
        <v>4266</v>
      </c>
      <c r="F1075" t="s">
        <v>4114</v>
      </c>
      <c r="G1075" t="s">
        <v>4115</v>
      </c>
      <c r="H1075">
        <v>13.473777999999999</v>
      </c>
      <c r="I1075">
        <v>52.514361000000001</v>
      </c>
      <c r="J1075">
        <v>110</v>
      </c>
      <c r="K1075" t="s">
        <v>45</v>
      </c>
      <c r="L1075" t="s">
        <v>45</v>
      </c>
      <c r="M1075" t="s">
        <v>45</v>
      </c>
      <c r="N1075" t="s">
        <v>45</v>
      </c>
      <c r="O1075" t="s">
        <v>45</v>
      </c>
      <c r="P1075" t="s">
        <v>45</v>
      </c>
      <c r="R1075" t="s">
        <v>4871</v>
      </c>
      <c r="T1075" t="s">
        <v>4268</v>
      </c>
      <c r="U1075" t="s">
        <v>4872</v>
      </c>
    </row>
    <row r="1076" spans="1:21" x14ac:dyDescent="0.25">
      <c r="A1076" t="s">
        <v>4873</v>
      </c>
      <c r="B1076" t="s">
        <v>38</v>
      </c>
      <c r="C1076" t="s">
        <v>4874</v>
      </c>
      <c r="D1076">
        <f t="shared" si="28"/>
        <v>-8006655851</v>
      </c>
      <c r="E1076" t="s">
        <v>4266</v>
      </c>
      <c r="F1076" t="s">
        <v>4114</v>
      </c>
      <c r="G1076" t="s">
        <v>4115</v>
      </c>
      <c r="H1076">
        <v>13.543824000000001</v>
      </c>
      <c r="I1076">
        <v>52.543998999999999</v>
      </c>
      <c r="J1076">
        <v>100</v>
      </c>
      <c r="K1076" t="s">
        <v>45</v>
      </c>
      <c r="L1076" t="s">
        <v>45</v>
      </c>
      <c r="M1076" t="s">
        <v>45</v>
      </c>
      <c r="N1076" t="s">
        <v>45</v>
      </c>
      <c r="O1076" t="s">
        <v>45</v>
      </c>
      <c r="P1076" t="s">
        <v>45</v>
      </c>
      <c r="R1076" t="s">
        <v>4875</v>
      </c>
      <c r="T1076" t="s">
        <v>4268</v>
      </c>
      <c r="U1076" t="s">
        <v>4876</v>
      </c>
    </row>
    <row r="1077" spans="1:21" x14ac:dyDescent="0.25">
      <c r="A1077" t="s">
        <v>4877</v>
      </c>
      <c r="B1077" t="s">
        <v>38</v>
      </c>
      <c r="C1077" t="s">
        <v>4878</v>
      </c>
      <c r="D1077">
        <f t="shared" si="28"/>
        <v>-8006655851</v>
      </c>
      <c r="E1077" t="s">
        <v>4879</v>
      </c>
      <c r="F1077" t="s">
        <v>4114</v>
      </c>
      <c r="G1077" t="s">
        <v>4115</v>
      </c>
      <c r="H1077">
        <v>7.172898</v>
      </c>
      <c r="I1077">
        <v>49.348427000000001</v>
      </c>
      <c r="J1077">
        <v>100</v>
      </c>
      <c r="K1077" t="s">
        <v>185</v>
      </c>
      <c r="L1077" t="s">
        <v>185</v>
      </c>
      <c r="M1077" t="s">
        <v>185</v>
      </c>
      <c r="N1077" t="s">
        <v>185</v>
      </c>
      <c r="O1077" t="s">
        <v>185</v>
      </c>
      <c r="P1077" t="s">
        <v>185</v>
      </c>
      <c r="R1077" t="s">
        <v>4880</v>
      </c>
      <c r="T1077" t="s">
        <v>4135</v>
      </c>
      <c r="U1077" t="s">
        <v>4881</v>
      </c>
    </row>
    <row r="1078" spans="1:21" x14ac:dyDescent="0.25">
      <c r="A1078" t="s">
        <v>4882</v>
      </c>
      <c r="B1078" t="s">
        <v>38</v>
      </c>
      <c r="C1078" t="s">
        <v>4883</v>
      </c>
      <c r="D1078">
        <f t="shared" si="28"/>
        <v>-8006655851</v>
      </c>
      <c r="E1078" t="s">
        <v>4884</v>
      </c>
      <c r="F1078" t="s">
        <v>4114</v>
      </c>
      <c r="G1078" t="s">
        <v>4115</v>
      </c>
      <c r="H1078">
        <v>13.799412</v>
      </c>
      <c r="I1078">
        <v>50.997449000000003</v>
      </c>
      <c r="J1078">
        <v>110</v>
      </c>
      <c r="K1078" t="s">
        <v>45</v>
      </c>
      <c r="L1078" t="s">
        <v>45</v>
      </c>
      <c r="M1078" t="s">
        <v>45</v>
      </c>
      <c r="N1078" t="s">
        <v>45</v>
      </c>
      <c r="O1078" t="s">
        <v>45</v>
      </c>
      <c r="P1078" t="s">
        <v>45</v>
      </c>
      <c r="R1078" t="s">
        <v>4885</v>
      </c>
      <c r="T1078" t="s">
        <v>4248</v>
      </c>
      <c r="U1078" t="s">
        <v>4886</v>
      </c>
    </row>
    <row r="1079" spans="1:21" x14ac:dyDescent="0.25">
      <c r="A1079" t="s">
        <v>4887</v>
      </c>
      <c r="B1079" t="s">
        <v>38</v>
      </c>
      <c r="C1079" t="s">
        <v>4888</v>
      </c>
      <c r="D1079">
        <f t="shared" si="28"/>
        <v>-8006655851</v>
      </c>
      <c r="E1079" t="s">
        <v>4133</v>
      </c>
      <c r="F1079" t="s">
        <v>4114</v>
      </c>
      <c r="G1079" t="s">
        <v>4115</v>
      </c>
      <c r="H1079">
        <v>7.0350599999999996</v>
      </c>
      <c r="I1079">
        <v>49.228548000000004</v>
      </c>
      <c r="J1079">
        <v>100</v>
      </c>
      <c r="K1079" t="s">
        <v>185</v>
      </c>
      <c r="L1079" t="s">
        <v>185</v>
      </c>
      <c r="M1079" t="s">
        <v>185</v>
      </c>
      <c r="N1079" t="s">
        <v>185</v>
      </c>
      <c r="O1079" t="s">
        <v>185</v>
      </c>
      <c r="P1079" t="s">
        <v>185</v>
      </c>
      <c r="R1079" t="s">
        <v>4889</v>
      </c>
      <c r="T1079" t="s">
        <v>4135</v>
      </c>
      <c r="U1079" t="s">
        <v>4890</v>
      </c>
    </row>
    <row r="1080" spans="1:21" x14ac:dyDescent="0.25">
      <c r="A1080" t="s">
        <v>4891</v>
      </c>
      <c r="B1080" t="s">
        <v>38</v>
      </c>
      <c r="C1080" t="s">
        <v>4892</v>
      </c>
      <c r="D1080">
        <f t="shared" si="28"/>
        <v>-8006655851</v>
      </c>
      <c r="E1080" t="s">
        <v>4893</v>
      </c>
      <c r="F1080" t="s">
        <v>4114</v>
      </c>
      <c r="G1080" t="s">
        <v>4115</v>
      </c>
      <c r="H1080">
        <v>7.5919679999999996</v>
      </c>
      <c r="I1080">
        <v>47.590766000000002</v>
      </c>
      <c r="J1080">
        <v>100</v>
      </c>
      <c r="K1080" t="s">
        <v>192</v>
      </c>
      <c r="L1080" t="s">
        <v>192</v>
      </c>
      <c r="M1080" t="s">
        <v>192</v>
      </c>
      <c r="N1080" t="s">
        <v>192</v>
      </c>
      <c r="O1080" t="s">
        <v>192</v>
      </c>
      <c r="P1080" t="s">
        <v>192</v>
      </c>
      <c r="R1080" t="s">
        <v>4894</v>
      </c>
      <c r="T1080" t="s">
        <v>4146</v>
      </c>
      <c r="U1080" t="s">
        <v>4895</v>
      </c>
    </row>
    <row r="1081" spans="1:21" x14ac:dyDescent="0.25">
      <c r="A1081" t="s">
        <v>4896</v>
      </c>
      <c r="B1081" t="s">
        <v>22</v>
      </c>
      <c r="C1081" t="s">
        <v>4897</v>
      </c>
      <c r="D1081">
        <f t="shared" si="28"/>
        <v>-8006655851</v>
      </c>
      <c r="E1081" t="s">
        <v>4898</v>
      </c>
      <c r="F1081" t="s">
        <v>4114</v>
      </c>
      <c r="G1081" t="s">
        <v>4115</v>
      </c>
      <c r="H1081">
        <v>7.9424809999999999</v>
      </c>
      <c r="I1081">
        <v>48.469907999999997</v>
      </c>
      <c r="J1081">
        <v>100</v>
      </c>
      <c r="K1081" t="s">
        <v>535</v>
      </c>
      <c r="L1081" t="s">
        <v>535</v>
      </c>
      <c r="M1081" t="s">
        <v>535</v>
      </c>
      <c r="N1081" t="s">
        <v>45</v>
      </c>
      <c r="O1081" t="s">
        <v>45</v>
      </c>
      <c r="P1081" t="s">
        <v>184</v>
      </c>
      <c r="R1081" t="s">
        <v>4897</v>
      </c>
      <c r="T1081" t="s">
        <v>4146</v>
      </c>
      <c r="U1081" t="s">
        <v>4899</v>
      </c>
    </row>
    <row r="1082" spans="1:21" x14ac:dyDescent="0.25">
      <c r="A1082" t="s">
        <v>4900</v>
      </c>
      <c r="B1082" t="s">
        <v>22</v>
      </c>
      <c r="C1082" t="s">
        <v>4901</v>
      </c>
      <c r="D1082">
        <f t="shared" si="28"/>
        <v>-8006655851</v>
      </c>
      <c r="E1082" t="s">
        <v>4902</v>
      </c>
      <c r="F1082" t="s">
        <v>4114</v>
      </c>
      <c r="G1082" t="s">
        <v>4115</v>
      </c>
      <c r="H1082">
        <v>8.5787800000000001</v>
      </c>
      <c r="I1082">
        <v>53.543624999999999</v>
      </c>
      <c r="J1082">
        <v>110</v>
      </c>
      <c r="K1082" t="s">
        <v>535</v>
      </c>
      <c r="L1082" t="s">
        <v>535</v>
      </c>
      <c r="M1082" t="s">
        <v>535</v>
      </c>
      <c r="N1082" t="s">
        <v>535</v>
      </c>
      <c r="O1082" t="s">
        <v>535</v>
      </c>
      <c r="P1082" t="s">
        <v>535</v>
      </c>
      <c r="R1082" t="s">
        <v>4901</v>
      </c>
      <c r="T1082" t="s">
        <v>4258</v>
      </c>
      <c r="U1082" t="s">
        <v>4903</v>
      </c>
    </row>
    <row r="1083" spans="1:21" x14ac:dyDescent="0.25">
      <c r="A1083" t="s">
        <v>4904</v>
      </c>
      <c r="B1083" t="s">
        <v>22</v>
      </c>
      <c r="C1083" t="s">
        <v>4905</v>
      </c>
      <c r="D1083">
        <f t="shared" si="28"/>
        <v>-8006655851</v>
      </c>
      <c r="E1083" t="s">
        <v>4906</v>
      </c>
      <c r="F1083" t="s">
        <v>4114</v>
      </c>
      <c r="G1083" t="s">
        <v>4115</v>
      </c>
      <c r="H1083">
        <v>9.6537439999999997</v>
      </c>
      <c r="I1083">
        <v>48.702776</v>
      </c>
      <c r="J1083">
        <v>100</v>
      </c>
      <c r="K1083" t="s">
        <v>45</v>
      </c>
      <c r="L1083" t="s">
        <v>45</v>
      </c>
      <c r="M1083" t="s">
        <v>45</v>
      </c>
      <c r="N1083" t="s">
        <v>45</v>
      </c>
      <c r="O1083" t="s">
        <v>45</v>
      </c>
      <c r="P1083" t="s">
        <v>45</v>
      </c>
      <c r="R1083" t="s">
        <v>4907</v>
      </c>
      <c r="T1083" t="s">
        <v>4146</v>
      </c>
      <c r="U1083" t="s">
        <v>4908</v>
      </c>
    </row>
    <row r="1084" spans="1:21" x14ac:dyDescent="0.25">
      <c r="A1084" t="s">
        <v>4909</v>
      </c>
      <c r="B1084" t="s">
        <v>22</v>
      </c>
      <c r="C1084" t="s">
        <v>4910</v>
      </c>
      <c r="D1084">
        <f t="shared" si="28"/>
        <v>-8006655851</v>
      </c>
      <c r="E1084" t="s">
        <v>4911</v>
      </c>
      <c r="F1084" t="s">
        <v>4114</v>
      </c>
      <c r="G1084" t="s">
        <v>4115</v>
      </c>
      <c r="H1084">
        <v>12.962438000000001</v>
      </c>
      <c r="I1084">
        <v>48.83267</v>
      </c>
      <c r="J1084">
        <v>100</v>
      </c>
      <c r="K1084" t="s">
        <v>535</v>
      </c>
      <c r="L1084" t="s">
        <v>535</v>
      </c>
      <c r="M1084" t="s">
        <v>535</v>
      </c>
      <c r="N1084" t="s">
        <v>535</v>
      </c>
      <c r="O1084" t="s">
        <v>535</v>
      </c>
      <c r="P1084" t="s">
        <v>535</v>
      </c>
      <c r="R1084" t="s">
        <v>4910</v>
      </c>
      <c r="T1084" t="s">
        <v>4123</v>
      </c>
      <c r="U1084" t="s">
        <v>4912</v>
      </c>
    </row>
    <row r="1085" spans="1:21" x14ac:dyDescent="0.25">
      <c r="A1085" t="s">
        <v>4913</v>
      </c>
      <c r="B1085" t="s">
        <v>38</v>
      </c>
      <c r="C1085" t="s">
        <v>4914</v>
      </c>
      <c r="D1085">
        <f t="shared" si="28"/>
        <v>-8006655851</v>
      </c>
      <c r="E1085" t="s">
        <v>4915</v>
      </c>
      <c r="F1085" t="s">
        <v>4114</v>
      </c>
      <c r="G1085" t="s">
        <v>4115</v>
      </c>
      <c r="H1085">
        <v>9.6611469999999997</v>
      </c>
      <c r="I1085">
        <v>54.305154000000002</v>
      </c>
      <c r="J1085">
        <v>110</v>
      </c>
      <c r="K1085" t="s">
        <v>745</v>
      </c>
      <c r="L1085" t="s">
        <v>745</v>
      </c>
      <c r="M1085" t="s">
        <v>745</v>
      </c>
      <c r="N1085" t="s">
        <v>745</v>
      </c>
      <c r="O1085" t="s">
        <v>745</v>
      </c>
      <c r="P1085" t="s">
        <v>578</v>
      </c>
      <c r="R1085" t="s">
        <v>4914</v>
      </c>
      <c r="T1085" t="s">
        <v>4413</v>
      </c>
      <c r="U1085" t="s">
        <v>4916</v>
      </c>
    </row>
    <row r="1086" spans="1:21" x14ac:dyDescent="0.25">
      <c r="A1086" t="s">
        <v>4917</v>
      </c>
      <c r="B1086" t="s">
        <v>22</v>
      </c>
      <c r="C1086" t="s">
        <v>4918</v>
      </c>
      <c r="D1086">
        <f t="shared" si="28"/>
        <v>-8006655851</v>
      </c>
      <c r="E1086" t="s">
        <v>4344</v>
      </c>
      <c r="F1086" t="s">
        <v>4114</v>
      </c>
      <c r="G1086" t="s">
        <v>4115</v>
      </c>
      <c r="H1086">
        <v>10.090837000000001</v>
      </c>
      <c r="I1086">
        <v>53.655121000000001</v>
      </c>
      <c r="J1086">
        <v>100</v>
      </c>
      <c r="K1086" t="s">
        <v>185</v>
      </c>
      <c r="L1086" t="s">
        <v>185</v>
      </c>
      <c r="M1086" t="s">
        <v>185</v>
      </c>
      <c r="N1086" t="s">
        <v>185</v>
      </c>
      <c r="O1086" t="s">
        <v>185</v>
      </c>
      <c r="P1086" t="s">
        <v>185</v>
      </c>
      <c r="R1086" t="s">
        <v>4919</v>
      </c>
      <c r="T1086" t="s">
        <v>4344</v>
      </c>
      <c r="U1086" t="s">
        <v>4920</v>
      </c>
    </row>
    <row r="1087" spans="1:21" x14ac:dyDescent="0.25">
      <c r="A1087" t="s">
        <v>4921</v>
      </c>
      <c r="B1087" t="s">
        <v>38</v>
      </c>
      <c r="C1087" t="s">
        <v>4922</v>
      </c>
      <c r="D1087">
        <f t="shared" si="28"/>
        <v>-8006655851</v>
      </c>
      <c r="E1087" t="s">
        <v>4923</v>
      </c>
      <c r="F1087" t="s">
        <v>4114</v>
      </c>
      <c r="G1087" t="s">
        <v>4115</v>
      </c>
      <c r="H1087">
        <v>10.876372999999999</v>
      </c>
      <c r="I1087">
        <v>48.050096000000003</v>
      </c>
      <c r="J1087">
        <v>100</v>
      </c>
      <c r="K1087" t="s">
        <v>184</v>
      </c>
      <c r="L1087" t="s">
        <v>184</v>
      </c>
      <c r="M1087" t="s">
        <v>184</v>
      </c>
      <c r="N1087" t="s">
        <v>184</v>
      </c>
      <c r="O1087" t="s">
        <v>184</v>
      </c>
      <c r="P1087" t="s">
        <v>262</v>
      </c>
      <c r="R1087" t="s">
        <v>4924</v>
      </c>
      <c r="T1087" t="s">
        <v>4123</v>
      </c>
      <c r="U1087" t="s">
        <v>4925</v>
      </c>
    </row>
    <row r="1088" spans="1:21" x14ac:dyDescent="0.25">
      <c r="A1088" t="s">
        <v>4926</v>
      </c>
      <c r="B1088" t="s">
        <v>38</v>
      </c>
      <c r="C1088" t="s">
        <v>4927</v>
      </c>
      <c r="D1088">
        <f t="shared" si="28"/>
        <v>-8006655851</v>
      </c>
      <c r="E1088" t="s">
        <v>4928</v>
      </c>
      <c r="F1088" t="s">
        <v>4114</v>
      </c>
      <c r="G1088" t="s">
        <v>4115</v>
      </c>
      <c r="H1088">
        <v>12.939124</v>
      </c>
      <c r="I1088">
        <v>50.846710000000002</v>
      </c>
      <c r="J1088">
        <v>110</v>
      </c>
      <c r="K1088" t="s">
        <v>45</v>
      </c>
      <c r="L1088" t="s">
        <v>45</v>
      </c>
      <c r="M1088" t="s">
        <v>45</v>
      </c>
      <c r="N1088" t="s">
        <v>45</v>
      </c>
      <c r="O1088" t="s">
        <v>45</v>
      </c>
      <c r="P1088" t="s">
        <v>45</v>
      </c>
      <c r="R1088" t="s">
        <v>4929</v>
      </c>
      <c r="T1088" t="s">
        <v>4248</v>
      </c>
      <c r="U1088" t="s">
        <v>4930</v>
      </c>
    </row>
    <row r="1089" spans="1:21" x14ac:dyDescent="0.25">
      <c r="A1089" t="s">
        <v>4931</v>
      </c>
      <c r="B1089" t="s">
        <v>38</v>
      </c>
      <c r="C1089" t="s">
        <v>4932</v>
      </c>
      <c r="D1089">
        <f t="shared" si="28"/>
        <v>-8006655851</v>
      </c>
      <c r="E1089" t="s">
        <v>4933</v>
      </c>
      <c r="F1089" t="s">
        <v>4114</v>
      </c>
      <c r="G1089" t="s">
        <v>4115</v>
      </c>
      <c r="H1089">
        <v>8.8765507936477697</v>
      </c>
      <c r="I1089">
        <v>49.252491367720999</v>
      </c>
      <c r="J1089">
        <v>100</v>
      </c>
      <c r="K1089" t="s">
        <v>535</v>
      </c>
      <c r="L1089" t="s">
        <v>535</v>
      </c>
      <c r="M1089" t="s">
        <v>535</v>
      </c>
      <c r="N1089" t="s">
        <v>535</v>
      </c>
      <c r="O1089" t="s">
        <v>535</v>
      </c>
      <c r="P1089" t="s">
        <v>4502</v>
      </c>
      <c r="R1089" t="s">
        <v>4932</v>
      </c>
      <c r="T1089" t="s">
        <v>4146</v>
      </c>
      <c r="U1089" t="s">
        <v>4934</v>
      </c>
    </row>
    <row r="1090" spans="1:21" x14ac:dyDescent="0.25">
      <c r="A1090" t="s">
        <v>4935</v>
      </c>
      <c r="B1090" t="s">
        <v>38</v>
      </c>
      <c r="C1090" t="s">
        <v>4936</v>
      </c>
      <c r="D1090">
        <f t="shared" si="28"/>
        <v>-8006655851</v>
      </c>
      <c r="E1090" t="s">
        <v>4937</v>
      </c>
      <c r="F1090" t="s">
        <v>4114</v>
      </c>
      <c r="G1090" t="s">
        <v>4115</v>
      </c>
      <c r="H1090">
        <v>11.465628000000001</v>
      </c>
      <c r="I1090">
        <v>53.892336999999998</v>
      </c>
      <c r="J1090">
        <v>100</v>
      </c>
      <c r="K1090" t="s">
        <v>535</v>
      </c>
      <c r="L1090" t="s">
        <v>535</v>
      </c>
      <c r="M1090" t="s">
        <v>535</v>
      </c>
      <c r="N1090" t="s">
        <v>535</v>
      </c>
      <c r="O1090" t="s">
        <v>535</v>
      </c>
      <c r="P1090" t="s">
        <v>535</v>
      </c>
      <c r="R1090" t="s">
        <v>4936</v>
      </c>
      <c r="T1090" t="s">
        <v>4480</v>
      </c>
      <c r="U1090" t="s">
        <v>4938</v>
      </c>
    </row>
    <row r="1091" spans="1:21" x14ac:dyDescent="0.25">
      <c r="A1091" t="s">
        <v>4939</v>
      </c>
      <c r="B1091" t="s">
        <v>38</v>
      </c>
      <c r="C1091" t="s">
        <v>4940</v>
      </c>
      <c r="D1091">
        <f t="shared" ref="D1091:D1122" si="29">49-8006655900</f>
        <v>-8006655851</v>
      </c>
      <c r="E1091" t="s">
        <v>4941</v>
      </c>
      <c r="F1091" t="s">
        <v>4114</v>
      </c>
      <c r="G1091" t="s">
        <v>4115</v>
      </c>
      <c r="H1091">
        <v>10.097775</v>
      </c>
      <c r="I1091">
        <v>54.312961000000001</v>
      </c>
      <c r="J1091">
        <v>100</v>
      </c>
      <c r="K1091" t="s">
        <v>185</v>
      </c>
      <c r="L1091" t="s">
        <v>185</v>
      </c>
      <c r="M1091" t="s">
        <v>185</v>
      </c>
      <c r="N1091" t="s">
        <v>2069</v>
      </c>
      <c r="O1091" t="s">
        <v>185</v>
      </c>
      <c r="P1091" t="s">
        <v>185</v>
      </c>
      <c r="R1091" t="s">
        <v>4942</v>
      </c>
      <c r="T1091" t="s">
        <v>4413</v>
      </c>
      <c r="U1091" t="s">
        <v>4943</v>
      </c>
    </row>
    <row r="1092" spans="1:21" x14ac:dyDescent="0.25">
      <c r="A1092" t="s">
        <v>4944</v>
      </c>
      <c r="B1092" t="s">
        <v>22</v>
      </c>
      <c r="C1092" t="s">
        <v>4945</v>
      </c>
      <c r="D1092">
        <f t="shared" si="29"/>
        <v>-8006655851</v>
      </c>
      <c r="E1092" t="s">
        <v>4571</v>
      </c>
      <c r="F1092" t="s">
        <v>4114</v>
      </c>
      <c r="G1092" t="s">
        <v>4115</v>
      </c>
      <c r="H1092">
        <v>9.188758</v>
      </c>
      <c r="I1092">
        <v>48.896940999999998</v>
      </c>
      <c r="J1092">
        <v>100</v>
      </c>
      <c r="K1092" t="s">
        <v>185</v>
      </c>
      <c r="L1092" t="s">
        <v>185</v>
      </c>
      <c r="M1092" t="s">
        <v>185</v>
      </c>
      <c r="N1092" t="s">
        <v>185</v>
      </c>
      <c r="O1092" t="s">
        <v>185</v>
      </c>
      <c r="P1092" t="s">
        <v>185</v>
      </c>
      <c r="R1092" t="s">
        <v>4946</v>
      </c>
      <c r="T1092" t="s">
        <v>4146</v>
      </c>
      <c r="U1092" t="s">
        <v>4947</v>
      </c>
    </row>
    <row r="1093" spans="1:21" x14ac:dyDescent="0.25">
      <c r="A1093" t="s">
        <v>4948</v>
      </c>
      <c r="B1093" t="s">
        <v>38</v>
      </c>
      <c r="C1093" t="s">
        <v>4949</v>
      </c>
      <c r="D1093">
        <f t="shared" si="29"/>
        <v>-8006655851</v>
      </c>
      <c r="E1093" t="s">
        <v>4950</v>
      </c>
      <c r="F1093" t="s">
        <v>4114</v>
      </c>
      <c r="G1093" t="s">
        <v>4115</v>
      </c>
      <c r="H1093">
        <v>8.1915180000000003</v>
      </c>
      <c r="I1093">
        <v>48.782677</v>
      </c>
      <c r="J1093">
        <v>100</v>
      </c>
      <c r="K1093" t="s">
        <v>185</v>
      </c>
      <c r="L1093" t="s">
        <v>185</v>
      </c>
      <c r="M1093" t="s">
        <v>185</v>
      </c>
      <c r="N1093" t="s">
        <v>185</v>
      </c>
      <c r="O1093" t="s">
        <v>185</v>
      </c>
      <c r="P1093" t="s">
        <v>185</v>
      </c>
      <c r="R1093" t="s">
        <v>4951</v>
      </c>
      <c r="T1093" t="s">
        <v>4146</v>
      </c>
      <c r="U1093" t="s">
        <v>4952</v>
      </c>
    </row>
    <row r="1094" spans="1:21" x14ac:dyDescent="0.25">
      <c r="A1094" t="s">
        <v>4953</v>
      </c>
      <c r="B1094" t="s">
        <v>38</v>
      </c>
      <c r="C1094" t="s">
        <v>4954</v>
      </c>
      <c r="D1094">
        <f t="shared" si="29"/>
        <v>-8006655851</v>
      </c>
      <c r="E1094" t="s">
        <v>4955</v>
      </c>
      <c r="F1094" t="s">
        <v>4114</v>
      </c>
      <c r="G1094" t="s">
        <v>4115</v>
      </c>
      <c r="H1094">
        <v>7.2911570000000001</v>
      </c>
      <c r="I1094">
        <v>52.691643999999997</v>
      </c>
      <c r="J1094">
        <v>110</v>
      </c>
      <c r="K1094" t="s">
        <v>745</v>
      </c>
      <c r="L1094" t="s">
        <v>745</v>
      </c>
      <c r="M1094" t="s">
        <v>745</v>
      </c>
      <c r="N1094" t="s">
        <v>745</v>
      </c>
      <c r="O1094" t="s">
        <v>745</v>
      </c>
      <c r="P1094" t="s">
        <v>262</v>
      </c>
      <c r="R1094" t="s">
        <v>4954</v>
      </c>
      <c r="T1094" t="s">
        <v>4258</v>
      </c>
      <c r="U1094" t="s">
        <v>4956</v>
      </c>
    </row>
    <row r="1095" spans="1:21" x14ac:dyDescent="0.25">
      <c r="A1095" t="s">
        <v>4957</v>
      </c>
      <c r="B1095" t="s">
        <v>22</v>
      </c>
      <c r="C1095" t="s">
        <v>4958</v>
      </c>
      <c r="D1095">
        <f t="shared" si="29"/>
        <v>-8006655851</v>
      </c>
      <c r="E1095" t="s">
        <v>4959</v>
      </c>
      <c r="F1095" t="s">
        <v>4114</v>
      </c>
      <c r="G1095" t="s">
        <v>4115</v>
      </c>
      <c r="H1095">
        <v>8.8809749999999994</v>
      </c>
      <c r="I1095">
        <v>51.936377999999998</v>
      </c>
      <c r="J1095">
        <v>100</v>
      </c>
      <c r="K1095" t="s">
        <v>535</v>
      </c>
      <c r="L1095" t="s">
        <v>535</v>
      </c>
      <c r="M1095" t="s">
        <v>535</v>
      </c>
      <c r="N1095" t="s">
        <v>535</v>
      </c>
      <c r="O1095" t="s">
        <v>535</v>
      </c>
      <c r="P1095" t="s">
        <v>428</v>
      </c>
      <c r="R1095" t="s">
        <v>4958</v>
      </c>
      <c r="T1095" t="s">
        <v>4117</v>
      </c>
      <c r="U1095" t="s">
        <v>4960</v>
      </c>
    </row>
    <row r="1096" spans="1:21" x14ac:dyDescent="0.25">
      <c r="A1096" t="s">
        <v>4961</v>
      </c>
      <c r="B1096" t="s">
        <v>22</v>
      </c>
      <c r="C1096" t="s">
        <v>4962</v>
      </c>
      <c r="D1096">
        <f t="shared" si="29"/>
        <v>-8006655851</v>
      </c>
      <c r="E1096" t="s">
        <v>4682</v>
      </c>
      <c r="F1096" t="s">
        <v>4114</v>
      </c>
      <c r="G1096" t="s">
        <v>4115</v>
      </c>
      <c r="H1096">
        <v>9.7394029999999994</v>
      </c>
      <c r="I1096">
        <v>52.377232999999997</v>
      </c>
      <c r="J1096">
        <v>110</v>
      </c>
      <c r="K1096" t="s">
        <v>45</v>
      </c>
      <c r="L1096" t="s">
        <v>45</v>
      </c>
      <c r="M1096" t="s">
        <v>45</v>
      </c>
      <c r="N1096" t="s">
        <v>45</v>
      </c>
      <c r="O1096" t="s">
        <v>45</v>
      </c>
      <c r="P1096" t="s">
        <v>45</v>
      </c>
      <c r="R1096" t="s">
        <v>4963</v>
      </c>
      <c r="T1096" t="s">
        <v>4258</v>
      </c>
      <c r="U1096" t="s">
        <v>4964</v>
      </c>
    </row>
    <row r="1097" spans="1:21" x14ac:dyDescent="0.25">
      <c r="A1097" t="s">
        <v>4965</v>
      </c>
      <c r="B1097" t="s">
        <v>22</v>
      </c>
      <c r="C1097" t="s">
        <v>4966</v>
      </c>
      <c r="D1097">
        <f t="shared" si="29"/>
        <v>-8006655851</v>
      </c>
      <c r="E1097" t="s">
        <v>4139</v>
      </c>
      <c r="F1097" t="s">
        <v>4114</v>
      </c>
      <c r="G1097" t="s">
        <v>4115</v>
      </c>
      <c r="H1097">
        <v>6.6900969999999997</v>
      </c>
      <c r="I1097">
        <v>51.199514999999998</v>
      </c>
      <c r="J1097">
        <v>100</v>
      </c>
      <c r="K1097" t="s">
        <v>535</v>
      </c>
      <c r="L1097" t="s">
        <v>535</v>
      </c>
      <c r="M1097" t="s">
        <v>535</v>
      </c>
      <c r="N1097" t="s">
        <v>535</v>
      </c>
      <c r="O1097" t="s">
        <v>535</v>
      </c>
      <c r="P1097" t="s">
        <v>428</v>
      </c>
      <c r="R1097" t="s">
        <v>4966</v>
      </c>
      <c r="T1097" t="s">
        <v>4117</v>
      </c>
      <c r="U1097" t="s">
        <v>4967</v>
      </c>
    </row>
    <row r="1098" spans="1:21" x14ac:dyDescent="0.25">
      <c r="A1098" t="s">
        <v>4968</v>
      </c>
      <c r="B1098" t="s">
        <v>22</v>
      </c>
      <c r="C1098" t="s">
        <v>4969</v>
      </c>
      <c r="D1098">
        <f t="shared" si="29"/>
        <v>-8006655851</v>
      </c>
      <c r="E1098" t="s">
        <v>4970</v>
      </c>
      <c r="F1098" t="s">
        <v>4114</v>
      </c>
      <c r="G1098" t="s">
        <v>4115</v>
      </c>
      <c r="H1098">
        <v>12.131506407409599</v>
      </c>
      <c r="I1098">
        <v>54.088559414345703</v>
      </c>
      <c r="J1098">
        <v>100</v>
      </c>
      <c r="K1098" t="s">
        <v>45</v>
      </c>
      <c r="L1098" t="s">
        <v>45</v>
      </c>
      <c r="M1098" t="s">
        <v>45</v>
      </c>
      <c r="N1098" t="s">
        <v>45</v>
      </c>
      <c r="O1098" t="s">
        <v>45</v>
      </c>
      <c r="P1098" t="s">
        <v>45</v>
      </c>
      <c r="R1098" t="s">
        <v>4969</v>
      </c>
      <c r="T1098" t="s">
        <v>4480</v>
      </c>
      <c r="U1098" t="s">
        <v>4971</v>
      </c>
    </row>
    <row r="1099" spans="1:21" x14ac:dyDescent="0.25">
      <c r="A1099" t="s">
        <v>4972</v>
      </c>
      <c r="B1099" t="s">
        <v>38</v>
      </c>
      <c r="C1099" t="s">
        <v>4973</v>
      </c>
      <c r="D1099">
        <f t="shared" si="29"/>
        <v>-8006655851</v>
      </c>
      <c r="E1099" t="s">
        <v>4974</v>
      </c>
      <c r="F1099" t="s">
        <v>4114</v>
      </c>
      <c r="G1099" t="s">
        <v>4115</v>
      </c>
      <c r="H1099">
        <v>9.8796259067459005</v>
      </c>
      <c r="I1099">
        <v>53.327835337719101</v>
      </c>
      <c r="J1099">
        <v>110</v>
      </c>
      <c r="K1099" t="s">
        <v>184</v>
      </c>
      <c r="L1099" t="s">
        <v>184</v>
      </c>
      <c r="M1099" t="s">
        <v>184</v>
      </c>
      <c r="N1099" t="s">
        <v>184</v>
      </c>
      <c r="O1099" t="s">
        <v>184</v>
      </c>
      <c r="P1099" t="s">
        <v>262</v>
      </c>
      <c r="R1099" t="s">
        <v>4975</v>
      </c>
      <c r="T1099" t="s">
        <v>4258</v>
      </c>
      <c r="U1099" t="s">
        <v>4976</v>
      </c>
    </row>
    <row r="1100" spans="1:21" x14ac:dyDescent="0.25">
      <c r="A1100" t="s">
        <v>4977</v>
      </c>
      <c r="B1100" t="s">
        <v>32</v>
      </c>
      <c r="C1100" t="s">
        <v>4978</v>
      </c>
      <c r="D1100">
        <f t="shared" si="29"/>
        <v>-8006655851</v>
      </c>
      <c r="E1100" t="s">
        <v>4266</v>
      </c>
      <c r="F1100" t="s">
        <v>4114</v>
      </c>
      <c r="G1100" t="s">
        <v>4115</v>
      </c>
      <c r="H1100">
        <v>13.414792</v>
      </c>
      <c r="I1100">
        <v>52.519900999999997</v>
      </c>
      <c r="J1100">
        <v>100</v>
      </c>
      <c r="K1100" t="s">
        <v>45</v>
      </c>
      <c r="L1100" t="s">
        <v>45</v>
      </c>
      <c r="M1100" t="s">
        <v>45</v>
      </c>
      <c r="N1100" t="s">
        <v>45</v>
      </c>
      <c r="O1100" t="s">
        <v>45</v>
      </c>
      <c r="P1100" t="s">
        <v>45</v>
      </c>
      <c r="R1100" t="s">
        <v>4979</v>
      </c>
      <c r="T1100" t="s">
        <v>4268</v>
      </c>
      <c r="U1100" t="s">
        <v>4980</v>
      </c>
    </row>
    <row r="1101" spans="1:21" x14ac:dyDescent="0.25">
      <c r="A1101" t="s">
        <v>4981</v>
      </c>
      <c r="B1101" t="s">
        <v>38</v>
      </c>
      <c r="C1101" t="s">
        <v>4982</v>
      </c>
      <c r="D1101">
        <f t="shared" si="29"/>
        <v>-8006655851</v>
      </c>
      <c r="E1101" t="s">
        <v>4983</v>
      </c>
      <c r="F1101" t="s">
        <v>4114</v>
      </c>
      <c r="G1101" t="s">
        <v>4115</v>
      </c>
      <c r="H1101">
        <v>7.7161790000000003</v>
      </c>
      <c r="I1101">
        <v>52.277586999999997</v>
      </c>
      <c r="J1101">
        <v>110</v>
      </c>
      <c r="K1101" t="s">
        <v>728</v>
      </c>
      <c r="L1101" t="s">
        <v>728</v>
      </c>
      <c r="M1101" t="s">
        <v>728</v>
      </c>
      <c r="N1101" t="s">
        <v>728</v>
      </c>
      <c r="O1101" t="s">
        <v>728</v>
      </c>
      <c r="P1101" t="s">
        <v>262</v>
      </c>
      <c r="R1101" t="s">
        <v>4982</v>
      </c>
      <c r="T1101" t="s">
        <v>4117</v>
      </c>
      <c r="U1101" t="s">
        <v>4984</v>
      </c>
    </row>
    <row r="1102" spans="1:21" x14ac:dyDescent="0.25">
      <c r="A1102" t="s">
        <v>4985</v>
      </c>
      <c r="B1102" t="s">
        <v>38</v>
      </c>
      <c r="C1102" t="s">
        <v>4986</v>
      </c>
      <c r="D1102">
        <f t="shared" si="29"/>
        <v>-8006655851</v>
      </c>
      <c r="E1102" t="s">
        <v>4987</v>
      </c>
      <c r="F1102" t="s">
        <v>4114</v>
      </c>
      <c r="G1102" t="s">
        <v>4115</v>
      </c>
      <c r="H1102">
        <v>9.4757455587387103</v>
      </c>
      <c r="I1102">
        <v>53.600024539437499</v>
      </c>
      <c r="J1102">
        <v>100</v>
      </c>
      <c r="K1102" t="s">
        <v>428</v>
      </c>
      <c r="L1102" t="s">
        <v>428</v>
      </c>
      <c r="M1102" t="s">
        <v>428</v>
      </c>
      <c r="N1102" t="s">
        <v>428</v>
      </c>
      <c r="O1102" t="s">
        <v>428</v>
      </c>
      <c r="P1102" t="s">
        <v>428</v>
      </c>
      <c r="R1102" t="s">
        <v>4986</v>
      </c>
      <c r="T1102" t="s">
        <v>4258</v>
      </c>
      <c r="U1102" t="s">
        <v>4988</v>
      </c>
    </row>
    <row r="1103" spans="1:21" x14ac:dyDescent="0.25">
      <c r="A1103" t="s">
        <v>4989</v>
      </c>
      <c r="B1103" t="s">
        <v>38</v>
      </c>
      <c r="C1103" t="s">
        <v>4990</v>
      </c>
      <c r="D1103">
        <f t="shared" si="29"/>
        <v>-8006655851</v>
      </c>
      <c r="E1103" t="s">
        <v>4991</v>
      </c>
      <c r="F1103" t="s">
        <v>4114</v>
      </c>
      <c r="G1103" t="s">
        <v>4115</v>
      </c>
      <c r="H1103">
        <v>7.1814640000000001</v>
      </c>
      <c r="I1103">
        <v>51.397860000000001</v>
      </c>
      <c r="J1103">
        <v>100</v>
      </c>
      <c r="K1103" t="s">
        <v>45</v>
      </c>
      <c r="L1103" t="s">
        <v>45</v>
      </c>
      <c r="M1103" t="s">
        <v>45</v>
      </c>
      <c r="N1103" t="s">
        <v>45</v>
      </c>
      <c r="O1103" t="s">
        <v>45</v>
      </c>
      <c r="P1103" t="s">
        <v>45</v>
      </c>
      <c r="R1103" t="s">
        <v>4992</v>
      </c>
      <c r="T1103" t="s">
        <v>4117</v>
      </c>
      <c r="U1103" t="s">
        <v>4993</v>
      </c>
    </row>
    <row r="1104" spans="1:21" x14ac:dyDescent="0.25">
      <c r="A1104" t="s">
        <v>4994</v>
      </c>
      <c r="B1104" t="s">
        <v>38</v>
      </c>
      <c r="C1104" t="s">
        <v>4995</v>
      </c>
      <c r="D1104">
        <f t="shared" si="29"/>
        <v>-8006655851</v>
      </c>
      <c r="E1104" t="s">
        <v>4996</v>
      </c>
      <c r="F1104" t="s">
        <v>4114</v>
      </c>
      <c r="G1104" t="s">
        <v>4115</v>
      </c>
      <c r="H1104">
        <v>9.2059519999999999</v>
      </c>
      <c r="I1104">
        <v>52.640148000000003</v>
      </c>
      <c r="J1104">
        <v>100</v>
      </c>
      <c r="K1104" t="s">
        <v>745</v>
      </c>
      <c r="L1104" t="s">
        <v>745</v>
      </c>
      <c r="M1104" t="s">
        <v>745</v>
      </c>
      <c r="N1104" t="s">
        <v>745</v>
      </c>
      <c r="O1104" t="s">
        <v>745</v>
      </c>
      <c r="P1104" t="s">
        <v>428</v>
      </c>
      <c r="R1104" t="s">
        <v>4995</v>
      </c>
      <c r="T1104" t="s">
        <v>4258</v>
      </c>
      <c r="U1104" t="s">
        <v>4997</v>
      </c>
    </row>
    <row r="1105" spans="1:21" x14ac:dyDescent="0.25">
      <c r="A1105" t="s">
        <v>4998</v>
      </c>
      <c r="B1105" t="s">
        <v>22</v>
      </c>
      <c r="C1105" t="s">
        <v>4999</v>
      </c>
      <c r="D1105">
        <f t="shared" si="29"/>
        <v>-8006655851</v>
      </c>
      <c r="E1105" t="s">
        <v>5000</v>
      </c>
      <c r="F1105" t="s">
        <v>4114</v>
      </c>
      <c r="G1105" t="s">
        <v>4115</v>
      </c>
      <c r="H1105">
        <v>9.2169039999999995</v>
      </c>
      <c r="I1105">
        <v>49.14049</v>
      </c>
      <c r="J1105">
        <v>100</v>
      </c>
      <c r="K1105" t="s">
        <v>185</v>
      </c>
      <c r="L1105" t="s">
        <v>185</v>
      </c>
      <c r="M1105" t="s">
        <v>185</v>
      </c>
      <c r="N1105" t="s">
        <v>185</v>
      </c>
      <c r="O1105" t="s">
        <v>185</v>
      </c>
      <c r="P1105" t="s">
        <v>185</v>
      </c>
      <c r="R1105" t="s">
        <v>5001</v>
      </c>
      <c r="T1105" t="s">
        <v>4146</v>
      </c>
      <c r="U1105" t="s">
        <v>5002</v>
      </c>
    </row>
    <row r="1106" spans="1:21" x14ac:dyDescent="0.25">
      <c r="A1106" t="s">
        <v>5003</v>
      </c>
      <c r="B1106" t="s">
        <v>38</v>
      </c>
      <c r="C1106" t="s">
        <v>5004</v>
      </c>
      <c r="D1106">
        <f t="shared" si="29"/>
        <v>-8006655851</v>
      </c>
      <c r="E1106" t="s">
        <v>5005</v>
      </c>
      <c r="F1106" t="s">
        <v>4114</v>
      </c>
      <c r="G1106" t="s">
        <v>4115</v>
      </c>
      <c r="H1106">
        <v>9.0263120000000008</v>
      </c>
      <c r="I1106">
        <v>48.212688999999997</v>
      </c>
      <c r="J1106">
        <v>100</v>
      </c>
      <c r="K1106" t="s">
        <v>535</v>
      </c>
      <c r="L1106" t="s">
        <v>535</v>
      </c>
      <c r="M1106" t="s">
        <v>535</v>
      </c>
      <c r="N1106" t="s">
        <v>535</v>
      </c>
      <c r="O1106" t="s">
        <v>535</v>
      </c>
      <c r="P1106" t="s">
        <v>428</v>
      </c>
      <c r="R1106" t="s">
        <v>5004</v>
      </c>
      <c r="T1106" t="s">
        <v>4146</v>
      </c>
      <c r="U1106" t="s">
        <v>5006</v>
      </c>
    </row>
    <row r="1107" spans="1:21" x14ac:dyDescent="0.25">
      <c r="A1107" t="s">
        <v>5007</v>
      </c>
      <c r="B1107" t="s">
        <v>22</v>
      </c>
      <c r="C1107" t="s">
        <v>5008</v>
      </c>
      <c r="D1107">
        <f t="shared" si="29"/>
        <v>-8006655851</v>
      </c>
      <c r="E1107" t="s">
        <v>4786</v>
      </c>
      <c r="F1107" t="s">
        <v>4114</v>
      </c>
      <c r="G1107" t="s">
        <v>4115</v>
      </c>
      <c r="H1107">
        <v>6.8346960000000001</v>
      </c>
      <c r="I1107">
        <v>50.937564999999999</v>
      </c>
      <c r="J1107">
        <v>100</v>
      </c>
      <c r="K1107" t="s">
        <v>45</v>
      </c>
      <c r="L1107" t="s">
        <v>45</v>
      </c>
      <c r="M1107" t="s">
        <v>45</v>
      </c>
      <c r="N1107" t="s">
        <v>45</v>
      </c>
      <c r="O1107" t="s">
        <v>45</v>
      </c>
      <c r="P1107" t="s">
        <v>45</v>
      </c>
      <c r="R1107" t="s">
        <v>5009</v>
      </c>
      <c r="T1107" t="s">
        <v>4117</v>
      </c>
      <c r="U1107" t="s">
        <v>5010</v>
      </c>
    </row>
    <row r="1108" spans="1:21" x14ac:dyDescent="0.25">
      <c r="A1108" t="s">
        <v>5011</v>
      </c>
      <c r="B1108" t="s">
        <v>22</v>
      </c>
      <c r="C1108" t="s">
        <v>5012</v>
      </c>
      <c r="D1108">
        <f t="shared" si="29"/>
        <v>-8006655851</v>
      </c>
      <c r="E1108" t="s">
        <v>5013</v>
      </c>
      <c r="F1108" t="s">
        <v>4114</v>
      </c>
      <c r="G1108" t="s">
        <v>4115</v>
      </c>
      <c r="H1108">
        <v>7.1659759999999997</v>
      </c>
      <c r="I1108">
        <v>51.944189999999999</v>
      </c>
      <c r="J1108">
        <v>100</v>
      </c>
      <c r="K1108" t="s">
        <v>184</v>
      </c>
      <c r="L1108" t="s">
        <v>184</v>
      </c>
      <c r="M1108" t="s">
        <v>184</v>
      </c>
      <c r="N1108" t="s">
        <v>184</v>
      </c>
      <c r="O1108" t="s">
        <v>184</v>
      </c>
      <c r="P1108" t="s">
        <v>578</v>
      </c>
      <c r="R1108" t="s">
        <v>5014</v>
      </c>
      <c r="T1108" t="s">
        <v>4117</v>
      </c>
      <c r="U1108" t="s">
        <v>5015</v>
      </c>
    </row>
    <row r="1109" spans="1:21" x14ac:dyDescent="0.25">
      <c r="A1109" t="s">
        <v>5016</v>
      </c>
      <c r="B1109" t="s">
        <v>38</v>
      </c>
      <c r="C1109" t="s">
        <v>5017</v>
      </c>
      <c r="D1109">
        <f t="shared" si="29"/>
        <v>-8006655851</v>
      </c>
      <c r="E1109" t="s">
        <v>4266</v>
      </c>
      <c r="F1109" t="s">
        <v>4114</v>
      </c>
      <c r="G1109" t="s">
        <v>4115</v>
      </c>
      <c r="H1109">
        <v>13.354710000000001</v>
      </c>
      <c r="I1109">
        <v>52.549196999999999</v>
      </c>
      <c r="J1109">
        <v>100</v>
      </c>
      <c r="K1109" t="s">
        <v>45</v>
      </c>
      <c r="L1109" t="s">
        <v>45</v>
      </c>
      <c r="M1109" t="s">
        <v>45</v>
      </c>
      <c r="N1109" t="s">
        <v>45</v>
      </c>
      <c r="O1109" t="s">
        <v>45</v>
      </c>
      <c r="P1109" t="s">
        <v>45</v>
      </c>
      <c r="R1109" t="s">
        <v>5017</v>
      </c>
      <c r="T1109" t="s">
        <v>4278</v>
      </c>
      <c r="U1109" t="s">
        <v>5018</v>
      </c>
    </row>
    <row r="1110" spans="1:21" x14ac:dyDescent="0.25">
      <c r="A1110" t="s">
        <v>5019</v>
      </c>
      <c r="B1110" t="s">
        <v>38</v>
      </c>
      <c r="C1110" t="s">
        <v>5020</v>
      </c>
      <c r="D1110">
        <f t="shared" si="29"/>
        <v>-8006655851</v>
      </c>
      <c r="E1110" t="s">
        <v>5021</v>
      </c>
      <c r="F1110" t="s">
        <v>4114</v>
      </c>
      <c r="G1110" t="s">
        <v>4115</v>
      </c>
      <c r="H1110">
        <v>8.1760870000000008</v>
      </c>
      <c r="I1110">
        <v>53.157654000000001</v>
      </c>
      <c r="J1110">
        <v>110</v>
      </c>
      <c r="K1110" t="s">
        <v>185</v>
      </c>
      <c r="L1110" t="s">
        <v>185</v>
      </c>
      <c r="M1110" t="s">
        <v>185</v>
      </c>
      <c r="N1110" t="s">
        <v>185</v>
      </c>
      <c r="O1110" t="s">
        <v>185</v>
      </c>
      <c r="P1110" t="s">
        <v>185</v>
      </c>
      <c r="R1110" t="s">
        <v>5022</v>
      </c>
      <c r="T1110" t="s">
        <v>4258</v>
      </c>
      <c r="U1110" t="s">
        <v>5023</v>
      </c>
    </row>
    <row r="1111" spans="1:21" x14ac:dyDescent="0.25">
      <c r="A1111" t="s">
        <v>5024</v>
      </c>
      <c r="B1111" t="s">
        <v>22</v>
      </c>
      <c r="C1111" t="s">
        <v>5025</v>
      </c>
      <c r="D1111">
        <f t="shared" si="29"/>
        <v>-8006655851</v>
      </c>
      <c r="E1111" t="s">
        <v>4266</v>
      </c>
      <c r="F1111" t="s">
        <v>4114</v>
      </c>
      <c r="G1111" t="s">
        <v>4115</v>
      </c>
      <c r="H1111">
        <v>13.385363</v>
      </c>
      <c r="I1111">
        <v>52.455733000000002</v>
      </c>
      <c r="J1111">
        <v>100</v>
      </c>
      <c r="K1111" t="s">
        <v>45</v>
      </c>
      <c r="L1111" t="s">
        <v>45</v>
      </c>
      <c r="M1111" t="s">
        <v>45</v>
      </c>
      <c r="N1111" t="s">
        <v>45</v>
      </c>
      <c r="O1111" t="s">
        <v>45</v>
      </c>
      <c r="P1111" t="s">
        <v>45</v>
      </c>
      <c r="R1111" t="s">
        <v>5026</v>
      </c>
      <c r="T1111" t="s">
        <v>4278</v>
      </c>
      <c r="U1111" t="s">
        <v>5027</v>
      </c>
    </row>
    <row r="1112" spans="1:21" x14ac:dyDescent="0.25">
      <c r="A1112" t="s">
        <v>5028</v>
      </c>
      <c r="B1112" t="s">
        <v>22</v>
      </c>
      <c r="C1112" t="s">
        <v>5029</v>
      </c>
      <c r="D1112">
        <f t="shared" si="29"/>
        <v>-8006655851</v>
      </c>
      <c r="E1112" t="s">
        <v>5030</v>
      </c>
      <c r="F1112" t="s">
        <v>4114</v>
      </c>
      <c r="G1112" t="s">
        <v>4115</v>
      </c>
      <c r="H1112">
        <v>6.7690390000000003</v>
      </c>
      <c r="I1112">
        <v>51.431645000000003</v>
      </c>
      <c r="J1112">
        <v>100</v>
      </c>
      <c r="K1112" t="s">
        <v>185</v>
      </c>
      <c r="L1112" t="s">
        <v>185</v>
      </c>
      <c r="M1112" t="s">
        <v>185</v>
      </c>
      <c r="N1112" t="s">
        <v>185</v>
      </c>
      <c r="O1112" t="s">
        <v>185</v>
      </c>
      <c r="P1112" t="s">
        <v>185</v>
      </c>
      <c r="R1112" t="s">
        <v>5031</v>
      </c>
      <c r="T1112" t="s">
        <v>4117</v>
      </c>
      <c r="U1112" t="s">
        <v>5032</v>
      </c>
    </row>
    <row r="1113" spans="1:21" x14ac:dyDescent="0.25">
      <c r="A1113" t="s">
        <v>5033</v>
      </c>
      <c r="B1113" t="s">
        <v>22</v>
      </c>
      <c r="C1113" t="s">
        <v>5034</v>
      </c>
      <c r="D1113">
        <f t="shared" si="29"/>
        <v>-8006655851</v>
      </c>
      <c r="E1113" t="s">
        <v>4266</v>
      </c>
      <c r="F1113" t="s">
        <v>4114</v>
      </c>
      <c r="G1113" t="s">
        <v>4115</v>
      </c>
      <c r="H1113">
        <v>13.305607</v>
      </c>
      <c r="I1113">
        <v>52.508437000000001</v>
      </c>
      <c r="J1113">
        <v>100</v>
      </c>
      <c r="K1113" t="s">
        <v>45</v>
      </c>
      <c r="L1113" t="s">
        <v>45</v>
      </c>
      <c r="M1113" t="s">
        <v>45</v>
      </c>
      <c r="N1113" t="s">
        <v>45</v>
      </c>
      <c r="O1113" t="s">
        <v>45</v>
      </c>
      <c r="P1113" t="s">
        <v>45</v>
      </c>
      <c r="R1113" t="s">
        <v>5035</v>
      </c>
      <c r="T1113" t="s">
        <v>4278</v>
      </c>
      <c r="U1113" t="s">
        <v>5036</v>
      </c>
    </row>
    <row r="1114" spans="1:21" x14ac:dyDescent="0.25">
      <c r="A1114" t="s">
        <v>5037</v>
      </c>
      <c r="B1114" t="s">
        <v>38</v>
      </c>
      <c r="C1114" t="s">
        <v>4112</v>
      </c>
      <c r="D1114">
        <f t="shared" si="29"/>
        <v>-8006655851</v>
      </c>
      <c r="E1114" t="s">
        <v>5038</v>
      </c>
      <c r="F1114" t="s">
        <v>4114</v>
      </c>
      <c r="G1114" t="s">
        <v>4115</v>
      </c>
      <c r="H1114">
        <v>7.1864613513838602</v>
      </c>
      <c r="I1114">
        <v>51.182984201374097</v>
      </c>
      <c r="J1114">
        <v>100</v>
      </c>
      <c r="K1114" t="s">
        <v>535</v>
      </c>
      <c r="L1114" t="s">
        <v>535</v>
      </c>
      <c r="M1114" t="s">
        <v>535</v>
      </c>
      <c r="N1114" t="s">
        <v>535</v>
      </c>
      <c r="O1114" t="s">
        <v>535</v>
      </c>
      <c r="P1114" t="s">
        <v>535</v>
      </c>
      <c r="R1114" t="s">
        <v>5039</v>
      </c>
      <c r="T1114" t="s">
        <v>4117</v>
      </c>
      <c r="U1114" t="s">
        <v>5040</v>
      </c>
    </row>
    <row r="1115" spans="1:21" x14ac:dyDescent="0.25">
      <c r="A1115" t="s">
        <v>5041</v>
      </c>
      <c r="B1115" t="s">
        <v>22</v>
      </c>
      <c r="C1115" t="s">
        <v>5042</v>
      </c>
      <c r="D1115">
        <f t="shared" si="29"/>
        <v>-8006655851</v>
      </c>
      <c r="E1115" t="s">
        <v>5043</v>
      </c>
      <c r="F1115" t="s">
        <v>4114</v>
      </c>
      <c r="G1115" t="s">
        <v>4115</v>
      </c>
      <c r="H1115">
        <v>9.9350400000000008</v>
      </c>
      <c r="I1115">
        <v>51.535794000000003</v>
      </c>
      <c r="J1115">
        <v>110</v>
      </c>
      <c r="K1115" t="s">
        <v>535</v>
      </c>
      <c r="L1115" t="s">
        <v>535</v>
      </c>
      <c r="M1115" t="s">
        <v>535</v>
      </c>
      <c r="N1115" t="s">
        <v>535</v>
      </c>
      <c r="O1115" t="s">
        <v>535</v>
      </c>
      <c r="P1115" t="s">
        <v>535</v>
      </c>
      <c r="R1115" t="s">
        <v>5042</v>
      </c>
      <c r="T1115" t="s">
        <v>4258</v>
      </c>
      <c r="U1115" t="s">
        <v>5044</v>
      </c>
    </row>
    <row r="1116" spans="1:21" x14ac:dyDescent="0.25">
      <c r="A1116" t="s">
        <v>5045</v>
      </c>
      <c r="B1116" t="s">
        <v>38</v>
      </c>
      <c r="C1116" t="s">
        <v>5046</v>
      </c>
      <c r="D1116">
        <f t="shared" si="29"/>
        <v>-8006655851</v>
      </c>
      <c r="E1116" t="s">
        <v>5047</v>
      </c>
      <c r="F1116" t="s">
        <v>4114</v>
      </c>
      <c r="G1116" t="s">
        <v>4115</v>
      </c>
      <c r="H1116">
        <v>10.428589000000001</v>
      </c>
      <c r="I1116">
        <v>51.907099000000002</v>
      </c>
      <c r="J1116">
        <v>100</v>
      </c>
      <c r="K1116" t="s">
        <v>184</v>
      </c>
      <c r="L1116" t="s">
        <v>184</v>
      </c>
      <c r="M1116" t="s">
        <v>184</v>
      </c>
      <c r="N1116" t="s">
        <v>184</v>
      </c>
      <c r="O1116" t="s">
        <v>184</v>
      </c>
      <c r="P1116" t="s">
        <v>184</v>
      </c>
      <c r="R1116" t="s">
        <v>5048</v>
      </c>
      <c r="T1116" t="s">
        <v>4258</v>
      </c>
      <c r="U1116" t="s">
        <v>5049</v>
      </c>
    </row>
    <row r="1117" spans="1:21" x14ac:dyDescent="0.25">
      <c r="A1117" t="s">
        <v>5050</v>
      </c>
      <c r="B1117" t="s">
        <v>38</v>
      </c>
      <c r="C1117" t="s">
        <v>5051</v>
      </c>
      <c r="D1117">
        <f t="shared" si="29"/>
        <v>-8006655851</v>
      </c>
      <c r="E1117" t="s">
        <v>5052</v>
      </c>
      <c r="F1117" t="s">
        <v>4114</v>
      </c>
      <c r="G1117" t="s">
        <v>4115</v>
      </c>
      <c r="H1117">
        <v>7.3321579999999997</v>
      </c>
      <c r="I1117">
        <v>51.436964000000003</v>
      </c>
      <c r="J1117">
        <v>100</v>
      </c>
      <c r="K1117" t="s">
        <v>535</v>
      </c>
      <c r="L1117" t="s">
        <v>535</v>
      </c>
      <c r="M1117" t="s">
        <v>535</v>
      </c>
      <c r="N1117" t="s">
        <v>535</v>
      </c>
      <c r="O1117" t="s">
        <v>535</v>
      </c>
      <c r="P1117" t="s">
        <v>535</v>
      </c>
      <c r="R1117" t="s">
        <v>5053</v>
      </c>
      <c r="T1117" t="s">
        <v>4117</v>
      </c>
      <c r="U1117" t="s">
        <v>5054</v>
      </c>
    </row>
    <row r="1118" spans="1:21" x14ac:dyDescent="0.25">
      <c r="A1118" t="s">
        <v>5055</v>
      </c>
      <c r="B1118" t="s">
        <v>38</v>
      </c>
      <c r="C1118" t="s">
        <v>5056</v>
      </c>
      <c r="D1118">
        <f t="shared" si="29"/>
        <v>-8006655851</v>
      </c>
      <c r="E1118" t="s">
        <v>4169</v>
      </c>
      <c r="F1118" t="s">
        <v>4114</v>
      </c>
      <c r="G1118" t="s">
        <v>4115</v>
      </c>
      <c r="H1118">
        <v>11.564014</v>
      </c>
      <c r="I1118">
        <v>48.212843999999997</v>
      </c>
      <c r="J1118">
        <v>100</v>
      </c>
      <c r="K1118" t="s">
        <v>45</v>
      </c>
      <c r="L1118" t="s">
        <v>45</v>
      </c>
      <c r="M1118" t="s">
        <v>45</v>
      </c>
      <c r="N1118" t="s">
        <v>45</v>
      </c>
      <c r="O1118" t="s">
        <v>45</v>
      </c>
      <c r="P1118" t="s">
        <v>45</v>
      </c>
      <c r="R1118" t="s">
        <v>5057</v>
      </c>
      <c r="T1118" t="s">
        <v>4123</v>
      </c>
      <c r="U1118" t="s">
        <v>5058</v>
      </c>
    </row>
    <row r="1119" spans="1:21" x14ac:dyDescent="0.25">
      <c r="A1119" t="s">
        <v>5059</v>
      </c>
      <c r="B1119" t="s">
        <v>22</v>
      </c>
      <c r="C1119" t="s">
        <v>5060</v>
      </c>
      <c r="D1119">
        <f t="shared" si="29"/>
        <v>-8006655851</v>
      </c>
      <c r="E1119" t="s">
        <v>5061</v>
      </c>
      <c r="F1119" t="s">
        <v>4114</v>
      </c>
      <c r="G1119" t="s">
        <v>4115</v>
      </c>
      <c r="H1119">
        <v>6.7644010000000003</v>
      </c>
      <c r="I1119">
        <v>51.277872000000002</v>
      </c>
      <c r="J1119">
        <v>100</v>
      </c>
      <c r="K1119" t="s">
        <v>1646</v>
      </c>
      <c r="L1119" t="s">
        <v>1646</v>
      </c>
      <c r="M1119" t="s">
        <v>1646</v>
      </c>
      <c r="N1119" t="s">
        <v>1646</v>
      </c>
      <c r="O1119" t="s">
        <v>1646</v>
      </c>
      <c r="P1119" t="s">
        <v>1646</v>
      </c>
      <c r="Q1119" t="s">
        <v>535</v>
      </c>
      <c r="R1119" t="s">
        <v>5062</v>
      </c>
      <c r="T1119" t="s">
        <v>4117</v>
      </c>
      <c r="U1119" t="s">
        <v>5063</v>
      </c>
    </row>
    <row r="1120" spans="1:21" x14ac:dyDescent="0.25">
      <c r="A1120" t="s">
        <v>5064</v>
      </c>
      <c r="B1120" t="s">
        <v>38</v>
      </c>
      <c r="C1120" t="s">
        <v>5065</v>
      </c>
      <c r="D1120">
        <f t="shared" si="29"/>
        <v>-8006655851</v>
      </c>
      <c r="E1120" t="s">
        <v>5066</v>
      </c>
      <c r="F1120" t="s">
        <v>4114</v>
      </c>
      <c r="G1120" t="s">
        <v>4115</v>
      </c>
      <c r="H1120">
        <v>11.0931897435511</v>
      </c>
      <c r="I1120">
        <v>47.4948516048605</v>
      </c>
      <c r="J1120">
        <v>110</v>
      </c>
      <c r="K1120" t="s">
        <v>184</v>
      </c>
      <c r="L1120" t="s">
        <v>184</v>
      </c>
      <c r="M1120" t="s">
        <v>184</v>
      </c>
      <c r="N1120" t="s">
        <v>184</v>
      </c>
      <c r="O1120" t="s">
        <v>184</v>
      </c>
      <c r="P1120" t="s">
        <v>184</v>
      </c>
      <c r="R1120" t="s">
        <v>5065</v>
      </c>
      <c r="T1120" t="s">
        <v>4123</v>
      </c>
      <c r="U1120" t="s">
        <v>5067</v>
      </c>
    </row>
    <row r="1121" spans="1:21" x14ac:dyDescent="0.25">
      <c r="A1121" t="s">
        <v>5068</v>
      </c>
      <c r="B1121" t="s">
        <v>22</v>
      </c>
      <c r="C1121" t="s">
        <v>5069</v>
      </c>
      <c r="D1121">
        <f t="shared" si="29"/>
        <v>-8006655851</v>
      </c>
      <c r="E1121" t="s">
        <v>4169</v>
      </c>
      <c r="F1121" t="s">
        <v>4114</v>
      </c>
      <c r="G1121" t="s">
        <v>4115</v>
      </c>
      <c r="H1121">
        <v>11.645391999999999</v>
      </c>
      <c r="I1121">
        <v>48.101761000000003</v>
      </c>
      <c r="J1121">
        <v>110</v>
      </c>
      <c r="K1121" t="s">
        <v>45</v>
      </c>
      <c r="L1121" t="s">
        <v>45</v>
      </c>
      <c r="M1121" t="s">
        <v>45</v>
      </c>
      <c r="N1121" t="s">
        <v>45</v>
      </c>
      <c r="O1121" t="s">
        <v>45</v>
      </c>
      <c r="P1121" t="s">
        <v>45</v>
      </c>
      <c r="R1121" t="s">
        <v>5070</v>
      </c>
      <c r="T1121" t="s">
        <v>4123</v>
      </c>
      <c r="U1121" t="s">
        <v>5071</v>
      </c>
    </row>
    <row r="1122" spans="1:21" x14ac:dyDescent="0.25">
      <c r="A1122" t="s">
        <v>5072</v>
      </c>
      <c r="B1122" t="s">
        <v>22</v>
      </c>
      <c r="C1122" t="s">
        <v>5073</v>
      </c>
      <c r="D1122">
        <f t="shared" si="29"/>
        <v>-8006655851</v>
      </c>
      <c r="E1122" t="s">
        <v>5074</v>
      </c>
      <c r="F1122" t="s">
        <v>4114</v>
      </c>
      <c r="G1122" t="s">
        <v>4115</v>
      </c>
      <c r="H1122">
        <v>9.1511659999999999</v>
      </c>
      <c r="I1122">
        <v>49.977682000000001</v>
      </c>
      <c r="J1122">
        <v>110</v>
      </c>
      <c r="K1122" t="s">
        <v>192</v>
      </c>
      <c r="L1122" t="s">
        <v>192</v>
      </c>
      <c r="M1122" t="s">
        <v>192</v>
      </c>
      <c r="N1122" t="s">
        <v>192</v>
      </c>
      <c r="O1122" t="s">
        <v>192</v>
      </c>
      <c r="P1122" t="s">
        <v>192</v>
      </c>
      <c r="R1122" t="s">
        <v>5075</v>
      </c>
      <c r="T1122" t="s">
        <v>4123</v>
      </c>
      <c r="U1122" t="s">
        <v>5076</v>
      </c>
    </row>
    <row r="1123" spans="1:21" x14ac:dyDescent="0.25">
      <c r="A1123" t="s">
        <v>5077</v>
      </c>
      <c r="B1123" t="s">
        <v>38</v>
      </c>
      <c r="C1123" t="s">
        <v>5078</v>
      </c>
      <c r="D1123">
        <f t="shared" ref="D1123:D1154" si="30">49-8006655900</f>
        <v>-8006655851</v>
      </c>
      <c r="E1123" t="s">
        <v>5079</v>
      </c>
      <c r="F1123" t="s">
        <v>4114</v>
      </c>
      <c r="G1123" t="s">
        <v>4115</v>
      </c>
      <c r="H1123">
        <v>6.8527680000000002</v>
      </c>
      <c r="I1123">
        <v>51.298223</v>
      </c>
      <c r="J1123">
        <v>100</v>
      </c>
      <c r="K1123" t="s">
        <v>535</v>
      </c>
      <c r="L1123" t="s">
        <v>535</v>
      </c>
      <c r="M1123" t="s">
        <v>535</v>
      </c>
      <c r="N1123" t="s">
        <v>535</v>
      </c>
      <c r="O1123" t="s">
        <v>535</v>
      </c>
      <c r="P1123" t="s">
        <v>428</v>
      </c>
      <c r="R1123" t="s">
        <v>5080</v>
      </c>
      <c r="T1123" t="s">
        <v>4117</v>
      </c>
      <c r="U1123" t="s">
        <v>5081</v>
      </c>
    </row>
    <row r="1124" spans="1:21" x14ac:dyDescent="0.25">
      <c r="A1124" t="s">
        <v>5082</v>
      </c>
      <c r="B1124" t="s">
        <v>38</v>
      </c>
      <c r="C1124" t="s">
        <v>5083</v>
      </c>
      <c r="D1124">
        <f t="shared" si="30"/>
        <v>-8006655851</v>
      </c>
      <c r="E1124" t="s">
        <v>5084</v>
      </c>
      <c r="F1124" t="s">
        <v>4114</v>
      </c>
      <c r="G1124" t="s">
        <v>4115</v>
      </c>
      <c r="H1124">
        <v>7.5238149999999999</v>
      </c>
      <c r="I1124">
        <v>51.612144999999998</v>
      </c>
      <c r="J1124">
        <v>100</v>
      </c>
      <c r="K1124" t="s">
        <v>184</v>
      </c>
      <c r="L1124" t="s">
        <v>184</v>
      </c>
      <c r="M1124" t="s">
        <v>184</v>
      </c>
      <c r="N1124" t="s">
        <v>184</v>
      </c>
      <c r="O1124" t="s">
        <v>184</v>
      </c>
      <c r="P1124" t="s">
        <v>262</v>
      </c>
      <c r="R1124" t="s">
        <v>5083</v>
      </c>
      <c r="T1124" t="s">
        <v>4117</v>
      </c>
      <c r="U1124" t="s">
        <v>5085</v>
      </c>
    </row>
    <row r="1125" spans="1:21" x14ac:dyDescent="0.25">
      <c r="A1125" t="s">
        <v>5086</v>
      </c>
      <c r="B1125" t="s">
        <v>22</v>
      </c>
      <c r="C1125" t="s">
        <v>5087</v>
      </c>
      <c r="D1125">
        <f t="shared" si="30"/>
        <v>-8006655851</v>
      </c>
      <c r="E1125" t="s">
        <v>4282</v>
      </c>
      <c r="F1125" t="s">
        <v>4114</v>
      </c>
      <c r="G1125" t="s">
        <v>4115</v>
      </c>
      <c r="H1125">
        <v>8.7487890000000004</v>
      </c>
      <c r="I1125">
        <v>53.111541000000003</v>
      </c>
      <c r="J1125">
        <v>110</v>
      </c>
      <c r="K1125" t="s">
        <v>45</v>
      </c>
      <c r="L1125" t="s">
        <v>45</v>
      </c>
      <c r="M1125" t="s">
        <v>45</v>
      </c>
      <c r="N1125" t="s">
        <v>45</v>
      </c>
      <c r="O1125" t="s">
        <v>45</v>
      </c>
      <c r="P1125" t="s">
        <v>45</v>
      </c>
      <c r="R1125" t="s">
        <v>4283</v>
      </c>
      <c r="T1125" t="s">
        <v>4282</v>
      </c>
      <c r="U1125" t="s">
        <v>4284</v>
      </c>
    </row>
    <row r="1126" spans="1:21" x14ac:dyDescent="0.25">
      <c r="A1126" t="s">
        <v>5088</v>
      </c>
      <c r="B1126" t="s">
        <v>22</v>
      </c>
      <c r="C1126" t="s">
        <v>5089</v>
      </c>
      <c r="D1126">
        <f t="shared" si="30"/>
        <v>-8006655851</v>
      </c>
      <c r="E1126" t="s">
        <v>4266</v>
      </c>
      <c r="F1126" t="s">
        <v>4114</v>
      </c>
      <c r="G1126" t="s">
        <v>4115</v>
      </c>
      <c r="H1126">
        <v>13.435784</v>
      </c>
      <c r="I1126">
        <v>52.479900999999998</v>
      </c>
      <c r="J1126">
        <v>100</v>
      </c>
      <c r="K1126" t="s">
        <v>45</v>
      </c>
      <c r="L1126" t="s">
        <v>45</v>
      </c>
      <c r="M1126" t="s">
        <v>45</v>
      </c>
      <c r="N1126" t="s">
        <v>45</v>
      </c>
      <c r="O1126" t="s">
        <v>45</v>
      </c>
      <c r="P1126" t="s">
        <v>45</v>
      </c>
      <c r="R1126" t="s">
        <v>5089</v>
      </c>
      <c r="T1126" t="s">
        <v>4278</v>
      </c>
      <c r="U1126" t="s">
        <v>5090</v>
      </c>
    </row>
    <row r="1127" spans="1:21" x14ac:dyDescent="0.25">
      <c r="A1127" t="s">
        <v>5091</v>
      </c>
      <c r="B1127" t="s">
        <v>22</v>
      </c>
      <c r="C1127" t="s">
        <v>5092</v>
      </c>
      <c r="D1127">
        <f t="shared" si="30"/>
        <v>-8006655851</v>
      </c>
      <c r="E1127" t="s">
        <v>5093</v>
      </c>
      <c r="F1127" t="s">
        <v>4114</v>
      </c>
      <c r="G1127" t="s">
        <v>4115</v>
      </c>
      <c r="H1127">
        <v>7.5647310000000001</v>
      </c>
      <c r="I1127">
        <v>51.027602000000002</v>
      </c>
      <c r="J1127">
        <v>100</v>
      </c>
      <c r="K1127" t="s">
        <v>184</v>
      </c>
      <c r="L1127" t="s">
        <v>184</v>
      </c>
      <c r="M1127" t="s">
        <v>184</v>
      </c>
      <c r="N1127" t="s">
        <v>184</v>
      </c>
      <c r="O1127" t="s">
        <v>184</v>
      </c>
      <c r="P1127" t="s">
        <v>262</v>
      </c>
      <c r="R1127" t="s">
        <v>5092</v>
      </c>
      <c r="T1127" t="s">
        <v>4117</v>
      </c>
      <c r="U1127" t="s">
        <v>5094</v>
      </c>
    </row>
    <row r="1128" spans="1:21" x14ac:dyDescent="0.25">
      <c r="A1128" t="s">
        <v>5095</v>
      </c>
      <c r="B1128" t="s">
        <v>38</v>
      </c>
      <c r="C1128" t="s">
        <v>5096</v>
      </c>
      <c r="D1128">
        <f t="shared" si="30"/>
        <v>-8006655851</v>
      </c>
      <c r="E1128" t="s">
        <v>5061</v>
      </c>
      <c r="F1128" t="s">
        <v>4114</v>
      </c>
      <c r="G1128" t="s">
        <v>4115</v>
      </c>
      <c r="H1128">
        <v>6.7745639999999998</v>
      </c>
      <c r="I1128">
        <v>51.208596999999997</v>
      </c>
      <c r="J1128">
        <v>100</v>
      </c>
      <c r="K1128" t="s">
        <v>45</v>
      </c>
      <c r="L1128" t="s">
        <v>45</v>
      </c>
      <c r="M1128" t="s">
        <v>45</v>
      </c>
      <c r="N1128" t="s">
        <v>45</v>
      </c>
      <c r="O1128" t="s">
        <v>45</v>
      </c>
      <c r="P1128" t="s">
        <v>45</v>
      </c>
      <c r="R1128" t="s">
        <v>5097</v>
      </c>
      <c r="T1128" t="s">
        <v>4117</v>
      </c>
      <c r="U1128" t="s">
        <v>5098</v>
      </c>
    </row>
    <row r="1129" spans="1:21" x14ac:dyDescent="0.25">
      <c r="A1129" t="s">
        <v>5099</v>
      </c>
      <c r="B1129" t="s">
        <v>38</v>
      </c>
      <c r="C1129" t="s">
        <v>5100</v>
      </c>
      <c r="D1129">
        <f t="shared" si="30"/>
        <v>-8006655851</v>
      </c>
      <c r="E1129" t="s">
        <v>5101</v>
      </c>
      <c r="F1129" t="s">
        <v>4114</v>
      </c>
      <c r="G1129" t="s">
        <v>4115</v>
      </c>
      <c r="H1129">
        <v>8.6721042571573399</v>
      </c>
      <c r="I1129">
        <v>49.549940567211699</v>
      </c>
      <c r="J1129">
        <v>100</v>
      </c>
      <c r="K1129" t="s">
        <v>535</v>
      </c>
      <c r="L1129" t="s">
        <v>535</v>
      </c>
      <c r="M1129" t="s">
        <v>535</v>
      </c>
      <c r="N1129" t="s">
        <v>535</v>
      </c>
      <c r="O1129" t="s">
        <v>535</v>
      </c>
      <c r="P1129" t="s">
        <v>535</v>
      </c>
      <c r="R1129" t="s">
        <v>5102</v>
      </c>
      <c r="T1129" t="s">
        <v>4146</v>
      </c>
      <c r="U1129" t="s">
        <v>5103</v>
      </c>
    </row>
    <row r="1130" spans="1:21" x14ac:dyDescent="0.25">
      <c r="A1130" t="s">
        <v>5104</v>
      </c>
      <c r="B1130" t="s">
        <v>22</v>
      </c>
      <c r="C1130" t="s">
        <v>5105</v>
      </c>
      <c r="D1130">
        <f t="shared" si="30"/>
        <v>-8006655851</v>
      </c>
      <c r="E1130" t="s">
        <v>5106</v>
      </c>
      <c r="F1130" t="s">
        <v>4114</v>
      </c>
      <c r="G1130" t="s">
        <v>4115</v>
      </c>
      <c r="H1130">
        <v>8.5978779999999997</v>
      </c>
      <c r="I1130">
        <v>49.124079000000002</v>
      </c>
      <c r="J1130">
        <v>100</v>
      </c>
      <c r="K1130" t="s">
        <v>184</v>
      </c>
      <c r="L1130" t="s">
        <v>184</v>
      </c>
      <c r="M1130" t="s">
        <v>184</v>
      </c>
      <c r="N1130" t="s">
        <v>184</v>
      </c>
      <c r="O1130" t="s">
        <v>184</v>
      </c>
      <c r="P1130" t="s">
        <v>262</v>
      </c>
      <c r="R1130" t="s">
        <v>5107</v>
      </c>
      <c r="T1130" t="s">
        <v>4146</v>
      </c>
      <c r="U1130" t="s">
        <v>5108</v>
      </c>
    </row>
    <row r="1131" spans="1:21" x14ac:dyDescent="0.25">
      <c r="A1131" t="s">
        <v>5109</v>
      </c>
      <c r="B1131" t="s">
        <v>22</v>
      </c>
      <c r="C1131" t="s">
        <v>5110</v>
      </c>
      <c r="D1131">
        <f t="shared" si="30"/>
        <v>-8006655851</v>
      </c>
      <c r="E1131" t="s">
        <v>5111</v>
      </c>
      <c r="F1131" t="s">
        <v>4114</v>
      </c>
      <c r="G1131" t="s">
        <v>4115</v>
      </c>
      <c r="H1131">
        <v>6.9878049999999998</v>
      </c>
      <c r="I1131">
        <v>51.033051</v>
      </c>
      <c r="J1131">
        <v>100</v>
      </c>
      <c r="K1131" t="s">
        <v>185</v>
      </c>
      <c r="L1131" t="s">
        <v>185</v>
      </c>
      <c r="M1131" t="s">
        <v>185</v>
      </c>
      <c r="N1131" t="s">
        <v>185</v>
      </c>
      <c r="O1131" t="s">
        <v>185</v>
      </c>
      <c r="P1131" t="s">
        <v>185</v>
      </c>
      <c r="R1131" t="s">
        <v>5112</v>
      </c>
      <c r="T1131" t="s">
        <v>4117</v>
      </c>
      <c r="U1131" t="s">
        <v>5113</v>
      </c>
    </row>
    <row r="1132" spans="1:21" x14ac:dyDescent="0.25">
      <c r="A1132" t="s">
        <v>5114</v>
      </c>
      <c r="B1132" t="s">
        <v>22</v>
      </c>
      <c r="C1132" t="s">
        <v>5115</v>
      </c>
      <c r="D1132">
        <f t="shared" si="30"/>
        <v>-8006655851</v>
      </c>
      <c r="E1132" t="s">
        <v>4344</v>
      </c>
      <c r="F1132" t="s">
        <v>4114</v>
      </c>
      <c r="G1132" t="s">
        <v>4115</v>
      </c>
      <c r="H1132">
        <v>9.8620710000000003</v>
      </c>
      <c r="I1132">
        <v>53.571148000000001</v>
      </c>
      <c r="J1132">
        <v>100</v>
      </c>
      <c r="K1132" t="s">
        <v>45</v>
      </c>
      <c r="L1132" t="s">
        <v>45</v>
      </c>
      <c r="M1132" t="s">
        <v>45</v>
      </c>
      <c r="N1132" t="s">
        <v>45</v>
      </c>
      <c r="O1132" t="s">
        <v>45</v>
      </c>
      <c r="P1132" t="s">
        <v>45</v>
      </c>
      <c r="R1132" t="s">
        <v>5116</v>
      </c>
      <c r="T1132" t="s">
        <v>4344</v>
      </c>
      <c r="U1132" t="s">
        <v>5117</v>
      </c>
    </row>
    <row r="1133" spans="1:21" x14ac:dyDescent="0.25">
      <c r="A1133" t="s">
        <v>5118</v>
      </c>
      <c r="B1133" t="s">
        <v>38</v>
      </c>
      <c r="C1133" t="s">
        <v>5119</v>
      </c>
      <c r="D1133">
        <f t="shared" si="30"/>
        <v>-8006655851</v>
      </c>
      <c r="E1133" t="s">
        <v>4302</v>
      </c>
      <c r="F1133" t="s">
        <v>4114</v>
      </c>
      <c r="G1133" t="s">
        <v>4115</v>
      </c>
      <c r="H1133">
        <v>8.7530199999999994</v>
      </c>
      <c r="I1133">
        <v>50.140965000000001</v>
      </c>
      <c r="J1133">
        <v>100</v>
      </c>
      <c r="K1133" t="s">
        <v>185</v>
      </c>
      <c r="L1133" t="s">
        <v>185</v>
      </c>
      <c r="M1133" t="s">
        <v>185</v>
      </c>
      <c r="N1133" t="s">
        <v>185</v>
      </c>
      <c r="O1133" t="s">
        <v>185</v>
      </c>
      <c r="P1133" t="s">
        <v>185</v>
      </c>
      <c r="R1133" t="s">
        <v>5120</v>
      </c>
      <c r="U1133" t="s">
        <v>5121</v>
      </c>
    </row>
    <row r="1134" spans="1:21" x14ac:dyDescent="0.25">
      <c r="A1134" t="s">
        <v>5122</v>
      </c>
      <c r="B1134" t="s">
        <v>22</v>
      </c>
      <c r="C1134" t="s">
        <v>5123</v>
      </c>
      <c r="D1134">
        <f t="shared" si="30"/>
        <v>-8006655851</v>
      </c>
      <c r="E1134" t="s">
        <v>5124</v>
      </c>
      <c r="F1134" t="s">
        <v>4114</v>
      </c>
      <c r="G1134" t="s">
        <v>4115</v>
      </c>
      <c r="H1134">
        <v>8.7618100000000005</v>
      </c>
      <c r="I1134">
        <v>50.103709000000002</v>
      </c>
      <c r="J1134">
        <v>100</v>
      </c>
      <c r="K1134" t="s">
        <v>45</v>
      </c>
      <c r="L1134" t="s">
        <v>45</v>
      </c>
      <c r="M1134" t="s">
        <v>45</v>
      </c>
      <c r="N1134" t="s">
        <v>45</v>
      </c>
      <c r="O1134" t="s">
        <v>45</v>
      </c>
      <c r="P1134" t="s">
        <v>45</v>
      </c>
      <c r="R1134" t="s">
        <v>5125</v>
      </c>
      <c r="T1134" t="s">
        <v>4152</v>
      </c>
      <c r="U1134" t="s">
        <v>5126</v>
      </c>
    </row>
    <row r="1135" spans="1:21" x14ac:dyDescent="0.25">
      <c r="A1135" t="s">
        <v>5127</v>
      </c>
      <c r="B1135" t="s">
        <v>22</v>
      </c>
      <c r="C1135" t="s">
        <v>5128</v>
      </c>
      <c r="D1135">
        <f t="shared" si="30"/>
        <v>-8006655851</v>
      </c>
      <c r="E1135" t="s">
        <v>5129</v>
      </c>
      <c r="F1135" t="s">
        <v>4114</v>
      </c>
      <c r="G1135" t="s">
        <v>4115</v>
      </c>
      <c r="H1135">
        <v>6.6388680000000004</v>
      </c>
      <c r="I1135">
        <v>49.755828999999999</v>
      </c>
      <c r="J1135">
        <v>100</v>
      </c>
      <c r="K1135" t="s">
        <v>185</v>
      </c>
      <c r="L1135" t="s">
        <v>185</v>
      </c>
      <c r="M1135" t="s">
        <v>185</v>
      </c>
      <c r="N1135" t="s">
        <v>185</v>
      </c>
      <c r="O1135" t="s">
        <v>185</v>
      </c>
      <c r="P1135" t="s">
        <v>185</v>
      </c>
      <c r="R1135" t="s">
        <v>5130</v>
      </c>
      <c r="T1135" t="s">
        <v>4129</v>
      </c>
      <c r="U1135" t="s">
        <v>5131</v>
      </c>
    </row>
    <row r="1136" spans="1:21" x14ac:dyDescent="0.25">
      <c r="A1136" t="s">
        <v>5132</v>
      </c>
      <c r="B1136" t="s">
        <v>22</v>
      </c>
      <c r="C1136" t="s">
        <v>5133</v>
      </c>
      <c r="D1136">
        <f t="shared" si="30"/>
        <v>-8006655851</v>
      </c>
      <c r="E1136" t="s">
        <v>5134</v>
      </c>
      <c r="F1136" t="s">
        <v>4114</v>
      </c>
      <c r="G1136" t="s">
        <v>4115</v>
      </c>
      <c r="H1136">
        <v>13.607873</v>
      </c>
      <c r="I1136">
        <v>52.313757000000003</v>
      </c>
      <c r="J1136">
        <v>100</v>
      </c>
      <c r="K1136" t="s">
        <v>45</v>
      </c>
      <c r="L1136" t="s">
        <v>45</v>
      </c>
      <c r="M1136" t="s">
        <v>45</v>
      </c>
      <c r="N1136" t="s">
        <v>45</v>
      </c>
      <c r="O1136" t="s">
        <v>45</v>
      </c>
      <c r="P1136" t="s">
        <v>45</v>
      </c>
      <c r="R1136" t="s">
        <v>5135</v>
      </c>
      <c r="T1136" t="s">
        <v>4563</v>
      </c>
      <c r="U1136" t="s">
        <v>5136</v>
      </c>
    </row>
    <row r="1137" spans="1:21" x14ac:dyDescent="0.25">
      <c r="A1137" t="s">
        <v>5137</v>
      </c>
      <c r="B1137" t="s">
        <v>22</v>
      </c>
      <c r="C1137" t="s">
        <v>5138</v>
      </c>
      <c r="D1137">
        <f t="shared" si="30"/>
        <v>-8006655851</v>
      </c>
      <c r="E1137" t="s">
        <v>4326</v>
      </c>
      <c r="F1137" t="s">
        <v>4114</v>
      </c>
      <c r="G1137" t="s">
        <v>4115</v>
      </c>
      <c r="H1137">
        <v>13.695434000000001</v>
      </c>
      <c r="I1137">
        <v>51.084764999999997</v>
      </c>
      <c r="J1137">
        <v>110</v>
      </c>
      <c r="K1137" t="s">
        <v>45</v>
      </c>
      <c r="L1137" t="s">
        <v>45</v>
      </c>
      <c r="M1137" t="s">
        <v>45</v>
      </c>
      <c r="N1137" t="s">
        <v>45</v>
      </c>
      <c r="O1137" t="s">
        <v>45</v>
      </c>
      <c r="P1137" t="s">
        <v>45</v>
      </c>
      <c r="R1137" t="s">
        <v>5139</v>
      </c>
      <c r="T1137" t="s">
        <v>4248</v>
      </c>
      <c r="U1137" t="s">
        <v>5140</v>
      </c>
    </row>
    <row r="1138" spans="1:21" x14ac:dyDescent="0.25">
      <c r="A1138" t="s">
        <v>5141</v>
      </c>
      <c r="B1138" t="s">
        <v>22</v>
      </c>
      <c r="C1138" t="s">
        <v>5142</v>
      </c>
      <c r="D1138">
        <f t="shared" si="30"/>
        <v>-8006655851</v>
      </c>
      <c r="E1138" t="s">
        <v>4113</v>
      </c>
      <c r="F1138" t="s">
        <v>4114</v>
      </c>
      <c r="G1138" t="s">
        <v>4115</v>
      </c>
      <c r="H1138">
        <v>7.0062319999999998</v>
      </c>
      <c r="I1138">
        <v>51.458733000000002</v>
      </c>
      <c r="J1138">
        <v>100</v>
      </c>
      <c r="K1138" t="s">
        <v>45</v>
      </c>
      <c r="L1138" t="s">
        <v>45</v>
      </c>
      <c r="M1138" t="s">
        <v>45</v>
      </c>
      <c r="N1138" t="s">
        <v>45</v>
      </c>
      <c r="O1138" t="s">
        <v>45</v>
      </c>
      <c r="P1138" t="s">
        <v>45</v>
      </c>
      <c r="R1138" t="s">
        <v>5143</v>
      </c>
      <c r="T1138" t="s">
        <v>4117</v>
      </c>
      <c r="U1138" t="s">
        <v>5144</v>
      </c>
    </row>
    <row r="1139" spans="1:21" x14ac:dyDescent="0.25">
      <c r="A1139" t="s">
        <v>5145</v>
      </c>
      <c r="B1139" t="s">
        <v>22</v>
      </c>
      <c r="C1139" t="s">
        <v>5146</v>
      </c>
      <c r="D1139">
        <f t="shared" si="30"/>
        <v>-8006655851</v>
      </c>
      <c r="E1139" t="s">
        <v>4928</v>
      </c>
      <c r="F1139" t="s">
        <v>4114</v>
      </c>
      <c r="G1139" t="s">
        <v>4115</v>
      </c>
      <c r="H1139">
        <v>12.865770363090499</v>
      </c>
      <c r="I1139">
        <v>50.8643175988149</v>
      </c>
      <c r="J1139">
        <v>100</v>
      </c>
      <c r="K1139" t="s">
        <v>45</v>
      </c>
      <c r="L1139" t="s">
        <v>45</v>
      </c>
      <c r="M1139" t="s">
        <v>45</v>
      </c>
      <c r="N1139" t="s">
        <v>45</v>
      </c>
      <c r="O1139" t="s">
        <v>45</v>
      </c>
      <c r="P1139" t="s">
        <v>185</v>
      </c>
      <c r="R1139" t="s">
        <v>5147</v>
      </c>
      <c r="T1139" t="s">
        <v>4248</v>
      </c>
      <c r="U1139" t="s">
        <v>5148</v>
      </c>
    </row>
    <row r="1140" spans="1:21" x14ac:dyDescent="0.25">
      <c r="A1140" t="s">
        <v>5149</v>
      </c>
      <c r="B1140" t="s">
        <v>22</v>
      </c>
      <c r="C1140" t="s">
        <v>5150</v>
      </c>
      <c r="D1140">
        <f t="shared" si="30"/>
        <v>-8006655851</v>
      </c>
      <c r="E1140" t="s">
        <v>5151</v>
      </c>
      <c r="F1140" t="s">
        <v>4114</v>
      </c>
      <c r="G1140" t="s">
        <v>4115</v>
      </c>
      <c r="H1140">
        <v>11.427075</v>
      </c>
      <c r="I1140">
        <v>48.764479999999999</v>
      </c>
      <c r="J1140">
        <v>110</v>
      </c>
      <c r="K1140" t="s">
        <v>535</v>
      </c>
      <c r="L1140" t="s">
        <v>535</v>
      </c>
      <c r="M1140" t="s">
        <v>535</v>
      </c>
      <c r="N1140" t="s">
        <v>535</v>
      </c>
      <c r="O1140" t="s">
        <v>535</v>
      </c>
      <c r="P1140" t="s">
        <v>535</v>
      </c>
      <c r="R1140" t="s">
        <v>5152</v>
      </c>
      <c r="T1140" t="s">
        <v>4123</v>
      </c>
      <c r="U1140" t="s">
        <v>5153</v>
      </c>
    </row>
    <row r="1141" spans="1:21" x14ac:dyDescent="0.25">
      <c r="A1141" t="s">
        <v>5154</v>
      </c>
      <c r="B1141" t="s">
        <v>38</v>
      </c>
      <c r="C1141" t="s">
        <v>5155</v>
      </c>
      <c r="D1141">
        <f t="shared" si="30"/>
        <v>-8006655851</v>
      </c>
      <c r="E1141" t="s">
        <v>4121</v>
      </c>
      <c r="F1141" t="s">
        <v>4114</v>
      </c>
      <c r="G1141" t="s">
        <v>4115</v>
      </c>
      <c r="H1141">
        <v>12.099747000000001</v>
      </c>
      <c r="I1141">
        <v>49.016703999999997</v>
      </c>
      <c r="J1141">
        <v>100</v>
      </c>
      <c r="K1141" t="s">
        <v>45</v>
      </c>
      <c r="L1141" t="s">
        <v>45</v>
      </c>
      <c r="M1141" t="s">
        <v>45</v>
      </c>
      <c r="N1141" t="s">
        <v>45</v>
      </c>
      <c r="O1141" t="s">
        <v>45</v>
      </c>
      <c r="P1141" t="s">
        <v>45</v>
      </c>
      <c r="R1141" t="s">
        <v>5155</v>
      </c>
      <c r="T1141" t="s">
        <v>4123</v>
      </c>
      <c r="U1141" t="s">
        <v>5156</v>
      </c>
    </row>
    <row r="1142" spans="1:21" x14ac:dyDescent="0.25">
      <c r="A1142" t="s">
        <v>5157</v>
      </c>
      <c r="B1142" t="s">
        <v>22</v>
      </c>
      <c r="C1142" t="s">
        <v>5158</v>
      </c>
      <c r="D1142">
        <f t="shared" si="30"/>
        <v>-8006655851</v>
      </c>
      <c r="E1142" t="s">
        <v>5159</v>
      </c>
      <c r="F1142" t="s">
        <v>4114</v>
      </c>
      <c r="G1142" t="s">
        <v>4115</v>
      </c>
      <c r="H1142">
        <v>8.6069016478156808</v>
      </c>
      <c r="I1142">
        <v>49.892382415923699</v>
      </c>
      <c r="J1142">
        <v>100</v>
      </c>
      <c r="K1142" t="s">
        <v>45</v>
      </c>
      <c r="L1142" t="s">
        <v>45</v>
      </c>
      <c r="M1142" t="s">
        <v>45</v>
      </c>
      <c r="N1142" t="s">
        <v>45</v>
      </c>
      <c r="O1142" t="s">
        <v>536</v>
      </c>
      <c r="P1142" t="s">
        <v>536</v>
      </c>
      <c r="R1142" t="s">
        <v>5160</v>
      </c>
      <c r="T1142" t="s">
        <v>4152</v>
      </c>
      <c r="U1142" t="s">
        <v>5161</v>
      </c>
    </row>
    <row r="1143" spans="1:21" x14ac:dyDescent="0.25">
      <c r="A1143" t="s">
        <v>5162</v>
      </c>
      <c r="B1143" t="s">
        <v>22</v>
      </c>
      <c r="C1143" t="s">
        <v>5163</v>
      </c>
      <c r="D1143">
        <f t="shared" si="30"/>
        <v>-8006655851</v>
      </c>
      <c r="E1143" t="s">
        <v>4321</v>
      </c>
      <c r="F1143" t="s">
        <v>4114</v>
      </c>
      <c r="G1143" t="s">
        <v>4115</v>
      </c>
      <c r="H1143">
        <v>9.4982520000000008</v>
      </c>
      <c r="I1143">
        <v>51.316862</v>
      </c>
      <c r="J1143">
        <v>100</v>
      </c>
      <c r="K1143" t="s">
        <v>185</v>
      </c>
      <c r="L1143" t="s">
        <v>185</v>
      </c>
      <c r="M1143" t="s">
        <v>185</v>
      </c>
      <c r="N1143" t="s">
        <v>185</v>
      </c>
      <c r="O1143" t="s">
        <v>185</v>
      </c>
      <c r="P1143" t="s">
        <v>185</v>
      </c>
      <c r="R1143" t="s">
        <v>4402</v>
      </c>
      <c r="T1143" t="s">
        <v>4152</v>
      </c>
      <c r="U1143" t="s">
        <v>4403</v>
      </c>
    </row>
    <row r="1144" spans="1:21" x14ac:dyDescent="0.25">
      <c r="A1144" t="s">
        <v>5164</v>
      </c>
      <c r="B1144" t="s">
        <v>22</v>
      </c>
      <c r="C1144" t="s">
        <v>5165</v>
      </c>
      <c r="D1144">
        <f t="shared" si="30"/>
        <v>-8006655851</v>
      </c>
      <c r="E1144" t="s">
        <v>4344</v>
      </c>
      <c r="F1144" t="s">
        <v>4114</v>
      </c>
      <c r="G1144" t="s">
        <v>4115</v>
      </c>
      <c r="H1144">
        <v>10.2151202944774</v>
      </c>
      <c r="I1144">
        <v>53.486467010129502</v>
      </c>
      <c r="J1144">
        <v>100</v>
      </c>
      <c r="K1144" t="s">
        <v>185</v>
      </c>
      <c r="L1144" t="s">
        <v>185</v>
      </c>
      <c r="M1144" t="s">
        <v>185</v>
      </c>
      <c r="N1144" t="s">
        <v>185</v>
      </c>
      <c r="O1144" t="s">
        <v>185</v>
      </c>
      <c r="P1144" t="s">
        <v>184</v>
      </c>
      <c r="R1144" t="s">
        <v>5166</v>
      </c>
      <c r="T1144" t="s">
        <v>4344</v>
      </c>
      <c r="U1144" t="s">
        <v>5167</v>
      </c>
    </row>
    <row r="1145" spans="1:21" x14ac:dyDescent="0.25">
      <c r="A1145" t="s">
        <v>5168</v>
      </c>
      <c r="B1145" t="s">
        <v>38</v>
      </c>
      <c r="C1145" t="s">
        <v>5169</v>
      </c>
      <c r="D1145">
        <f t="shared" si="30"/>
        <v>-8006655851</v>
      </c>
      <c r="E1145" t="s">
        <v>4344</v>
      </c>
      <c r="F1145" t="s">
        <v>4114</v>
      </c>
      <c r="G1145" t="s">
        <v>4115</v>
      </c>
      <c r="H1145">
        <v>10.067709000000001</v>
      </c>
      <c r="I1145">
        <v>53.572862999999998</v>
      </c>
      <c r="J1145">
        <v>100</v>
      </c>
      <c r="K1145" t="s">
        <v>45</v>
      </c>
      <c r="L1145" t="s">
        <v>45</v>
      </c>
      <c r="M1145" t="s">
        <v>45</v>
      </c>
      <c r="N1145" t="s">
        <v>45</v>
      </c>
      <c r="O1145" t="s">
        <v>45</v>
      </c>
      <c r="P1145" t="s">
        <v>45</v>
      </c>
      <c r="R1145" t="s">
        <v>5170</v>
      </c>
      <c r="T1145" t="s">
        <v>4344</v>
      </c>
      <c r="U1145" t="s">
        <v>5171</v>
      </c>
    </row>
    <row r="1146" spans="1:21" x14ac:dyDescent="0.25">
      <c r="A1146" t="s">
        <v>5172</v>
      </c>
      <c r="B1146" t="s">
        <v>22</v>
      </c>
      <c r="C1146" t="s">
        <v>5173</v>
      </c>
      <c r="D1146">
        <f t="shared" si="30"/>
        <v>-8006655851</v>
      </c>
      <c r="E1146" t="s">
        <v>5174</v>
      </c>
      <c r="F1146" t="s">
        <v>4114</v>
      </c>
      <c r="G1146" t="s">
        <v>4115</v>
      </c>
      <c r="H1146">
        <v>11.033647999999999</v>
      </c>
      <c r="I1146">
        <v>50.976776000000001</v>
      </c>
      <c r="J1146">
        <v>110</v>
      </c>
      <c r="K1146" t="s">
        <v>165</v>
      </c>
      <c r="L1146" t="s">
        <v>165</v>
      </c>
      <c r="M1146" t="s">
        <v>165</v>
      </c>
      <c r="N1146" t="s">
        <v>165</v>
      </c>
      <c r="O1146" t="s">
        <v>165</v>
      </c>
      <c r="P1146" t="s">
        <v>185</v>
      </c>
      <c r="R1146" t="s">
        <v>5173</v>
      </c>
      <c r="T1146" t="s">
        <v>4157</v>
      </c>
      <c r="U1146" t="s">
        <v>5175</v>
      </c>
    </row>
    <row r="1147" spans="1:21" x14ac:dyDescent="0.25">
      <c r="A1147" t="s">
        <v>5176</v>
      </c>
      <c r="B1147" t="s">
        <v>38</v>
      </c>
      <c r="C1147" t="s">
        <v>5177</v>
      </c>
      <c r="D1147">
        <f t="shared" si="30"/>
        <v>-8006655851</v>
      </c>
      <c r="E1147" t="s">
        <v>5178</v>
      </c>
      <c r="F1147" t="s">
        <v>4114</v>
      </c>
      <c r="G1147" t="s">
        <v>4115</v>
      </c>
      <c r="H1147">
        <v>12.078435000000001</v>
      </c>
      <c r="I1147">
        <v>50.876404000000001</v>
      </c>
      <c r="J1147">
        <v>110</v>
      </c>
      <c r="K1147" t="s">
        <v>185</v>
      </c>
      <c r="L1147" t="s">
        <v>185</v>
      </c>
      <c r="M1147" t="s">
        <v>185</v>
      </c>
      <c r="N1147" t="s">
        <v>185</v>
      </c>
      <c r="O1147" t="s">
        <v>185</v>
      </c>
      <c r="P1147" t="s">
        <v>185</v>
      </c>
      <c r="R1147" t="s">
        <v>5179</v>
      </c>
      <c r="T1147" t="s">
        <v>4157</v>
      </c>
      <c r="U1147" t="s">
        <v>5180</v>
      </c>
    </row>
    <row r="1148" spans="1:21" x14ac:dyDescent="0.25">
      <c r="A1148" t="s">
        <v>5181</v>
      </c>
      <c r="B1148" t="s">
        <v>38</v>
      </c>
      <c r="C1148" t="s">
        <v>5182</v>
      </c>
      <c r="D1148">
        <f t="shared" si="30"/>
        <v>-8006655851</v>
      </c>
      <c r="E1148" t="s">
        <v>4344</v>
      </c>
      <c r="F1148" t="s">
        <v>4114</v>
      </c>
      <c r="G1148" t="s">
        <v>4115</v>
      </c>
      <c r="H1148">
        <v>10.158283000000001</v>
      </c>
      <c r="I1148">
        <v>53.604680000000002</v>
      </c>
      <c r="J1148">
        <v>100</v>
      </c>
      <c r="K1148" t="s">
        <v>185</v>
      </c>
      <c r="L1148" t="s">
        <v>185</v>
      </c>
      <c r="M1148" t="s">
        <v>185</v>
      </c>
      <c r="N1148" t="s">
        <v>185</v>
      </c>
      <c r="O1148" t="s">
        <v>185</v>
      </c>
      <c r="P1148" t="s">
        <v>185</v>
      </c>
      <c r="R1148" t="s">
        <v>5183</v>
      </c>
      <c r="T1148" t="s">
        <v>4344</v>
      </c>
      <c r="U1148" t="s">
        <v>5184</v>
      </c>
    </row>
    <row r="1149" spans="1:21" x14ac:dyDescent="0.25">
      <c r="A1149" t="s">
        <v>5185</v>
      </c>
      <c r="B1149" t="s">
        <v>38</v>
      </c>
      <c r="C1149" t="s">
        <v>5186</v>
      </c>
      <c r="D1149">
        <f t="shared" si="30"/>
        <v>-8006655851</v>
      </c>
      <c r="E1149" t="s">
        <v>4344</v>
      </c>
      <c r="F1149" t="s">
        <v>4114</v>
      </c>
      <c r="G1149" t="s">
        <v>4115</v>
      </c>
      <c r="H1149">
        <v>10.075704999999999</v>
      </c>
      <c r="I1149">
        <v>53.612475000000003</v>
      </c>
      <c r="J1149">
        <v>100</v>
      </c>
      <c r="K1149" t="s">
        <v>45</v>
      </c>
      <c r="L1149" t="s">
        <v>45</v>
      </c>
      <c r="M1149" t="s">
        <v>45</v>
      </c>
      <c r="N1149" t="s">
        <v>45</v>
      </c>
      <c r="O1149" t="s">
        <v>45</v>
      </c>
      <c r="P1149" t="s">
        <v>45</v>
      </c>
      <c r="R1149" t="s">
        <v>5187</v>
      </c>
      <c r="T1149" t="s">
        <v>4344</v>
      </c>
      <c r="U1149" t="s">
        <v>5188</v>
      </c>
    </row>
    <row r="1150" spans="1:21" x14ac:dyDescent="0.25">
      <c r="A1150" t="s">
        <v>5189</v>
      </c>
      <c r="B1150" t="s">
        <v>38</v>
      </c>
      <c r="C1150" t="s">
        <v>5190</v>
      </c>
      <c r="D1150">
        <f t="shared" si="30"/>
        <v>-8006655851</v>
      </c>
      <c r="E1150" t="s">
        <v>5191</v>
      </c>
      <c r="F1150" t="s">
        <v>4114</v>
      </c>
      <c r="G1150" t="s">
        <v>4115</v>
      </c>
      <c r="H1150">
        <v>9.3153919999999992</v>
      </c>
      <c r="I1150">
        <v>48.830573999999999</v>
      </c>
      <c r="J1150">
        <v>110</v>
      </c>
      <c r="K1150" t="s">
        <v>45</v>
      </c>
      <c r="L1150" t="s">
        <v>45</v>
      </c>
      <c r="M1150" t="s">
        <v>45</v>
      </c>
      <c r="N1150" t="s">
        <v>45</v>
      </c>
      <c r="O1150" t="s">
        <v>45</v>
      </c>
      <c r="P1150" t="s">
        <v>45</v>
      </c>
      <c r="R1150" t="s">
        <v>5190</v>
      </c>
      <c r="T1150" t="s">
        <v>4146</v>
      </c>
      <c r="U1150" t="s">
        <v>5192</v>
      </c>
    </row>
    <row r="1151" spans="1:21" x14ac:dyDescent="0.25">
      <c r="A1151" t="s">
        <v>5193</v>
      </c>
      <c r="B1151" t="s">
        <v>38</v>
      </c>
      <c r="C1151" t="s">
        <v>5194</v>
      </c>
      <c r="D1151">
        <f t="shared" si="30"/>
        <v>-8006655851</v>
      </c>
      <c r="E1151" t="s">
        <v>5195</v>
      </c>
      <c r="F1151" t="s">
        <v>4114</v>
      </c>
      <c r="G1151" t="s">
        <v>4115</v>
      </c>
      <c r="H1151">
        <v>8.3472150000000003</v>
      </c>
      <c r="I1151">
        <v>51.673977999999998</v>
      </c>
      <c r="J1151">
        <v>100</v>
      </c>
      <c r="K1151" t="s">
        <v>184</v>
      </c>
      <c r="L1151" t="s">
        <v>184</v>
      </c>
      <c r="M1151" t="s">
        <v>184</v>
      </c>
      <c r="N1151" t="s">
        <v>184</v>
      </c>
      <c r="O1151" t="s">
        <v>184</v>
      </c>
      <c r="P1151" t="s">
        <v>262</v>
      </c>
      <c r="R1151" t="s">
        <v>5194</v>
      </c>
      <c r="T1151" t="s">
        <v>4117</v>
      </c>
      <c r="U1151" t="s">
        <v>5196</v>
      </c>
    </row>
    <row r="1152" spans="1:21" x14ac:dyDescent="0.25">
      <c r="A1152" t="s">
        <v>5197</v>
      </c>
      <c r="B1152" t="s">
        <v>38</v>
      </c>
      <c r="C1152" t="s">
        <v>5110</v>
      </c>
      <c r="D1152">
        <f t="shared" si="30"/>
        <v>-8006655851</v>
      </c>
      <c r="E1152" t="s">
        <v>5198</v>
      </c>
      <c r="F1152" t="s">
        <v>4114</v>
      </c>
      <c r="G1152" t="s">
        <v>4115</v>
      </c>
      <c r="H1152">
        <v>6.8398589999999997</v>
      </c>
      <c r="I1152">
        <v>51.093755999999999</v>
      </c>
      <c r="J1152">
        <v>100</v>
      </c>
      <c r="K1152" t="s">
        <v>184</v>
      </c>
      <c r="L1152" t="s">
        <v>184</v>
      </c>
      <c r="M1152" t="s">
        <v>184</v>
      </c>
      <c r="N1152" t="s">
        <v>184</v>
      </c>
      <c r="O1152" t="s">
        <v>184</v>
      </c>
      <c r="P1152" t="s">
        <v>262</v>
      </c>
      <c r="R1152" t="s">
        <v>5199</v>
      </c>
      <c r="T1152" t="s">
        <v>4117</v>
      </c>
      <c r="U1152" t="s">
        <v>5200</v>
      </c>
    </row>
    <row r="1153" spans="1:21" x14ac:dyDescent="0.25">
      <c r="A1153" t="s">
        <v>5201</v>
      </c>
      <c r="B1153" t="s">
        <v>38</v>
      </c>
      <c r="C1153" t="s">
        <v>5202</v>
      </c>
      <c r="D1153">
        <f t="shared" si="30"/>
        <v>-8006655851</v>
      </c>
      <c r="E1153" t="s">
        <v>5203</v>
      </c>
      <c r="F1153" t="s">
        <v>4114</v>
      </c>
      <c r="G1153" t="s">
        <v>4115</v>
      </c>
      <c r="H1153">
        <v>6.8071299999999999</v>
      </c>
      <c r="I1153">
        <v>50.909709999999997</v>
      </c>
      <c r="J1153">
        <v>100</v>
      </c>
      <c r="K1153" t="s">
        <v>535</v>
      </c>
      <c r="L1153" t="s">
        <v>535</v>
      </c>
      <c r="M1153" t="s">
        <v>535</v>
      </c>
      <c r="N1153" t="s">
        <v>535</v>
      </c>
      <c r="O1153" t="s">
        <v>535</v>
      </c>
      <c r="P1153" t="s">
        <v>428</v>
      </c>
      <c r="R1153" t="s">
        <v>5202</v>
      </c>
      <c r="T1153" t="s">
        <v>4117</v>
      </c>
      <c r="U1153" t="s">
        <v>5204</v>
      </c>
    </row>
    <row r="1154" spans="1:21" x14ac:dyDescent="0.25">
      <c r="A1154" t="s">
        <v>5205</v>
      </c>
      <c r="B1154" t="s">
        <v>22</v>
      </c>
      <c r="C1154" t="s">
        <v>5206</v>
      </c>
      <c r="D1154">
        <f t="shared" si="30"/>
        <v>-8006655851</v>
      </c>
      <c r="E1154" t="s">
        <v>5207</v>
      </c>
      <c r="F1154" t="s">
        <v>4114</v>
      </c>
      <c r="G1154" t="s">
        <v>4115</v>
      </c>
      <c r="H1154">
        <v>9.0058260000000008</v>
      </c>
      <c r="I1154">
        <v>48.687395000000002</v>
      </c>
      <c r="J1154">
        <v>110</v>
      </c>
      <c r="K1154" t="s">
        <v>45</v>
      </c>
      <c r="L1154" t="s">
        <v>45</v>
      </c>
      <c r="M1154" t="s">
        <v>45</v>
      </c>
      <c r="N1154" t="s">
        <v>45</v>
      </c>
      <c r="O1154" t="s">
        <v>45</v>
      </c>
      <c r="P1154" t="s">
        <v>45</v>
      </c>
      <c r="R1154" t="s">
        <v>5208</v>
      </c>
      <c r="T1154" t="s">
        <v>4146</v>
      </c>
      <c r="U1154" t="s">
        <v>5209</v>
      </c>
    </row>
    <row r="1155" spans="1:21" x14ac:dyDescent="0.25">
      <c r="A1155" t="s">
        <v>5210</v>
      </c>
      <c r="B1155" t="s">
        <v>22</v>
      </c>
      <c r="C1155" t="s">
        <v>5211</v>
      </c>
      <c r="D1155">
        <f t="shared" ref="D1155:D1164" si="31">49-8006655900</f>
        <v>-8006655851</v>
      </c>
      <c r="E1155" t="s">
        <v>5212</v>
      </c>
      <c r="F1155" t="s">
        <v>4114</v>
      </c>
      <c r="G1155" t="s">
        <v>4115</v>
      </c>
      <c r="H1155">
        <v>6.8763733333130403</v>
      </c>
      <c r="I1155">
        <v>51.489307192512896</v>
      </c>
      <c r="J1155">
        <v>100</v>
      </c>
      <c r="K1155" t="s">
        <v>45</v>
      </c>
      <c r="L1155" t="s">
        <v>45</v>
      </c>
      <c r="M1155" t="s">
        <v>45</v>
      </c>
      <c r="N1155" t="s">
        <v>45</v>
      </c>
      <c r="O1155" t="s">
        <v>45</v>
      </c>
      <c r="P1155" t="s">
        <v>45</v>
      </c>
      <c r="R1155" t="s">
        <v>5213</v>
      </c>
      <c r="T1155" t="s">
        <v>4117</v>
      </c>
      <c r="U1155" t="s">
        <v>5214</v>
      </c>
    </row>
    <row r="1156" spans="1:21" x14ac:dyDescent="0.25">
      <c r="A1156" t="s">
        <v>5215</v>
      </c>
      <c r="B1156" t="s">
        <v>22</v>
      </c>
      <c r="C1156" t="s">
        <v>5216</v>
      </c>
      <c r="D1156">
        <f t="shared" si="31"/>
        <v>-8006655851</v>
      </c>
      <c r="E1156" t="s">
        <v>5217</v>
      </c>
      <c r="F1156" t="s">
        <v>4114</v>
      </c>
      <c r="G1156" t="s">
        <v>4115</v>
      </c>
      <c r="H1156">
        <v>6.4377360000000001</v>
      </c>
      <c r="I1156">
        <v>51.194848999999998</v>
      </c>
      <c r="J1156">
        <v>100</v>
      </c>
      <c r="K1156" t="s">
        <v>45</v>
      </c>
      <c r="L1156" t="s">
        <v>45</v>
      </c>
      <c r="M1156" t="s">
        <v>45</v>
      </c>
      <c r="N1156" t="s">
        <v>45</v>
      </c>
      <c r="O1156" t="s">
        <v>45</v>
      </c>
      <c r="P1156" t="s">
        <v>45</v>
      </c>
      <c r="R1156" t="s">
        <v>5218</v>
      </c>
      <c r="T1156" t="s">
        <v>4117</v>
      </c>
      <c r="U1156" t="s">
        <v>5219</v>
      </c>
    </row>
    <row r="1157" spans="1:21" x14ac:dyDescent="0.25">
      <c r="A1157" t="s">
        <v>5220</v>
      </c>
      <c r="B1157" t="s">
        <v>22</v>
      </c>
      <c r="C1157" t="s">
        <v>5221</v>
      </c>
      <c r="D1157">
        <f t="shared" si="31"/>
        <v>-8006655851</v>
      </c>
      <c r="E1157" t="s">
        <v>5222</v>
      </c>
      <c r="F1157" t="s">
        <v>4114</v>
      </c>
      <c r="G1157" t="s">
        <v>4115</v>
      </c>
      <c r="H1157">
        <v>7.2083490000000001</v>
      </c>
      <c r="I1157">
        <v>50.797314</v>
      </c>
      <c r="J1157">
        <v>100</v>
      </c>
      <c r="K1157" t="s">
        <v>185</v>
      </c>
      <c r="L1157" t="s">
        <v>185</v>
      </c>
      <c r="M1157" t="s">
        <v>185</v>
      </c>
      <c r="N1157" t="s">
        <v>185</v>
      </c>
      <c r="O1157" t="s">
        <v>185</v>
      </c>
      <c r="P1157" t="s">
        <v>185</v>
      </c>
      <c r="R1157" t="s">
        <v>5221</v>
      </c>
      <c r="T1157" t="s">
        <v>4117</v>
      </c>
      <c r="U1157" t="s">
        <v>5223</v>
      </c>
    </row>
    <row r="1158" spans="1:21" x14ac:dyDescent="0.25">
      <c r="A1158" t="s">
        <v>5224</v>
      </c>
      <c r="B1158" t="s">
        <v>38</v>
      </c>
      <c r="C1158" t="s">
        <v>5225</v>
      </c>
      <c r="D1158">
        <f t="shared" si="31"/>
        <v>-8006655851</v>
      </c>
      <c r="E1158" t="s">
        <v>5226</v>
      </c>
      <c r="F1158" t="s">
        <v>4114</v>
      </c>
      <c r="G1158" t="s">
        <v>4115</v>
      </c>
      <c r="H1158">
        <v>8.0696130000000004</v>
      </c>
      <c r="I1158">
        <v>48.629154</v>
      </c>
      <c r="J1158">
        <v>100</v>
      </c>
      <c r="K1158" t="s">
        <v>184</v>
      </c>
      <c r="L1158" t="s">
        <v>184</v>
      </c>
      <c r="M1158" t="s">
        <v>184</v>
      </c>
      <c r="N1158" t="s">
        <v>184</v>
      </c>
      <c r="O1158" t="s">
        <v>184</v>
      </c>
      <c r="P1158" t="s">
        <v>262</v>
      </c>
      <c r="R1158" t="s">
        <v>5227</v>
      </c>
      <c r="T1158" t="s">
        <v>4146</v>
      </c>
      <c r="U1158" t="s">
        <v>5228</v>
      </c>
    </row>
    <row r="1159" spans="1:21" x14ac:dyDescent="0.25">
      <c r="A1159" t="s">
        <v>5229</v>
      </c>
      <c r="B1159" t="s">
        <v>38</v>
      </c>
      <c r="C1159" t="s">
        <v>5230</v>
      </c>
      <c r="D1159">
        <f t="shared" si="31"/>
        <v>-8006655851</v>
      </c>
      <c r="E1159" t="s">
        <v>5231</v>
      </c>
      <c r="F1159" t="s">
        <v>4114</v>
      </c>
      <c r="G1159" t="s">
        <v>4115</v>
      </c>
      <c r="H1159">
        <v>9.9828650000000003</v>
      </c>
      <c r="I1159">
        <v>54.073557999999998</v>
      </c>
      <c r="J1159">
        <v>100</v>
      </c>
      <c r="K1159" t="s">
        <v>184</v>
      </c>
      <c r="L1159" t="s">
        <v>184</v>
      </c>
      <c r="M1159" t="s">
        <v>184</v>
      </c>
      <c r="N1159" t="s">
        <v>184</v>
      </c>
      <c r="O1159" t="s">
        <v>184</v>
      </c>
      <c r="P1159" t="s">
        <v>184</v>
      </c>
      <c r="R1159" t="s">
        <v>5232</v>
      </c>
      <c r="T1159" t="s">
        <v>4413</v>
      </c>
      <c r="U1159" t="s">
        <v>5233</v>
      </c>
    </row>
    <row r="1160" spans="1:21" x14ac:dyDescent="0.25">
      <c r="A1160" t="s">
        <v>5234</v>
      </c>
      <c r="B1160" t="s">
        <v>38</v>
      </c>
      <c r="C1160" t="s">
        <v>5235</v>
      </c>
      <c r="D1160">
        <f t="shared" si="31"/>
        <v>-8006655851</v>
      </c>
      <c r="E1160" t="s">
        <v>5236</v>
      </c>
      <c r="F1160" t="s">
        <v>4114</v>
      </c>
      <c r="G1160" t="s">
        <v>4115</v>
      </c>
      <c r="H1160">
        <v>8.7898490000000002</v>
      </c>
      <c r="I1160">
        <v>51.055855999999999</v>
      </c>
      <c r="J1160">
        <v>100</v>
      </c>
      <c r="K1160" t="s">
        <v>535</v>
      </c>
      <c r="L1160" t="s">
        <v>535</v>
      </c>
      <c r="M1160" t="s">
        <v>535</v>
      </c>
      <c r="N1160" t="s">
        <v>535</v>
      </c>
      <c r="O1160" t="s">
        <v>535</v>
      </c>
      <c r="P1160" t="s">
        <v>428</v>
      </c>
      <c r="R1160" t="s">
        <v>5235</v>
      </c>
      <c r="S1160" t="s">
        <v>5237</v>
      </c>
      <c r="U1160" t="s">
        <v>5238</v>
      </c>
    </row>
    <row r="1161" spans="1:21" x14ac:dyDescent="0.25">
      <c r="A1161" t="s">
        <v>5239</v>
      </c>
      <c r="B1161" t="s">
        <v>38</v>
      </c>
      <c r="C1161" t="s">
        <v>5240</v>
      </c>
      <c r="D1161">
        <f t="shared" si="31"/>
        <v>-8006655851</v>
      </c>
      <c r="E1161" t="s">
        <v>5241</v>
      </c>
      <c r="F1161" t="s">
        <v>4114</v>
      </c>
      <c r="G1161" t="s">
        <v>4115</v>
      </c>
      <c r="H1161">
        <v>12.231823</v>
      </c>
      <c r="I1161">
        <v>48.058145000000003</v>
      </c>
      <c r="J1161">
        <v>100</v>
      </c>
      <c r="K1161" t="s">
        <v>745</v>
      </c>
      <c r="L1161" t="s">
        <v>745</v>
      </c>
      <c r="M1161" t="s">
        <v>745</v>
      </c>
      <c r="N1161" t="s">
        <v>745</v>
      </c>
      <c r="O1161" t="s">
        <v>745</v>
      </c>
      <c r="P1161" t="s">
        <v>428</v>
      </c>
      <c r="R1161" t="s">
        <v>5240</v>
      </c>
      <c r="T1161" t="s">
        <v>4123</v>
      </c>
      <c r="U1161" t="s">
        <v>5242</v>
      </c>
    </row>
    <row r="1162" spans="1:21" x14ac:dyDescent="0.25">
      <c r="A1162" t="s">
        <v>5243</v>
      </c>
      <c r="B1162" t="s">
        <v>22</v>
      </c>
      <c r="C1162" t="s">
        <v>5244</v>
      </c>
      <c r="D1162">
        <f t="shared" si="31"/>
        <v>-8006655851</v>
      </c>
      <c r="E1162" t="s">
        <v>5245</v>
      </c>
      <c r="F1162" t="s">
        <v>4114</v>
      </c>
      <c r="G1162" t="s">
        <v>4115</v>
      </c>
      <c r="H1162">
        <v>8.1117930000000005</v>
      </c>
      <c r="I1162">
        <v>49.197532000000002</v>
      </c>
      <c r="J1162">
        <v>100</v>
      </c>
      <c r="K1162" t="s">
        <v>535</v>
      </c>
      <c r="L1162" t="s">
        <v>535</v>
      </c>
      <c r="M1162" t="s">
        <v>535</v>
      </c>
      <c r="N1162" t="s">
        <v>535</v>
      </c>
      <c r="O1162" t="s">
        <v>535</v>
      </c>
      <c r="P1162" t="s">
        <v>428</v>
      </c>
      <c r="R1162" t="s">
        <v>5244</v>
      </c>
      <c r="T1162" t="s">
        <v>4129</v>
      </c>
      <c r="U1162" t="s">
        <v>5246</v>
      </c>
    </row>
    <row r="1163" spans="1:21" x14ac:dyDescent="0.25">
      <c r="A1163" t="s">
        <v>5247</v>
      </c>
      <c r="B1163" t="s">
        <v>22</v>
      </c>
      <c r="C1163" t="s">
        <v>5248</v>
      </c>
      <c r="D1163">
        <f t="shared" si="31"/>
        <v>-8006655851</v>
      </c>
      <c r="E1163" t="s">
        <v>5249</v>
      </c>
      <c r="F1163" t="s">
        <v>4114</v>
      </c>
      <c r="G1163" t="s">
        <v>4115</v>
      </c>
      <c r="H1163">
        <v>6.7532220000000001</v>
      </c>
      <c r="I1163">
        <v>49.314145000000003</v>
      </c>
      <c r="J1163">
        <v>100</v>
      </c>
      <c r="K1163" t="s">
        <v>184</v>
      </c>
      <c r="L1163" t="s">
        <v>184</v>
      </c>
      <c r="M1163" t="s">
        <v>184</v>
      </c>
      <c r="N1163" t="s">
        <v>184</v>
      </c>
      <c r="O1163" t="s">
        <v>184</v>
      </c>
      <c r="P1163" t="s">
        <v>262</v>
      </c>
      <c r="R1163" t="s">
        <v>5250</v>
      </c>
      <c r="T1163" t="s">
        <v>4135</v>
      </c>
      <c r="U1163" t="s">
        <v>5251</v>
      </c>
    </row>
    <row r="1164" spans="1:21" x14ac:dyDescent="0.25">
      <c r="A1164" t="s">
        <v>5252</v>
      </c>
      <c r="B1164" t="s">
        <v>38</v>
      </c>
      <c r="C1164" t="s">
        <v>5253</v>
      </c>
      <c r="D1164">
        <f t="shared" si="31"/>
        <v>-8006655851</v>
      </c>
      <c r="E1164" t="s">
        <v>4786</v>
      </c>
      <c r="F1164" t="s">
        <v>4114</v>
      </c>
      <c r="G1164" t="s">
        <v>4115</v>
      </c>
      <c r="H1164">
        <v>6.8959349999999997</v>
      </c>
      <c r="I1164">
        <v>51.02102</v>
      </c>
      <c r="J1164">
        <v>100</v>
      </c>
      <c r="K1164" t="s">
        <v>185</v>
      </c>
      <c r="L1164" t="s">
        <v>185</v>
      </c>
      <c r="M1164" t="s">
        <v>185</v>
      </c>
      <c r="N1164" t="s">
        <v>185</v>
      </c>
      <c r="O1164" t="s">
        <v>185</v>
      </c>
      <c r="P1164" t="s">
        <v>185</v>
      </c>
      <c r="R1164" t="s">
        <v>5254</v>
      </c>
      <c r="T1164" t="s">
        <v>4117</v>
      </c>
      <c r="U1164" t="s">
        <v>5255</v>
      </c>
    </row>
    <row r="1165" spans="1:21" x14ac:dyDescent="0.25">
      <c r="A1165" t="s">
        <v>5256</v>
      </c>
      <c r="B1165" t="s">
        <v>22</v>
      </c>
      <c r="C1165" t="s">
        <v>5257</v>
      </c>
      <c r="D1165">
        <f>49-800-6655900</f>
        <v>-6656651</v>
      </c>
      <c r="E1165" t="s">
        <v>4571</v>
      </c>
      <c r="F1165" t="s">
        <v>4114</v>
      </c>
      <c r="G1165" t="s">
        <v>4115</v>
      </c>
      <c r="H1165">
        <v>9.1906280000000002</v>
      </c>
      <c r="I1165">
        <v>48.899937999999999</v>
      </c>
      <c r="J1165">
        <v>110</v>
      </c>
      <c r="K1165" t="s">
        <v>185</v>
      </c>
      <c r="L1165" t="s">
        <v>185</v>
      </c>
      <c r="M1165" t="s">
        <v>185</v>
      </c>
      <c r="N1165" t="s">
        <v>185</v>
      </c>
      <c r="O1165" t="s">
        <v>185</v>
      </c>
      <c r="P1165" t="s">
        <v>185</v>
      </c>
      <c r="R1165" t="s">
        <v>5258</v>
      </c>
      <c r="T1165" t="s">
        <v>4146</v>
      </c>
      <c r="U1165" t="s">
        <v>5259</v>
      </c>
    </row>
    <row r="1166" spans="1:21" x14ac:dyDescent="0.25">
      <c r="A1166" t="s">
        <v>5260</v>
      </c>
      <c r="B1166" t="s">
        <v>22</v>
      </c>
      <c r="C1166" t="s">
        <v>5261</v>
      </c>
      <c r="D1166">
        <f>49-800-6655900</f>
        <v>-6656651</v>
      </c>
      <c r="E1166" t="s">
        <v>5262</v>
      </c>
      <c r="F1166" t="s">
        <v>4114</v>
      </c>
      <c r="G1166" t="s">
        <v>4115</v>
      </c>
      <c r="H1166">
        <v>9.6168809999999993</v>
      </c>
      <c r="I1166">
        <v>47.780441000000003</v>
      </c>
      <c r="J1166">
        <v>100</v>
      </c>
      <c r="K1166" t="s">
        <v>535</v>
      </c>
      <c r="L1166" t="s">
        <v>535</v>
      </c>
      <c r="M1166" t="s">
        <v>535</v>
      </c>
      <c r="N1166" t="s">
        <v>535</v>
      </c>
      <c r="O1166" t="s">
        <v>535</v>
      </c>
      <c r="P1166" t="s">
        <v>535</v>
      </c>
      <c r="R1166" t="s">
        <v>5263</v>
      </c>
      <c r="T1166" t="s">
        <v>4146</v>
      </c>
      <c r="U1166" t="s">
        <v>5264</v>
      </c>
    </row>
    <row r="1167" spans="1:21" x14ac:dyDescent="0.25">
      <c r="A1167" t="s">
        <v>5265</v>
      </c>
      <c r="B1167" t="s">
        <v>22</v>
      </c>
      <c r="C1167" t="s">
        <v>5266</v>
      </c>
      <c r="D1167">
        <f>49-8006655900</f>
        <v>-8006655851</v>
      </c>
      <c r="E1167" t="s">
        <v>5267</v>
      </c>
      <c r="F1167" t="s">
        <v>4114</v>
      </c>
      <c r="G1167" t="s">
        <v>4115</v>
      </c>
      <c r="H1167">
        <v>11.744959</v>
      </c>
      <c r="I1167">
        <v>48.400893000000003</v>
      </c>
      <c r="J1167">
        <v>110</v>
      </c>
      <c r="K1167" t="s">
        <v>535</v>
      </c>
      <c r="L1167" t="s">
        <v>535</v>
      </c>
      <c r="M1167" t="s">
        <v>535</v>
      </c>
      <c r="N1167" t="s">
        <v>535</v>
      </c>
      <c r="O1167" t="s">
        <v>535</v>
      </c>
      <c r="P1167" t="s">
        <v>428</v>
      </c>
      <c r="R1167" t="s">
        <v>5266</v>
      </c>
      <c r="T1167" t="s">
        <v>4123</v>
      </c>
      <c r="U1167" t="s">
        <v>5268</v>
      </c>
    </row>
    <row r="1168" spans="1:21" x14ac:dyDescent="0.25">
      <c r="A1168" t="s">
        <v>5269</v>
      </c>
      <c r="B1168" t="s">
        <v>22</v>
      </c>
      <c r="C1168" t="s">
        <v>5270</v>
      </c>
      <c r="D1168">
        <f>49-8006655900</f>
        <v>-8006655851</v>
      </c>
      <c r="E1168" t="s">
        <v>5271</v>
      </c>
      <c r="F1168" t="s">
        <v>4114</v>
      </c>
      <c r="G1168" t="s">
        <v>4115</v>
      </c>
      <c r="H1168">
        <v>8.4022190000000005</v>
      </c>
      <c r="I1168">
        <v>49.006276</v>
      </c>
      <c r="J1168">
        <v>100</v>
      </c>
      <c r="K1168" t="s">
        <v>45</v>
      </c>
      <c r="L1168" t="s">
        <v>45</v>
      </c>
      <c r="M1168" t="s">
        <v>45</v>
      </c>
      <c r="N1168" t="s">
        <v>45</v>
      </c>
      <c r="O1168" t="s">
        <v>45</v>
      </c>
      <c r="P1168" t="s">
        <v>45</v>
      </c>
      <c r="R1168" t="s">
        <v>5272</v>
      </c>
      <c r="T1168" t="s">
        <v>4146</v>
      </c>
      <c r="U1168" t="s">
        <v>5273</v>
      </c>
    </row>
    <row r="1169" spans="1:21" x14ac:dyDescent="0.25">
      <c r="A1169" t="s">
        <v>5274</v>
      </c>
      <c r="B1169" t="s">
        <v>38</v>
      </c>
      <c r="C1169" t="s">
        <v>5275</v>
      </c>
      <c r="D1169">
        <f>49-8006655900</f>
        <v>-8006655851</v>
      </c>
      <c r="E1169" t="s">
        <v>5276</v>
      </c>
      <c r="F1169" t="s">
        <v>4114</v>
      </c>
      <c r="G1169" t="s">
        <v>4115</v>
      </c>
      <c r="H1169">
        <v>8.0554570000000005</v>
      </c>
      <c r="I1169">
        <v>49.975529999999999</v>
      </c>
      <c r="J1169">
        <v>100</v>
      </c>
      <c r="K1169" t="s">
        <v>45</v>
      </c>
      <c r="L1169" t="s">
        <v>45</v>
      </c>
      <c r="M1169" t="s">
        <v>45</v>
      </c>
      <c r="N1169" t="s">
        <v>45</v>
      </c>
      <c r="O1169" t="s">
        <v>45</v>
      </c>
      <c r="P1169" t="s">
        <v>166</v>
      </c>
      <c r="R1169" t="s">
        <v>5277</v>
      </c>
      <c r="T1169" t="s">
        <v>4129</v>
      </c>
      <c r="U1169" t="s">
        <v>5278</v>
      </c>
    </row>
    <row r="1170" spans="1:21" x14ac:dyDescent="0.25">
      <c r="A1170" t="s">
        <v>5279</v>
      </c>
      <c r="B1170" t="s">
        <v>38</v>
      </c>
      <c r="C1170" t="s">
        <v>5280</v>
      </c>
      <c r="D1170">
        <f>49-800-6655900</f>
        <v>-6656651</v>
      </c>
      <c r="E1170" t="s">
        <v>5281</v>
      </c>
      <c r="F1170" t="s">
        <v>4114</v>
      </c>
      <c r="G1170" t="s">
        <v>4115</v>
      </c>
      <c r="H1170">
        <v>7.9476897804259998</v>
      </c>
      <c r="I1170">
        <v>47.554983231231901</v>
      </c>
      <c r="J1170">
        <v>100</v>
      </c>
      <c r="K1170" t="s">
        <v>535</v>
      </c>
      <c r="L1170" t="s">
        <v>535</v>
      </c>
      <c r="M1170" t="s">
        <v>535</v>
      </c>
      <c r="N1170" t="s">
        <v>535</v>
      </c>
      <c r="O1170" t="s">
        <v>535</v>
      </c>
      <c r="P1170" t="s">
        <v>535</v>
      </c>
      <c r="R1170" t="s">
        <v>5282</v>
      </c>
      <c r="T1170" t="s">
        <v>4146</v>
      </c>
      <c r="U1170" t="s">
        <v>5283</v>
      </c>
    </row>
    <row r="1171" spans="1:21" x14ac:dyDescent="0.25">
      <c r="A1171" t="s">
        <v>5284</v>
      </c>
      <c r="B1171" t="s">
        <v>38</v>
      </c>
      <c r="C1171" t="s">
        <v>5285</v>
      </c>
      <c r="D1171">
        <f>49-35714592230</f>
        <v>-35714592181</v>
      </c>
      <c r="E1171" t="s">
        <v>5286</v>
      </c>
      <c r="F1171" t="s">
        <v>4114</v>
      </c>
      <c r="G1171" t="s">
        <v>4115</v>
      </c>
      <c r="H1171">
        <v>14.2590190562057</v>
      </c>
      <c r="I1171">
        <v>51.437459681503803</v>
      </c>
      <c r="J1171">
        <v>110</v>
      </c>
      <c r="K1171" t="s">
        <v>165</v>
      </c>
      <c r="L1171" t="s">
        <v>165</v>
      </c>
      <c r="M1171" t="s">
        <v>165</v>
      </c>
      <c r="N1171" t="s">
        <v>165</v>
      </c>
      <c r="O1171" t="s">
        <v>165</v>
      </c>
      <c r="P1171" t="s">
        <v>5287</v>
      </c>
      <c r="R1171" t="s">
        <v>5288</v>
      </c>
      <c r="T1171" t="s">
        <v>4248</v>
      </c>
      <c r="U1171" t="s">
        <v>5289</v>
      </c>
    </row>
    <row r="1172" spans="1:21" x14ac:dyDescent="0.25">
      <c r="A1172" t="s">
        <v>5290</v>
      </c>
      <c r="B1172" t="s">
        <v>22</v>
      </c>
      <c r="C1172" t="s">
        <v>5291</v>
      </c>
      <c r="D1172">
        <f t="shared" ref="D1172:D1177" si="32">49-8006655900</f>
        <v>-8006655851</v>
      </c>
      <c r="E1172" t="s">
        <v>4611</v>
      </c>
      <c r="F1172" t="s">
        <v>4114</v>
      </c>
      <c r="G1172" t="s">
        <v>4115</v>
      </c>
      <c r="H1172">
        <v>10.627964</v>
      </c>
      <c r="I1172">
        <v>53.858353999999999</v>
      </c>
      <c r="J1172">
        <v>100</v>
      </c>
      <c r="K1172" t="s">
        <v>185</v>
      </c>
      <c r="L1172" t="s">
        <v>185</v>
      </c>
      <c r="M1172" t="s">
        <v>185</v>
      </c>
      <c r="N1172" t="s">
        <v>2069</v>
      </c>
      <c r="O1172" t="s">
        <v>185</v>
      </c>
      <c r="P1172" t="s">
        <v>185</v>
      </c>
      <c r="R1172" t="s">
        <v>5292</v>
      </c>
      <c r="T1172" t="s">
        <v>4413</v>
      </c>
      <c r="U1172" t="s">
        <v>5293</v>
      </c>
    </row>
    <row r="1173" spans="1:21" x14ac:dyDescent="0.25">
      <c r="A1173" t="s">
        <v>5294</v>
      </c>
      <c r="B1173" t="s">
        <v>22</v>
      </c>
      <c r="C1173" t="s">
        <v>5295</v>
      </c>
      <c r="D1173">
        <f t="shared" si="32"/>
        <v>-8006655851</v>
      </c>
      <c r="E1173" t="s">
        <v>5296</v>
      </c>
      <c r="F1173" t="s">
        <v>4114</v>
      </c>
      <c r="G1173" t="s">
        <v>4115</v>
      </c>
      <c r="H1173">
        <v>8.9209669999999992</v>
      </c>
      <c r="I1173">
        <v>52.290160999999998</v>
      </c>
      <c r="J1173">
        <v>100</v>
      </c>
      <c r="K1173" t="s">
        <v>535</v>
      </c>
      <c r="L1173" t="s">
        <v>535</v>
      </c>
      <c r="M1173" t="s">
        <v>535</v>
      </c>
      <c r="N1173" t="s">
        <v>535</v>
      </c>
      <c r="O1173" t="s">
        <v>535</v>
      </c>
      <c r="P1173" t="s">
        <v>535</v>
      </c>
      <c r="R1173" t="s">
        <v>5295</v>
      </c>
      <c r="T1173" t="s">
        <v>4117</v>
      </c>
      <c r="U1173" t="s">
        <v>5297</v>
      </c>
    </row>
    <row r="1174" spans="1:21" x14ac:dyDescent="0.25">
      <c r="A1174" t="s">
        <v>5298</v>
      </c>
      <c r="B1174" t="s">
        <v>38</v>
      </c>
      <c r="C1174" t="s">
        <v>5299</v>
      </c>
      <c r="D1174">
        <f t="shared" si="32"/>
        <v>-8006655851</v>
      </c>
      <c r="E1174" t="s">
        <v>5300</v>
      </c>
      <c r="F1174" t="s">
        <v>4114</v>
      </c>
      <c r="G1174" t="s">
        <v>4115</v>
      </c>
      <c r="H1174">
        <v>9.5287849999999992</v>
      </c>
      <c r="I1174">
        <v>48.806162999999998</v>
      </c>
      <c r="J1174">
        <v>110</v>
      </c>
      <c r="K1174" t="s">
        <v>535</v>
      </c>
      <c r="L1174" t="s">
        <v>535</v>
      </c>
      <c r="M1174" t="s">
        <v>535</v>
      </c>
      <c r="N1174" t="s">
        <v>535</v>
      </c>
      <c r="O1174" t="s">
        <v>535</v>
      </c>
      <c r="P1174" t="s">
        <v>535</v>
      </c>
      <c r="R1174" t="s">
        <v>5299</v>
      </c>
      <c r="T1174" t="s">
        <v>4146</v>
      </c>
      <c r="U1174" t="s">
        <v>5301</v>
      </c>
    </row>
    <row r="1175" spans="1:21" x14ac:dyDescent="0.25">
      <c r="A1175" t="s">
        <v>5302</v>
      </c>
      <c r="B1175" t="s">
        <v>22</v>
      </c>
      <c r="C1175" t="s">
        <v>5303</v>
      </c>
      <c r="D1175">
        <f t="shared" si="32"/>
        <v>-8006655851</v>
      </c>
      <c r="E1175" t="s">
        <v>4266</v>
      </c>
      <c r="F1175" t="s">
        <v>4114</v>
      </c>
      <c r="G1175" t="s">
        <v>4115</v>
      </c>
      <c r="H1175">
        <v>13.454537999999999</v>
      </c>
      <c r="I1175">
        <v>52.429647000000003</v>
      </c>
      <c r="J1175">
        <v>100</v>
      </c>
      <c r="K1175" t="s">
        <v>45</v>
      </c>
      <c r="L1175" t="s">
        <v>45</v>
      </c>
      <c r="M1175" t="s">
        <v>45</v>
      </c>
      <c r="N1175" t="s">
        <v>45</v>
      </c>
      <c r="O1175" t="s">
        <v>45</v>
      </c>
      <c r="P1175" t="s">
        <v>45</v>
      </c>
      <c r="R1175" t="s">
        <v>5304</v>
      </c>
      <c r="T1175" t="s">
        <v>4278</v>
      </c>
      <c r="U1175" t="s">
        <v>5305</v>
      </c>
    </row>
    <row r="1176" spans="1:21" x14ac:dyDescent="0.25">
      <c r="A1176" t="s">
        <v>5306</v>
      </c>
      <c r="B1176" t="s">
        <v>38</v>
      </c>
      <c r="C1176" t="s">
        <v>5307</v>
      </c>
      <c r="D1176">
        <f t="shared" si="32"/>
        <v>-8006655851</v>
      </c>
      <c r="E1176" t="s">
        <v>5308</v>
      </c>
      <c r="F1176" t="s">
        <v>4114</v>
      </c>
      <c r="G1176" t="s">
        <v>4115</v>
      </c>
      <c r="H1176">
        <v>7.1867130000000001</v>
      </c>
      <c r="I1176">
        <v>50.778131999999999</v>
      </c>
      <c r="J1176">
        <v>100</v>
      </c>
      <c r="K1176" t="s">
        <v>45</v>
      </c>
      <c r="L1176" t="s">
        <v>45</v>
      </c>
      <c r="M1176" t="s">
        <v>45</v>
      </c>
      <c r="N1176" t="s">
        <v>45</v>
      </c>
      <c r="O1176" t="s">
        <v>45</v>
      </c>
      <c r="P1176" t="s">
        <v>45</v>
      </c>
      <c r="R1176" t="s">
        <v>5309</v>
      </c>
      <c r="T1176" t="s">
        <v>4117</v>
      </c>
      <c r="U1176" t="s">
        <v>5310</v>
      </c>
    </row>
    <row r="1177" spans="1:21" x14ac:dyDescent="0.25">
      <c r="A1177" t="s">
        <v>5311</v>
      </c>
      <c r="B1177" t="s">
        <v>32</v>
      </c>
      <c r="C1177" t="s">
        <v>5312</v>
      </c>
      <c r="D1177">
        <f t="shared" si="32"/>
        <v>-8006655851</v>
      </c>
      <c r="E1177" t="s">
        <v>5061</v>
      </c>
      <c r="F1177" t="s">
        <v>4114</v>
      </c>
      <c r="G1177" t="s">
        <v>4115</v>
      </c>
      <c r="H1177">
        <v>6.7734556000000303</v>
      </c>
      <c r="I1177">
        <v>51.227741100000003</v>
      </c>
      <c r="J1177">
        <v>100</v>
      </c>
      <c r="K1177" t="s">
        <v>45</v>
      </c>
      <c r="L1177" t="s">
        <v>45</v>
      </c>
      <c r="M1177" t="s">
        <v>45</v>
      </c>
      <c r="N1177" t="s">
        <v>45</v>
      </c>
      <c r="O1177" t="s">
        <v>45</v>
      </c>
      <c r="P1177" t="s">
        <v>45</v>
      </c>
      <c r="R1177" t="s">
        <v>5313</v>
      </c>
      <c r="T1177" t="s">
        <v>4117</v>
      </c>
      <c r="U1177" t="s">
        <v>5314</v>
      </c>
    </row>
    <row r="1178" spans="1:21" x14ac:dyDescent="0.25">
      <c r="A1178" t="s">
        <v>5315</v>
      </c>
      <c r="B1178" t="s">
        <v>38</v>
      </c>
      <c r="C1178" t="s">
        <v>5316</v>
      </c>
      <c r="D1178">
        <f>49-800-6655900</f>
        <v>-6656651</v>
      </c>
      <c r="E1178" t="s">
        <v>5317</v>
      </c>
      <c r="F1178" t="s">
        <v>4114</v>
      </c>
      <c r="G1178" t="s">
        <v>4115</v>
      </c>
      <c r="H1178">
        <v>7.1703789999999996</v>
      </c>
      <c r="I1178">
        <v>53.361856000000003</v>
      </c>
      <c r="J1178">
        <v>110</v>
      </c>
      <c r="K1178" t="s">
        <v>165</v>
      </c>
      <c r="L1178" t="s">
        <v>165</v>
      </c>
      <c r="M1178" t="s">
        <v>165</v>
      </c>
      <c r="N1178" t="s">
        <v>165</v>
      </c>
      <c r="O1178" t="s">
        <v>165</v>
      </c>
      <c r="P1178" t="s">
        <v>165</v>
      </c>
      <c r="R1178" t="s">
        <v>5318</v>
      </c>
      <c r="T1178" t="s">
        <v>4258</v>
      </c>
      <c r="U1178" t="s">
        <v>5319</v>
      </c>
    </row>
    <row r="1179" spans="1:21" x14ac:dyDescent="0.25">
      <c r="A1179" t="s">
        <v>5320</v>
      </c>
      <c r="B1179" t="s">
        <v>38</v>
      </c>
      <c r="C1179" t="s">
        <v>5321</v>
      </c>
      <c r="D1179">
        <f t="shared" ref="D1179:D1210" si="33">49-8006655900</f>
        <v>-8006655851</v>
      </c>
      <c r="E1179" t="s">
        <v>5322</v>
      </c>
      <c r="F1179" t="s">
        <v>4114</v>
      </c>
      <c r="G1179" t="s">
        <v>4115</v>
      </c>
      <c r="H1179">
        <v>6.3236129999999999</v>
      </c>
      <c r="I1179">
        <v>51.516517</v>
      </c>
      <c r="J1179">
        <v>100</v>
      </c>
      <c r="K1179" t="s">
        <v>535</v>
      </c>
      <c r="L1179" t="s">
        <v>535</v>
      </c>
      <c r="M1179" t="s">
        <v>535</v>
      </c>
      <c r="N1179" t="s">
        <v>535</v>
      </c>
      <c r="O1179" t="s">
        <v>535</v>
      </c>
      <c r="P1179" t="s">
        <v>428</v>
      </c>
      <c r="R1179" t="s">
        <v>5321</v>
      </c>
      <c r="T1179" t="s">
        <v>4117</v>
      </c>
      <c r="U1179" t="s">
        <v>5323</v>
      </c>
    </row>
    <row r="1180" spans="1:21" x14ac:dyDescent="0.25">
      <c r="A1180" t="s">
        <v>5324</v>
      </c>
      <c r="B1180" t="s">
        <v>38</v>
      </c>
      <c r="C1180" t="s">
        <v>5325</v>
      </c>
      <c r="D1180">
        <f t="shared" si="33"/>
        <v>-8006655851</v>
      </c>
      <c r="E1180" t="s">
        <v>5326</v>
      </c>
      <c r="F1180" t="s">
        <v>4114</v>
      </c>
      <c r="G1180" t="s">
        <v>4115</v>
      </c>
      <c r="H1180">
        <v>7.2754209999999997</v>
      </c>
      <c r="I1180">
        <v>51.831009999999999</v>
      </c>
      <c r="J1180">
        <v>100</v>
      </c>
      <c r="K1180" t="s">
        <v>535</v>
      </c>
      <c r="L1180" t="s">
        <v>535</v>
      </c>
      <c r="M1180" t="s">
        <v>535</v>
      </c>
      <c r="N1180" t="s">
        <v>535</v>
      </c>
      <c r="O1180" t="s">
        <v>535</v>
      </c>
      <c r="P1180" t="s">
        <v>428</v>
      </c>
      <c r="R1180" t="s">
        <v>5325</v>
      </c>
      <c r="T1180" t="s">
        <v>4117</v>
      </c>
      <c r="U1180" t="s">
        <v>5327</v>
      </c>
    </row>
    <row r="1181" spans="1:21" x14ac:dyDescent="0.25">
      <c r="A1181" t="s">
        <v>5328</v>
      </c>
      <c r="B1181" t="s">
        <v>38</v>
      </c>
      <c r="C1181" t="s">
        <v>5329</v>
      </c>
      <c r="D1181">
        <f t="shared" si="33"/>
        <v>-8006655851</v>
      </c>
      <c r="E1181" t="s">
        <v>5330</v>
      </c>
      <c r="F1181" t="s">
        <v>4114</v>
      </c>
      <c r="G1181" t="s">
        <v>4115</v>
      </c>
      <c r="H1181">
        <v>7.5329410000000001</v>
      </c>
      <c r="I1181">
        <v>50.394922999999999</v>
      </c>
      <c r="J1181">
        <v>100</v>
      </c>
      <c r="K1181" t="s">
        <v>192</v>
      </c>
      <c r="L1181" t="s">
        <v>192</v>
      </c>
      <c r="M1181" t="s">
        <v>192</v>
      </c>
      <c r="N1181" t="s">
        <v>192</v>
      </c>
      <c r="O1181" t="s">
        <v>192</v>
      </c>
      <c r="P1181" t="s">
        <v>192</v>
      </c>
      <c r="R1181" t="s">
        <v>5329</v>
      </c>
      <c r="T1181" t="s">
        <v>4129</v>
      </c>
      <c r="U1181" t="s">
        <v>5331</v>
      </c>
    </row>
    <row r="1182" spans="1:21" x14ac:dyDescent="0.25">
      <c r="A1182" t="s">
        <v>5332</v>
      </c>
      <c r="B1182" t="s">
        <v>38</v>
      </c>
      <c r="C1182" t="s">
        <v>5333</v>
      </c>
      <c r="D1182">
        <f t="shared" si="33"/>
        <v>-8006655851</v>
      </c>
      <c r="E1182" t="s">
        <v>5334</v>
      </c>
      <c r="F1182" t="s">
        <v>4114</v>
      </c>
      <c r="G1182" t="s">
        <v>4115</v>
      </c>
      <c r="H1182">
        <v>9.0491298174743005</v>
      </c>
      <c r="I1182">
        <v>54.476878367622099</v>
      </c>
      <c r="J1182">
        <v>100</v>
      </c>
      <c r="K1182" t="s">
        <v>728</v>
      </c>
      <c r="L1182" t="s">
        <v>728</v>
      </c>
      <c r="M1182" t="s">
        <v>728</v>
      </c>
      <c r="N1182" t="s">
        <v>198</v>
      </c>
      <c r="O1182" t="s">
        <v>728</v>
      </c>
      <c r="P1182" t="s">
        <v>728</v>
      </c>
      <c r="R1182" t="s">
        <v>5335</v>
      </c>
      <c r="T1182" t="s">
        <v>4413</v>
      </c>
      <c r="U1182" t="s">
        <v>5336</v>
      </c>
    </row>
    <row r="1183" spans="1:21" x14ac:dyDescent="0.25">
      <c r="A1183" t="s">
        <v>5337</v>
      </c>
      <c r="B1183" t="s">
        <v>38</v>
      </c>
      <c r="C1183" t="s">
        <v>5338</v>
      </c>
      <c r="D1183">
        <f t="shared" si="33"/>
        <v>-8006655851</v>
      </c>
      <c r="E1183" t="s">
        <v>5339</v>
      </c>
      <c r="F1183" t="s">
        <v>4114</v>
      </c>
      <c r="G1183" t="s">
        <v>4115</v>
      </c>
      <c r="H1183">
        <v>13.059061700000001</v>
      </c>
      <c r="I1183">
        <v>52.542086400000002</v>
      </c>
      <c r="J1183">
        <v>100</v>
      </c>
      <c r="K1183" t="s">
        <v>45</v>
      </c>
      <c r="L1183" t="s">
        <v>45</v>
      </c>
      <c r="M1183" t="s">
        <v>45</v>
      </c>
      <c r="N1183" t="s">
        <v>45</v>
      </c>
      <c r="O1183" t="s">
        <v>45</v>
      </c>
      <c r="P1183" t="s">
        <v>192</v>
      </c>
      <c r="R1183" t="s">
        <v>5340</v>
      </c>
      <c r="T1183" t="s">
        <v>4563</v>
      </c>
      <c r="U1183" t="s">
        <v>5341</v>
      </c>
    </row>
    <row r="1184" spans="1:21" x14ac:dyDescent="0.25">
      <c r="A1184" t="s">
        <v>5342</v>
      </c>
      <c r="B1184" t="s">
        <v>38</v>
      </c>
      <c r="C1184" t="s">
        <v>5343</v>
      </c>
      <c r="D1184">
        <f t="shared" si="33"/>
        <v>-8006655851</v>
      </c>
      <c r="E1184" t="s">
        <v>5344</v>
      </c>
      <c r="F1184" t="s">
        <v>4114</v>
      </c>
      <c r="G1184" t="s">
        <v>4115</v>
      </c>
      <c r="H1184">
        <v>10.805720000000001</v>
      </c>
      <c r="I1184">
        <v>49.702849999999998</v>
      </c>
      <c r="J1184">
        <v>110</v>
      </c>
      <c r="K1184" t="s">
        <v>184</v>
      </c>
      <c r="L1184" t="s">
        <v>184</v>
      </c>
      <c r="M1184" t="s">
        <v>184</v>
      </c>
      <c r="N1184" t="s">
        <v>184</v>
      </c>
      <c r="O1184" t="s">
        <v>184</v>
      </c>
      <c r="P1184" t="s">
        <v>184</v>
      </c>
      <c r="R1184" t="s">
        <v>5345</v>
      </c>
      <c r="T1184" t="s">
        <v>4123</v>
      </c>
      <c r="U1184" t="s">
        <v>5346</v>
      </c>
    </row>
    <row r="1185" spans="1:21" x14ac:dyDescent="0.25">
      <c r="A1185" t="s">
        <v>5347</v>
      </c>
      <c r="B1185" t="s">
        <v>38</v>
      </c>
      <c r="C1185" t="s">
        <v>5348</v>
      </c>
      <c r="D1185">
        <f t="shared" si="33"/>
        <v>-8006655851</v>
      </c>
      <c r="E1185" t="s">
        <v>4169</v>
      </c>
      <c r="F1185" t="s">
        <v>4114</v>
      </c>
      <c r="G1185" t="s">
        <v>4115</v>
      </c>
      <c r="H1185">
        <v>11.546972</v>
      </c>
      <c r="I1185">
        <v>48.136484000000003</v>
      </c>
      <c r="J1185">
        <v>110</v>
      </c>
      <c r="K1185" t="s">
        <v>45</v>
      </c>
      <c r="L1185" t="s">
        <v>45</v>
      </c>
      <c r="M1185" t="s">
        <v>45</v>
      </c>
      <c r="N1185" t="s">
        <v>45</v>
      </c>
      <c r="O1185" t="s">
        <v>45</v>
      </c>
      <c r="P1185" t="s">
        <v>45</v>
      </c>
      <c r="R1185" t="s">
        <v>5349</v>
      </c>
      <c r="T1185" t="s">
        <v>4123</v>
      </c>
      <c r="U1185" t="s">
        <v>5350</v>
      </c>
    </row>
    <row r="1186" spans="1:21" x14ac:dyDescent="0.25">
      <c r="A1186" t="s">
        <v>5351</v>
      </c>
      <c r="B1186" t="s">
        <v>38</v>
      </c>
      <c r="C1186" t="s">
        <v>5352</v>
      </c>
      <c r="D1186">
        <f t="shared" si="33"/>
        <v>-8006655851</v>
      </c>
      <c r="E1186" t="s">
        <v>5353</v>
      </c>
      <c r="F1186" t="s">
        <v>4114</v>
      </c>
      <c r="G1186" t="s">
        <v>4115</v>
      </c>
      <c r="H1186">
        <v>8.7225090000000005</v>
      </c>
      <c r="I1186">
        <v>48.550514999999997</v>
      </c>
      <c r="J1186">
        <v>100</v>
      </c>
      <c r="K1186" t="s">
        <v>535</v>
      </c>
      <c r="L1186" t="s">
        <v>535</v>
      </c>
      <c r="M1186" t="s">
        <v>535</v>
      </c>
      <c r="N1186" t="s">
        <v>535</v>
      </c>
      <c r="O1186" t="s">
        <v>535</v>
      </c>
      <c r="P1186" t="s">
        <v>535</v>
      </c>
      <c r="R1186" t="s">
        <v>5352</v>
      </c>
      <c r="T1186" t="s">
        <v>4146</v>
      </c>
      <c r="U1186" t="s">
        <v>5354</v>
      </c>
    </row>
    <row r="1187" spans="1:21" x14ac:dyDescent="0.25">
      <c r="A1187" t="s">
        <v>5355</v>
      </c>
      <c r="B1187" t="s">
        <v>38</v>
      </c>
      <c r="C1187" t="s">
        <v>5356</v>
      </c>
      <c r="D1187">
        <f t="shared" si="33"/>
        <v>-8006655851</v>
      </c>
      <c r="E1187" t="s">
        <v>5357</v>
      </c>
      <c r="F1187" t="s">
        <v>4114</v>
      </c>
      <c r="G1187" t="s">
        <v>4115</v>
      </c>
      <c r="H1187">
        <v>13.596465999999999</v>
      </c>
      <c r="I1187">
        <v>52.549754</v>
      </c>
      <c r="J1187">
        <v>100</v>
      </c>
      <c r="K1187" t="s">
        <v>45</v>
      </c>
      <c r="L1187" t="s">
        <v>45</v>
      </c>
      <c r="M1187" t="s">
        <v>45</v>
      </c>
      <c r="N1187" t="s">
        <v>45</v>
      </c>
      <c r="O1187" t="s">
        <v>45</v>
      </c>
      <c r="P1187" t="s">
        <v>45</v>
      </c>
      <c r="R1187" t="s">
        <v>5358</v>
      </c>
      <c r="T1187" t="s">
        <v>4563</v>
      </c>
      <c r="U1187" t="s">
        <v>5359</v>
      </c>
    </row>
    <row r="1188" spans="1:21" x14ac:dyDescent="0.25">
      <c r="A1188" t="s">
        <v>5360</v>
      </c>
      <c r="B1188" t="s">
        <v>22</v>
      </c>
      <c r="C1188" t="s">
        <v>5361</v>
      </c>
      <c r="D1188">
        <f t="shared" si="33"/>
        <v>-8006655851</v>
      </c>
      <c r="E1188" t="s">
        <v>4321</v>
      </c>
      <c r="F1188" t="s">
        <v>4114</v>
      </c>
      <c r="G1188" t="s">
        <v>4115</v>
      </c>
      <c r="H1188">
        <v>9.4949743558197497</v>
      </c>
      <c r="I1188">
        <v>51.314106638991802</v>
      </c>
      <c r="J1188">
        <v>110</v>
      </c>
      <c r="K1188" t="s">
        <v>45</v>
      </c>
      <c r="L1188" t="s">
        <v>45</v>
      </c>
      <c r="M1188" t="s">
        <v>45</v>
      </c>
      <c r="N1188" t="s">
        <v>45</v>
      </c>
      <c r="O1188" t="s">
        <v>45</v>
      </c>
      <c r="P1188" t="s">
        <v>45</v>
      </c>
      <c r="R1188" t="s">
        <v>5361</v>
      </c>
      <c r="T1188" t="s">
        <v>4152</v>
      </c>
      <c r="U1188" t="s">
        <v>5362</v>
      </c>
    </row>
    <row r="1189" spans="1:21" x14ac:dyDescent="0.25">
      <c r="A1189" t="s">
        <v>5363</v>
      </c>
      <c r="B1189" t="s">
        <v>38</v>
      </c>
      <c r="C1189" t="s">
        <v>5364</v>
      </c>
      <c r="D1189">
        <f t="shared" si="33"/>
        <v>-8006655851</v>
      </c>
      <c r="E1189" t="s">
        <v>5365</v>
      </c>
      <c r="F1189" t="s">
        <v>4114</v>
      </c>
      <c r="G1189" t="s">
        <v>4115</v>
      </c>
      <c r="H1189">
        <v>9.8355490000000003</v>
      </c>
      <c r="I1189">
        <v>48.623811000000003</v>
      </c>
      <c r="J1189">
        <v>110</v>
      </c>
      <c r="K1189" t="s">
        <v>45</v>
      </c>
      <c r="L1189" t="s">
        <v>45</v>
      </c>
      <c r="M1189" t="s">
        <v>45</v>
      </c>
      <c r="N1189" t="s">
        <v>45</v>
      </c>
      <c r="O1189" t="s">
        <v>45</v>
      </c>
      <c r="P1189" t="s">
        <v>45</v>
      </c>
      <c r="R1189" t="s">
        <v>5366</v>
      </c>
      <c r="T1189" t="s">
        <v>4146</v>
      </c>
      <c r="U1189" t="s">
        <v>5367</v>
      </c>
    </row>
    <row r="1190" spans="1:21" x14ac:dyDescent="0.25">
      <c r="A1190" t="s">
        <v>5368</v>
      </c>
      <c r="B1190" t="s">
        <v>38</v>
      </c>
      <c r="C1190" t="s">
        <v>5369</v>
      </c>
      <c r="D1190">
        <f t="shared" si="33"/>
        <v>-8006655851</v>
      </c>
      <c r="E1190" t="s">
        <v>5370</v>
      </c>
      <c r="F1190" t="s">
        <v>4114</v>
      </c>
      <c r="G1190" t="s">
        <v>4115</v>
      </c>
      <c r="H1190">
        <v>6.901484</v>
      </c>
      <c r="I1190">
        <v>50.825235999999997</v>
      </c>
      <c r="J1190">
        <v>100</v>
      </c>
      <c r="K1190" t="s">
        <v>192</v>
      </c>
      <c r="L1190" t="s">
        <v>192</v>
      </c>
      <c r="M1190" t="s">
        <v>192</v>
      </c>
      <c r="N1190" t="s">
        <v>192</v>
      </c>
      <c r="O1190" t="s">
        <v>192</v>
      </c>
      <c r="P1190" t="s">
        <v>192</v>
      </c>
      <c r="R1190" t="s">
        <v>5371</v>
      </c>
      <c r="T1190" t="s">
        <v>4117</v>
      </c>
      <c r="U1190" t="s">
        <v>5372</v>
      </c>
    </row>
    <row r="1191" spans="1:21" x14ac:dyDescent="0.25">
      <c r="A1191" t="s">
        <v>5373</v>
      </c>
      <c r="B1191" t="s">
        <v>38</v>
      </c>
      <c r="C1191" t="s">
        <v>5374</v>
      </c>
      <c r="D1191">
        <f t="shared" si="33"/>
        <v>-8006655851</v>
      </c>
      <c r="E1191" t="s">
        <v>4344</v>
      </c>
      <c r="F1191" t="s">
        <v>4114</v>
      </c>
      <c r="G1191" t="s">
        <v>4115</v>
      </c>
      <c r="H1191">
        <v>10.10425</v>
      </c>
      <c r="I1191">
        <v>53.539932</v>
      </c>
      <c r="J1191">
        <v>100</v>
      </c>
      <c r="K1191" t="s">
        <v>45</v>
      </c>
      <c r="L1191" t="s">
        <v>45</v>
      </c>
      <c r="M1191" t="s">
        <v>45</v>
      </c>
      <c r="N1191" t="s">
        <v>45</v>
      </c>
      <c r="O1191" t="s">
        <v>45</v>
      </c>
      <c r="P1191" t="s">
        <v>45</v>
      </c>
      <c r="R1191" t="s">
        <v>5375</v>
      </c>
      <c r="T1191" t="s">
        <v>4344</v>
      </c>
      <c r="U1191" t="s">
        <v>5376</v>
      </c>
    </row>
    <row r="1192" spans="1:21" x14ac:dyDescent="0.25">
      <c r="A1192" t="s">
        <v>5377</v>
      </c>
      <c r="B1192" t="s">
        <v>22</v>
      </c>
      <c r="C1192" t="s">
        <v>5378</v>
      </c>
      <c r="D1192">
        <f t="shared" si="33"/>
        <v>-8006655851</v>
      </c>
      <c r="E1192" t="s">
        <v>5021</v>
      </c>
      <c r="F1192" t="s">
        <v>4114</v>
      </c>
      <c r="G1192" t="s">
        <v>4115</v>
      </c>
      <c r="H1192">
        <v>8.2148800000000008</v>
      </c>
      <c r="I1192">
        <v>53.140284000000001</v>
      </c>
      <c r="J1192">
        <v>110</v>
      </c>
      <c r="K1192" t="s">
        <v>535</v>
      </c>
      <c r="L1192" t="s">
        <v>535</v>
      </c>
      <c r="M1192" t="s">
        <v>535</v>
      </c>
      <c r="N1192" t="s">
        <v>535</v>
      </c>
      <c r="O1192" t="s">
        <v>535</v>
      </c>
      <c r="P1192" t="s">
        <v>535</v>
      </c>
      <c r="R1192" t="s">
        <v>5378</v>
      </c>
      <c r="T1192" t="s">
        <v>4258</v>
      </c>
      <c r="U1192" t="s">
        <v>5379</v>
      </c>
    </row>
    <row r="1193" spans="1:21" x14ac:dyDescent="0.25">
      <c r="A1193" t="s">
        <v>5380</v>
      </c>
      <c r="B1193" t="s">
        <v>22</v>
      </c>
      <c r="C1193" t="s">
        <v>5381</v>
      </c>
      <c r="D1193">
        <f t="shared" si="33"/>
        <v>-8006655851</v>
      </c>
      <c r="E1193" t="s">
        <v>4266</v>
      </c>
      <c r="F1193" t="s">
        <v>4114</v>
      </c>
      <c r="G1193" t="s">
        <v>4115</v>
      </c>
      <c r="H1193">
        <v>13.3304500579834</v>
      </c>
      <c r="I1193">
        <v>52.503814218798702</v>
      </c>
      <c r="J1193">
        <v>100</v>
      </c>
      <c r="K1193" t="s">
        <v>45</v>
      </c>
      <c r="L1193" t="s">
        <v>45</v>
      </c>
      <c r="M1193" t="s">
        <v>45</v>
      </c>
      <c r="N1193" t="s">
        <v>45</v>
      </c>
      <c r="O1193" t="s">
        <v>45</v>
      </c>
      <c r="P1193" t="s">
        <v>45</v>
      </c>
      <c r="R1193" t="s">
        <v>5382</v>
      </c>
      <c r="T1193" t="s">
        <v>4278</v>
      </c>
      <c r="U1193" t="s">
        <v>5383</v>
      </c>
    </row>
    <row r="1194" spans="1:21" x14ac:dyDescent="0.25">
      <c r="A1194" t="s">
        <v>5384</v>
      </c>
      <c r="B1194" t="s">
        <v>22</v>
      </c>
      <c r="C1194" t="s">
        <v>5385</v>
      </c>
      <c r="D1194">
        <f t="shared" si="33"/>
        <v>-8006655851</v>
      </c>
      <c r="E1194" t="s">
        <v>5386</v>
      </c>
      <c r="F1194" t="s">
        <v>4114</v>
      </c>
      <c r="G1194" t="s">
        <v>4115</v>
      </c>
      <c r="H1194">
        <v>8.4712046384811401</v>
      </c>
      <c r="I1194">
        <v>49.485652927921798</v>
      </c>
      <c r="J1194">
        <v>100</v>
      </c>
      <c r="K1194" t="s">
        <v>45</v>
      </c>
      <c r="L1194" t="s">
        <v>45</v>
      </c>
      <c r="M1194" t="s">
        <v>45</v>
      </c>
      <c r="N1194" t="s">
        <v>45</v>
      </c>
      <c r="O1194" t="s">
        <v>45</v>
      </c>
      <c r="P1194" t="s">
        <v>45</v>
      </c>
      <c r="R1194" t="s">
        <v>5385</v>
      </c>
      <c r="T1194" t="s">
        <v>4146</v>
      </c>
      <c r="U1194" t="s">
        <v>5387</v>
      </c>
    </row>
    <row r="1195" spans="1:21" x14ac:dyDescent="0.25">
      <c r="A1195" t="s">
        <v>5388</v>
      </c>
      <c r="B1195" t="s">
        <v>22</v>
      </c>
      <c r="C1195" t="s">
        <v>5389</v>
      </c>
      <c r="D1195">
        <f t="shared" si="33"/>
        <v>-8006655851</v>
      </c>
      <c r="E1195" t="s">
        <v>5390</v>
      </c>
      <c r="F1195" t="s">
        <v>4114</v>
      </c>
      <c r="G1195" t="s">
        <v>4115</v>
      </c>
      <c r="H1195">
        <v>8.5311310000000002</v>
      </c>
      <c r="I1195">
        <v>52.025669000000001</v>
      </c>
      <c r="J1195">
        <v>100</v>
      </c>
      <c r="K1195" t="s">
        <v>45</v>
      </c>
      <c r="L1195" t="s">
        <v>45</v>
      </c>
      <c r="M1195" t="s">
        <v>45</v>
      </c>
      <c r="N1195" t="s">
        <v>45</v>
      </c>
      <c r="O1195" t="s">
        <v>45</v>
      </c>
      <c r="P1195" t="s">
        <v>45</v>
      </c>
      <c r="R1195" t="s">
        <v>5389</v>
      </c>
      <c r="T1195" t="s">
        <v>4117</v>
      </c>
      <c r="U1195" t="s">
        <v>5391</v>
      </c>
    </row>
    <row r="1196" spans="1:21" x14ac:dyDescent="0.25">
      <c r="A1196" t="s">
        <v>5392</v>
      </c>
      <c r="B1196" t="s">
        <v>22</v>
      </c>
      <c r="C1196" t="s">
        <v>5393</v>
      </c>
      <c r="D1196">
        <f t="shared" si="33"/>
        <v>-8006655851</v>
      </c>
      <c r="E1196" t="s">
        <v>4941</v>
      </c>
      <c r="F1196" t="s">
        <v>4114</v>
      </c>
      <c r="G1196" t="s">
        <v>4115</v>
      </c>
      <c r="H1196">
        <v>10.130665</v>
      </c>
      <c r="I1196">
        <v>54.316600999999999</v>
      </c>
      <c r="J1196">
        <v>100</v>
      </c>
      <c r="K1196" t="s">
        <v>45</v>
      </c>
      <c r="L1196" t="s">
        <v>45</v>
      </c>
      <c r="M1196" t="s">
        <v>45</v>
      </c>
      <c r="N1196" t="s">
        <v>45</v>
      </c>
      <c r="O1196" t="s">
        <v>45</v>
      </c>
      <c r="P1196" t="s">
        <v>45</v>
      </c>
      <c r="R1196" t="s">
        <v>5394</v>
      </c>
      <c r="T1196" t="s">
        <v>4413</v>
      </c>
      <c r="U1196" t="s">
        <v>5395</v>
      </c>
    </row>
    <row r="1197" spans="1:21" x14ac:dyDescent="0.25">
      <c r="A1197" t="s">
        <v>5396</v>
      </c>
      <c r="B1197" t="s">
        <v>22</v>
      </c>
      <c r="C1197" t="s">
        <v>5397</v>
      </c>
      <c r="D1197">
        <f t="shared" si="33"/>
        <v>-8006655851</v>
      </c>
      <c r="E1197" t="s">
        <v>4282</v>
      </c>
      <c r="F1197" t="s">
        <v>4114</v>
      </c>
      <c r="G1197" t="s">
        <v>4115</v>
      </c>
      <c r="H1197">
        <v>8.8039319999999996</v>
      </c>
      <c r="I1197">
        <v>53.078099999999999</v>
      </c>
      <c r="J1197">
        <v>110</v>
      </c>
      <c r="K1197" t="s">
        <v>535</v>
      </c>
      <c r="L1197" t="s">
        <v>535</v>
      </c>
      <c r="M1197" t="s">
        <v>535</v>
      </c>
      <c r="N1197" t="s">
        <v>535</v>
      </c>
      <c r="O1197" t="s">
        <v>535</v>
      </c>
      <c r="P1197" t="s">
        <v>535</v>
      </c>
      <c r="R1197" t="s">
        <v>5397</v>
      </c>
      <c r="T1197" t="s">
        <v>4282</v>
      </c>
      <c r="U1197" t="s">
        <v>5398</v>
      </c>
    </row>
    <row r="1198" spans="1:21" x14ac:dyDescent="0.25">
      <c r="A1198" t="s">
        <v>5399</v>
      </c>
      <c r="B1198" t="s">
        <v>22</v>
      </c>
      <c r="C1198" t="s">
        <v>5400</v>
      </c>
      <c r="D1198">
        <f t="shared" si="33"/>
        <v>-8006655851</v>
      </c>
      <c r="E1198" t="s">
        <v>4287</v>
      </c>
      <c r="F1198" t="s">
        <v>4114</v>
      </c>
      <c r="G1198" t="s">
        <v>4115</v>
      </c>
      <c r="H1198">
        <v>11.074664</v>
      </c>
      <c r="I1198">
        <v>49.449958000000002</v>
      </c>
      <c r="J1198">
        <v>110</v>
      </c>
      <c r="K1198" t="s">
        <v>45</v>
      </c>
      <c r="L1198" t="s">
        <v>45</v>
      </c>
      <c r="M1198" t="s">
        <v>45</v>
      </c>
      <c r="N1198" t="s">
        <v>45</v>
      </c>
      <c r="O1198" t="s">
        <v>45</v>
      </c>
      <c r="P1198" t="s">
        <v>45</v>
      </c>
      <c r="R1198" t="s">
        <v>5400</v>
      </c>
      <c r="T1198" t="s">
        <v>4123</v>
      </c>
      <c r="U1198" t="s">
        <v>5401</v>
      </c>
    </row>
    <row r="1199" spans="1:21" x14ac:dyDescent="0.25">
      <c r="A1199" t="s">
        <v>5402</v>
      </c>
      <c r="B1199" t="s">
        <v>22</v>
      </c>
      <c r="C1199" t="s">
        <v>5403</v>
      </c>
      <c r="D1199">
        <f t="shared" si="33"/>
        <v>-8006655851</v>
      </c>
      <c r="E1199" t="s">
        <v>4682</v>
      </c>
      <c r="F1199" t="s">
        <v>4114</v>
      </c>
      <c r="G1199" t="s">
        <v>4115</v>
      </c>
      <c r="H1199">
        <v>9.7384430000000002</v>
      </c>
      <c r="I1199">
        <v>52.374772999999998</v>
      </c>
      <c r="J1199">
        <v>110</v>
      </c>
      <c r="K1199" t="s">
        <v>45</v>
      </c>
      <c r="L1199" t="s">
        <v>45</v>
      </c>
      <c r="M1199" t="s">
        <v>45</v>
      </c>
      <c r="N1199" t="s">
        <v>45</v>
      </c>
      <c r="O1199" t="s">
        <v>45</v>
      </c>
      <c r="P1199" t="s">
        <v>45</v>
      </c>
      <c r="R1199" t="s">
        <v>5404</v>
      </c>
      <c r="T1199" t="s">
        <v>4258</v>
      </c>
      <c r="U1199" t="s">
        <v>5405</v>
      </c>
    </row>
    <row r="1200" spans="1:21" x14ac:dyDescent="0.25">
      <c r="A1200" t="s">
        <v>5406</v>
      </c>
      <c r="B1200" t="s">
        <v>22</v>
      </c>
      <c r="C1200" t="s">
        <v>5407</v>
      </c>
      <c r="D1200">
        <f t="shared" si="33"/>
        <v>-8006655851</v>
      </c>
      <c r="E1200" t="s">
        <v>4349</v>
      </c>
      <c r="F1200" t="s">
        <v>4114</v>
      </c>
      <c r="G1200" t="s">
        <v>4115</v>
      </c>
      <c r="H1200">
        <v>7.2166499999999996</v>
      </c>
      <c r="I1200">
        <v>51.482280000000003</v>
      </c>
      <c r="J1200">
        <v>100</v>
      </c>
      <c r="K1200" t="s">
        <v>45</v>
      </c>
      <c r="L1200" t="s">
        <v>45</v>
      </c>
      <c r="M1200" t="s">
        <v>45</v>
      </c>
      <c r="N1200" t="s">
        <v>45</v>
      </c>
      <c r="O1200" t="s">
        <v>45</v>
      </c>
      <c r="P1200" t="s">
        <v>45</v>
      </c>
      <c r="R1200" t="s">
        <v>5408</v>
      </c>
      <c r="T1200" t="s">
        <v>4117</v>
      </c>
      <c r="U1200" t="s">
        <v>5409</v>
      </c>
    </row>
    <row r="1201" spans="1:21" x14ac:dyDescent="0.25">
      <c r="A1201" t="s">
        <v>5410</v>
      </c>
      <c r="B1201" t="s">
        <v>22</v>
      </c>
      <c r="C1201" t="s">
        <v>5411</v>
      </c>
      <c r="D1201">
        <f t="shared" si="33"/>
        <v>-8006655851</v>
      </c>
      <c r="E1201" t="s">
        <v>5412</v>
      </c>
      <c r="F1201" t="s">
        <v>4114</v>
      </c>
      <c r="G1201" t="s">
        <v>4115</v>
      </c>
      <c r="H1201">
        <v>8.0482149124145508</v>
      </c>
      <c r="I1201">
        <v>52.272759683646001</v>
      </c>
      <c r="J1201">
        <v>110</v>
      </c>
      <c r="K1201" t="s">
        <v>535</v>
      </c>
      <c r="L1201" t="s">
        <v>535</v>
      </c>
      <c r="M1201" t="s">
        <v>535</v>
      </c>
      <c r="N1201" t="s">
        <v>535</v>
      </c>
      <c r="O1201" t="s">
        <v>535</v>
      </c>
      <c r="P1201" t="s">
        <v>535</v>
      </c>
      <c r="R1201" t="s">
        <v>5411</v>
      </c>
      <c r="T1201" t="s">
        <v>4258</v>
      </c>
      <c r="U1201" t="s">
        <v>5413</v>
      </c>
    </row>
    <row r="1202" spans="1:21" x14ac:dyDescent="0.25">
      <c r="A1202" t="s">
        <v>5414</v>
      </c>
      <c r="B1202" t="s">
        <v>22</v>
      </c>
      <c r="C1202" t="s">
        <v>5415</v>
      </c>
      <c r="D1202">
        <f t="shared" si="33"/>
        <v>-8006655851</v>
      </c>
      <c r="E1202" t="s">
        <v>5151</v>
      </c>
      <c r="F1202" t="s">
        <v>4114</v>
      </c>
      <c r="G1202" t="s">
        <v>4115</v>
      </c>
      <c r="H1202">
        <v>11.390501</v>
      </c>
      <c r="I1202">
        <v>48.773857999999997</v>
      </c>
      <c r="J1202">
        <v>110</v>
      </c>
      <c r="K1202" t="s">
        <v>185</v>
      </c>
      <c r="L1202" t="s">
        <v>185</v>
      </c>
      <c r="M1202" t="s">
        <v>185</v>
      </c>
      <c r="N1202" t="s">
        <v>185</v>
      </c>
      <c r="O1202" t="s">
        <v>185</v>
      </c>
      <c r="P1202" t="s">
        <v>185</v>
      </c>
      <c r="R1202" t="s">
        <v>5416</v>
      </c>
      <c r="T1202" t="s">
        <v>4123</v>
      </c>
      <c r="U1202" t="s">
        <v>5417</v>
      </c>
    </row>
    <row r="1203" spans="1:21" x14ac:dyDescent="0.25">
      <c r="A1203" t="s">
        <v>5418</v>
      </c>
      <c r="B1203" t="s">
        <v>22</v>
      </c>
      <c r="C1203" t="s">
        <v>5419</v>
      </c>
      <c r="D1203">
        <f t="shared" si="33"/>
        <v>-8006655851</v>
      </c>
      <c r="E1203" t="s">
        <v>4840</v>
      </c>
      <c r="F1203" t="s">
        <v>4114</v>
      </c>
      <c r="G1203" t="s">
        <v>4115</v>
      </c>
      <c r="H1203">
        <v>10.529223</v>
      </c>
      <c r="I1203">
        <v>52.263570000000001</v>
      </c>
      <c r="J1203">
        <v>100</v>
      </c>
      <c r="K1203" t="s">
        <v>45</v>
      </c>
      <c r="L1203" t="s">
        <v>45</v>
      </c>
      <c r="M1203" t="s">
        <v>45</v>
      </c>
      <c r="N1203" t="s">
        <v>45</v>
      </c>
      <c r="O1203" t="s">
        <v>45</v>
      </c>
      <c r="P1203" t="s">
        <v>45</v>
      </c>
      <c r="R1203" t="s">
        <v>5420</v>
      </c>
      <c r="T1203" t="s">
        <v>4258</v>
      </c>
      <c r="U1203" t="s">
        <v>5421</v>
      </c>
    </row>
    <row r="1204" spans="1:21" x14ac:dyDescent="0.25">
      <c r="A1204" t="s">
        <v>5422</v>
      </c>
      <c r="B1204" t="s">
        <v>22</v>
      </c>
      <c r="C1204" t="s">
        <v>5423</v>
      </c>
      <c r="D1204">
        <f t="shared" si="33"/>
        <v>-8006655851</v>
      </c>
      <c r="E1204" t="s">
        <v>5424</v>
      </c>
      <c r="F1204" t="s">
        <v>4114</v>
      </c>
      <c r="G1204" t="s">
        <v>4115</v>
      </c>
      <c r="H1204">
        <v>9.9867602159386006</v>
      </c>
      <c r="I1204">
        <v>53.684305902802798</v>
      </c>
      <c r="J1204">
        <v>100</v>
      </c>
      <c r="K1204" t="s">
        <v>45</v>
      </c>
      <c r="L1204" t="s">
        <v>45</v>
      </c>
      <c r="M1204" t="s">
        <v>45</v>
      </c>
      <c r="N1204" t="s">
        <v>45</v>
      </c>
      <c r="O1204" t="s">
        <v>45</v>
      </c>
      <c r="P1204" t="s">
        <v>45</v>
      </c>
      <c r="R1204" t="s">
        <v>5425</v>
      </c>
      <c r="T1204" t="s">
        <v>4344</v>
      </c>
      <c r="U1204" t="s">
        <v>5426</v>
      </c>
    </row>
    <row r="1205" spans="1:21" x14ac:dyDescent="0.25">
      <c r="A1205" t="s">
        <v>5427</v>
      </c>
      <c r="B1205" t="s">
        <v>38</v>
      </c>
      <c r="C1205" t="s">
        <v>5428</v>
      </c>
      <c r="D1205">
        <f t="shared" si="33"/>
        <v>-8006655851</v>
      </c>
      <c r="E1205" t="s">
        <v>4169</v>
      </c>
      <c r="F1205" t="s">
        <v>4114</v>
      </c>
      <c r="G1205" t="s">
        <v>4115</v>
      </c>
      <c r="H1205">
        <v>11.5724</v>
      </c>
      <c r="I1205">
        <v>48.138049000000002</v>
      </c>
      <c r="J1205">
        <v>110</v>
      </c>
      <c r="K1205" t="s">
        <v>45</v>
      </c>
      <c r="L1205" t="s">
        <v>45</v>
      </c>
      <c r="M1205" t="s">
        <v>45</v>
      </c>
      <c r="N1205" t="s">
        <v>45</v>
      </c>
      <c r="O1205" t="s">
        <v>45</v>
      </c>
      <c r="P1205" t="s">
        <v>45</v>
      </c>
      <c r="R1205" t="s">
        <v>5429</v>
      </c>
      <c r="T1205" t="s">
        <v>4123</v>
      </c>
      <c r="U1205" t="s">
        <v>5430</v>
      </c>
    </row>
    <row r="1206" spans="1:21" x14ac:dyDescent="0.25">
      <c r="A1206" t="s">
        <v>5431</v>
      </c>
      <c r="B1206" t="s">
        <v>22</v>
      </c>
      <c r="C1206" t="s">
        <v>5432</v>
      </c>
      <c r="D1206">
        <f t="shared" si="33"/>
        <v>-8006655851</v>
      </c>
      <c r="E1206" t="s">
        <v>4786</v>
      </c>
      <c r="F1206" t="s">
        <v>4114</v>
      </c>
      <c r="G1206" t="s">
        <v>4115</v>
      </c>
      <c r="H1206">
        <v>6.9507009999999996</v>
      </c>
      <c r="I1206">
        <v>50.936593000000002</v>
      </c>
      <c r="J1206">
        <v>100</v>
      </c>
      <c r="K1206" t="s">
        <v>45</v>
      </c>
      <c r="L1206" t="s">
        <v>45</v>
      </c>
      <c r="M1206" t="s">
        <v>45</v>
      </c>
      <c r="N1206" t="s">
        <v>45</v>
      </c>
      <c r="O1206" t="s">
        <v>45</v>
      </c>
      <c r="P1206" t="s">
        <v>45</v>
      </c>
      <c r="R1206" t="s">
        <v>5432</v>
      </c>
      <c r="T1206" t="s">
        <v>4117</v>
      </c>
      <c r="U1206" t="s">
        <v>5433</v>
      </c>
    </row>
    <row r="1207" spans="1:21" x14ac:dyDescent="0.25">
      <c r="A1207" t="s">
        <v>5434</v>
      </c>
      <c r="B1207" t="s">
        <v>22</v>
      </c>
      <c r="C1207" t="s">
        <v>5435</v>
      </c>
      <c r="D1207">
        <f t="shared" si="33"/>
        <v>-8006655851</v>
      </c>
      <c r="E1207" t="s">
        <v>5436</v>
      </c>
      <c r="F1207" t="s">
        <v>4114</v>
      </c>
      <c r="G1207" t="s">
        <v>4115</v>
      </c>
      <c r="H1207">
        <v>7.8133460000000001</v>
      </c>
      <c r="I1207">
        <v>51.682228000000002</v>
      </c>
      <c r="J1207">
        <v>100</v>
      </c>
      <c r="K1207" t="s">
        <v>45</v>
      </c>
      <c r="L1207" t="s">
        <v>45</v>
      </c>
      <c r="M1207" t="s">
        <v>45</v>
      </c>
      <c r="N1207" t="s">
        <v>45</v>
      </c>
      <c r="O1207" t="s">
        <v>45</v>
      </c>
      <c r="P1207" t="s">
        <v>185</v>
      </c>
      <c r="R1207" t="s">
        <v>5437</v>
      </c>
      <c r="T1207" t="s">
        <v>4117</v>
      </c>
      <c r="U1207" t="s">
        <v>5438</v>
      </c>
    </row>
    <row r="1208" spans="1:21" x14ac:dyDescent="0.25">
      <c r="A1208" t="s">
        <v>5439</v>
      </c>
      <c r="B1208" t="s">
        <v>22</v>
      </c>
      <c r="C1208" t="s">
        <v>5440</v>
      </c>
      <c r="D1208">
        <f t="shared" si="33"/>
        <v>-8006655851</v>
      </c>
      <c r="E1208" t="s">
        <v>4266</v>
      </c>
      <c r="F1208" t="s">
        <v>4114</v>
      </c>
      <c r="G1208" t="s">
        <v>4115</v>
      </c>
      <c r="H1208">
        <v>13.320843999999999</v>
      </c>
      <c r="I1208">
        <v>52.457673999999997</v>
      </c>
      <c r="J1208">
        <v>100</v>
      </c>
      <c r="K1208" t="s">
        <v>45</v>
      </c>
      <c r="L1208" t="s">
        <v>45</v>
      </c>
      <c r="M1208" t="s">
        <v>45</v>
      </c>
      <c r="N1208" t="s">
        <v>45</v>
      </c>
      <c r="O1208" t="s">
        <v>45</v>
      </c>
      <c r="P1208" t="s">
        <v>45</v>
      </c>
      <c r="R1208" t="s">
        <v>5441</v>
      </c>
      <c r="T1208" t="s">
        <v>4278</v>
      </c>
      <c r="U1208" t="s">
        <v>5442</v>
      </c>
    </row>
    <row r="1209" spans="1:21" x14ac:dyDescent="0.25">
      <c r="A1209" t="s">
        <v>5443</v>
      </c>
      <c r="B1209" t="s">
        <v>22</v>
      </c>
      <c r="C1209" t="s">
        <v>5444</v>
      </c>
      <c r="D1209">
        <f t="shared" si="33"/>
        <v>-8006655851</v>
      </c>
      <c r="E1209" t="s">
        <v>4169</v>
      </c>
      <c r="F1209" t="s">
        <v>4114</v>
      </c>
      <c r="G1209" t="s">
        <v>4115</v>
      </c>
      <c r="H1209">
        <v>11.532474000000001</v>
      </c>
      <c r="I1209">
        <v>48.183715999999997</v>
      </c>
      <c r="J1209">
        <v>110</v>
      </c>
      <c r="K1209" t="s">
        <v>185</v>
      </c>
      <c r="L1209" t="s">
        <v>185</v>
      </c>
      <c r="M1209" t="s">
        <v>185</v>
      </c>
      <c r="N1209" t="s">
        <v>185</v>
      </c>
      <c r="O1209" t="s">
        <v>185</v>
      </c>
      <c r="P1209" t="s">
        <v>185</v>
      </c>
      <c r="R1209" t="s">
        <v>4818</v>
      </c>
      <c r="T1209" t="s">
        <v>4123</v>
      </c>
      <c r="U1209" t="s">
        <v>4819</v>
      </c>
    </row>
    <row r="1210" spans="1:21" x14ac:dyDescent="0.25">
      <c r="A1210" t="s">
        <v>5445</v>
      </c>
      <c r="B1210" t="s">
        <v>38</v>
      </c>
      <c r="C1210" t="s">
        <v>5446</v>
      </c>
      <c r="D1210">
        <f t="shared" si="33"/>
        <v>-8006655851</v>
      </c>
      <c r="E1210" t="s">
        <v>5447</v>
      </c>
      <c r="F1210" t="s">
        <v>4114</v>
      </c>
      <c r="G1210" t="s">
        <v>4115</v>
      </c>
      <c r="H1210">
        <v>8.0381429999999998</v>
      </c>
      <c r="I1210">
        <v>52.844478000000002</v>
      </c>
      <c r="J1210">
        <v>110</v>
      </c>
      <c r="K1210" t="s">
        <v>535</v>
      </c>
      <c r="L1210" t="s">
        <v>535</v>
      </c>
      <c r="M1210" t="s">
        <v>535</v>
      </c>
      <c r="N1210" t="s">
        <v>535</v>
      </c>
      <c r="O1210" t="s">
        <v>535</v>
      </c>
      <c r="P1210" t="s">
        <v>428</v>
      </c>
      <c r="R1210" t="s">
        <v>5446</v>
      </c>
      <c r="T1210" t="s">
        <v>4258</v>
      </c>
      <c r="U1210" t="s">
        <v>5448</v>
      </c>
    </row>
    <row r="1211" spans="1:21" x14ac:dyDescent="0.25">
      <c r="A1211" t="s">
        <v>5449</v>
      </c>
      <c r="B1211" t="s">
        <v>22</v>
      </c>
      <c r="C1211" t="s">
        <v>5450</v>
      </c>
      <c r="D1211">
        <f t="shared" ref="D1211:D1242" si="34">49-8006655900</f>
        <v>-8006655851</v>
      </c>
      <c r="E1211" t="s">
        <v>4866</v>
      </c>
      <c r="F1211" t="s">
        <v>4114</v>
      </c>
      <c r="G1211" t="s">
        <v>4115</v>
      </c>
      <c r="H1211">
        <v>8.2382246405448996</v>
      </c>
      <c r="I1211">
        <v>50.079617433476997</v>
      </c>
      <c r="J1211">
        <v>100</v>
      </c>
      <c r="K1211" t="s">
        <v>45</v>
      </c>
      <c r="L1211" t="s">
        <v>45</v>
      </c>
      <c r="M1211" t="s">
        <v>45</v>
      </c>
      <c r="N1211" t="s">
        <v>45</v>
      </c>
      <c r="O1211" t="s">
        <v>45</v>
      </c>
      <c r="P1211" t="s">
        <v>45</v>
      </c>
      <c r="R1211" t="s">
        <v>5450</v>
      </c>
      <c r="T1211" t="s">
        <v>4152</v>
      </c>
      <c r="U1211" t="s">
        <v>5451</v>
      </c>
    </row>
    <row r="1212" spans="1:21" x14ac:dyDescent="0.25">
      <c r="A1212" t="s">
        <v>5452</v>
      </c>
      <c r="B1212" t="s">
        <v>22</v>
      </c>
      <c r="C1212" t="s">
        <v>5453</v>
      </c>
      <c r="D1212">
        <f t="shared" si="34"/>
        <v>-8006655851</v>
      </c>
      <c r="E1212" t="s">
        <v>5454</v>
      </c>
      <c r="F1212" t="s">
        <v>4114</v>
      </c>
      <c r="G1212" t="s">
        <v>4115</v>
      </c>
      <c r="H1212">
        <v>6.5621070000000001</v>
      </c>
      <c r="I1212">
        <v>51.332326000000002</v>
      </c>
      <c r="J1212">
        <v>100</v>
      </c>
      <c r="K1212" t="s">
        <v>45</v>
      </c>
      <c r="L1212" t="s">
        <v>45</v>
      </c>
      <c r="M1212" t="s">
        <v>45</v>
      </c>
      <c r="N1212" t="s">
        <v>45</v>
      </c>
      <c r="O1212" t="s">
        <v>45</v>
      </c>
      <c r="P1212" t="s">
        <v>45</v>
      </c>
      <c r="R1212" t="s">
        <v>5455</v>
      </c>
      <c r="T1212" t="s">
        <v>4117</v>
      </c>
      <c r="U1212" t="s">
        <v>5456</v>
      </c>
    </row>
    <row r="1213" spans="1:21" x14ac:dyDescent="0.25">
      <c r="A1213" t="s">
        <v>5457</v>
      </c>
      <c r="B1213" t="s">
        <v>22</v>
      </c>
      <c r="C1213" t="s">
        <v>5458</v>
      </c>
      <c r="D1213">
        <f t="shared" si="34"/>
        <v>-8006655851</v>
      </c>
      <c r="E1213" t="s">
        <v>4642</v>
      </c>
      <c r="F1213" t="s">
        <v>4114</v>
      </c>
      <c r="G1213" t="s">
        <v>4115</v>
      </c>
      <c r="H1213">
        <v>6.8861369999999997</v>
      </c>
      <c r="I1213">
        <v>51.429324999999999</v>
      </c>
      <c r="J1213">
        <v>100</v>
      </c>
      <c r="K1213" t="s">
        <v>45</v>
      </c>
      <c r="L1213" t="s">
        <v>45</v>
      </c>
      <c r="M1213" t="s">
        <v>45</v>
      </c>
      <c r="N1213" t="s">
        <v>45</v>
      </c>
      <c r="O1213" t="s">
        <v>45</v>
      </c>
      <c r="P1213" t="s">
        <v>745</v>
      </c>
      <c r="R1213" t="s">
        <v>5459</v>
      </c>
      <c r="T1213" t="s">
        <v>4117</v>
      </c>
      <c r="U1213" t="s">
        <v>5460</v>
      </c>
    </row>
    <row r="1214" spans="1:21" x14ac:dyDescent="0.25">
      <c r="A1214" t="s">
        <v>5461</v>
      </c>
      <c r="B1214" t="s">
        <v>22</v>
      </c>
      <c r="C1214" t="s">
        <v>5462</v>
      </c>
      <c r="D1214">
        <f t="shared" si="34"/>
        <v>-8006655851</v>
      </c>
      <c r="E1214" t="s">
        <v>4133</v>
      </c>
      <c r="F1214" t="s">
        <v>4114</v>
      </c>
      <c r="G1214" t="s">
        <v>4115</v>
      </c>
      <c r="H1214">
        <v>6.9932100000000004</v>
      </c>
      <c r="I1214">
        <v>49.235740999999997</v>
      </c>
      <c r="J1214">
        <v>100</v>
      </c>
      <c r="K1214" t="s">
        <v>45</v>
      </c>
      <c r="L1214" t="s">
        <v>45</v>
      </c>
      <c r="M1214" t="s">
        <v>45</v>
      </c>
      <c r="N1214" t="s">
        <v>45</v>
      </c>
      <c r="O1214" t="s">
        <v>45</v>
      </c>
      <c r="P1214" t="s">
        <v>45</v>
      </c>
      <c r="R1214" t="s">
        <v>5463</v>
      </c>
      <c r="T1214" t="s">
        <v>4135</v>
      </c>
      <c r="U1214" t="s">
        <v>5464</v>
      </c>
    </row>
    <row r="1215" spans="1:21" x14ac:dyDescent="0.25">
      <c r="A1215" t="s">
        <v>5465</v>
      </c>
      <c r="B1215" t="s">
        <v>22</v>
      </c>
      <c r="C1215" t="s">
        <v>5466</v>
      </c>
      <c r="D1215">
        <f t="shared" si="34"/>
        <v>-8006655851</v>
      </c>
      <c r="E1215" t="s">
        <v>4302</v>
      </c>
      <c r="F1215" t="s">
        <v>4114</v>
      </c>
      <c r="G1215" t="s">
        <v>4115</v>
      </c>
      <c r="H1215">
        <v>8.6823580000000007</v>
      </c>
      <c r="I1215">
        <v>50.114100000000001</v>
      </c>
      <c r="J1215">
        <v>100</v>
      </c>
      <c r="K1215" t="s">
        <v>45</v>
      </c>
      <c r="L1215" t="s">
        <v>45</v>
      </c>
      <c r="M1215" t="s">
        <v>45</v>
      </c>
      <c r="N1215" t="s">
        <v>45</v>
      </c>
      <c r="O1215" t="s">
        <v>45</v>
      </c>
      <c r="P1215" t="s">
        <v>45</v>
      </c>
      <c r="R1215" t="s">
        <v>5466</v>
      </c>
      <c r="T1215" t="s">
        <v>4152</v>
      </c>
      <c r="U1215" t="s">
        <v>5467</v>
      </c>
    </row>
    <row r="1216" spans="1:21" x14ac:dyDescent="0.25">
      <c r="A1216" t="s">
        <v>5468</v>
      </c>
      <c r="B1216" t="s">
        <v>38</v>
      </c>
      <c r="C1216" t="s">
        <v>5469</v>
      </c>
      <c r="D1216">
        <f t="shared" si="34"/>
        <v>-8006655851</v>
      </c>
      <c r="E1216" t="s">
        <v>5470</v>
      </c>
      <c r="F1216" t="s">
        <v>4114</v>
      </c>
      <c r="G1216" t="s">
        <v>4115</v>
      </c>
      <c r="H1216">
        <v>9.8370069999999998</v>
      </c>
      <c r="I1216">
        <v>53.602791000000003</v>
      </c>
      <c r="J1216">
        <v>110</v>
      </c>
      <c r="K1216" t="s">
        <v>745</v>
      </c>
      <c r="L1216" t="s">
        <v>745</v>
      </c>
      <c r="M1216" t="s">
        <v>745</v>
      </c>
      <c r="N1216" t="s">
        <v>745</v>
      </c>
      <c r="O1216" t="s">
        <v>745</v>
      </c>
      <c r="P1216" t="s">
        <v>745</v>
      </c>
      <c r="R1216" t="s">
        <v>5471</v>
      </c>
      <c r="T1216" t="s">
        <v>4344</v>
      </c>
      <c r="U1216" t="s">
        <v>5472</v>
      </c>
    </row>
    <row r="1217" spans="1:21" x14ac:dyDescent="0.25">
      <c r="A1217" t="s">
        <v>5473</v>
      </c>
      <c r="B1217" t="s">
        <v>22</v>
      </c>
      <c r="C1217" t="s">
        <v>5474</v>
      </c>
      <c r="D1217">
        <f t="shared" si="34"/>
        <v>-8006655851</v>
      </c>
      <c r="E1217" t="s">
        <v>4302</v>
      </c>
      <c r="F1217" t="s">
        <v>4114</v>
      </c>
      <c r="G1217" t="s">
        <v>4115</v>
      </c>
      <c r="H1217">
        <v>8.6335730000000002</v>
      </c>
      <c r="I1217">
        <v>50.157936999999997</v>
      </c>
      <c r="J1217">
        <v>100</v>
      </c>
      <c r="K1217" t="s">
        <v>45</v>
      </c>
      <c r="L1217" t="s">
        <v>45</v>
      </c>
      <c r="M1217" t="s">
        <v>45</v>
      </c>
      <c r="N1217" t="s">
        <v>45</v>
      </c>
      <c r="O1217" t="s">
        <v>45</v>
      </c>
      <c r="P1217" t="s">
        <v>45</v>
      </c>
      <c r="R1217" t="s">
        <v>5475</v>
      </c>
      <c r="T1217" t="s">
        <v>4152</v>
      </c>
      <c r="U1217" t="s">
        <v>5476</v>
      </c>
    </row>
    <row r="1218" spans="1:21" x14ac:dyDescent="0.25">
      <c r="A1218" t="s">
        <v>5477</v>
      </c>
      <c r="B1218" t="s">
        <v>22</v>
      </c>
      <c r="C1218" t="s">
        <v>5478</v>
      </c>
      <c r="D1218">
        <f t="shared" si="34"/>
        <v>-8006655851</v>
      </c>
      <c r="E1218" t="s">
        <v>5479</v>
      </c>
      <c r="F1218" t="s">
        <v>4114</v>
      </c>
      <c r="G1218" t="s">
        <v>4115</v>
      </c>
      <c r="H1218">
        <v>10.315443277359</v>
      </c>
      <c r="I1218">
        <v>47.725518867505897</v>
      </c>
      <c r="J1218">
        <v>100</v>
      </c>
      <c r="K1218" t="s">
        <v>535</v>
      </c>
      <c r="L1218" t="s">
        <v>535</v>
      </c>
      <c r="M1218" t="s">
        <v>535</v>
      </c>
      <c r="N1218" t="s">
        <v>535</v>
      </c>
      <c r="O1218" t="s">
        <v>535</v>
      </c>
      <c r="P1218" t="s">
        <v>535</v>
      </c>
      <c r="R1218" t="s">
        <v>5480</v>
      </c>
      <c r="T1218" t="s">
        <v>4123</v>
      </c>
      <c r="U1218" t="s">
        <v>5481</v>
      </c>
    </row>
    <row r="1219" spans="1:21" x14ac:dyDescent="0.25">
      <c r="A1219" t="s">
        <v>5482</v>
      </c>
      <c r="B1219" t="s">
        <v>38</v>
      </c>
      <c r="C1219" t="s">
        <v>5483</v>
      </c>
      <c r="D1219">
        <f t="shared" si="34"/>
        <v>-8006655851</v>
      </c>
      <c r="E1219" t="s">
        <v>5484</v>
      </c>
      <c r="F1219" t="s">
        <v>4114</v>
      </c>
      <c r="G1219" t="s">
        <v>4115</v>
      </c>
      <c r="H1219">
        <v>13.054676000000001</v>
      </c>
      <c r="I1219">
        <v>52.400193999999999</v>
      </c>
      <c r="J1219">
        <v>110</v>
      </c>
      <c r="K1219" t="s">
        <v>45</v>
      </c>
      <c r="L1219" t="s">
        <v>45</v>
      </c>
      <c r="M1219" t="s">
        <v>45</v>
      </c>
      <c r="N1219" t="s">
        <v>45</v>
      </c>
      <c r="O1219" t="s">
        <v>45</v>
      </c>
      <c r="P1219" t="s">
        <v>535</v>
      </c>
      <c r="R1219" t="s">
        <v>5483</v>
      </c>
      <c r="T1219" t="s">
        <v>4563</v>
      </c>
      <c r="U1219" t="s">
        <v>5485</v>
      </c>
    </row>
    <row r="1220" spans="1:21" x14ac:dyDescent="0.25">
      <c r="A1220" t="s">
        <v>5486</v>
      </c>
      <c r="B1220" t="s">
        <v>22</v>
      </c>
      <c r="C1220" t="s">
        <v>5487</v>
      </c>
      <c r="D1220">
        <f t="shared" si="34"/>
        <v>-8006655851</v>
      </c>
      <c r="E1220" t="s">
        <v>4344</v>
      </c>
      <c r="F1220" t="s">
        <v>4114</v>
      </c>
      <c r="G1220" t="s">
        <v>4115</v>
      </c>
      <c r="H1220">
        <v>9.9322628974914604</v>
      </c>
      <c r="I1220">
        <v>53.552444959755498</v>
      </c>
      <c r="J1220">
        <v>110</v>
      </c>
      <c r="K1220" t="s">
        <v>45</v>
      </c>
      <c r="L1220" t="s">
        <v>45</v>
      </c>
      <c r="M1220" t="s">
        <v>45</v>
      </c>
      <c r="N1220" t="s">
        <v>45</v>
      </c>
      <c r="O1220" t="s">
        <v>45</v>
      </c>
      <c r="P1220" t="s">
        <v>45</v>
      </c>
      <c r="R1220" t="s">
        <v>5488</v>
      </c>
      <c r="T1220" t="s">
        <v>4344</v>
      </c>
      <c r="U1220" t="s">
        <v>5489</v>
      </c>
    </row>
    <row r="1221" spans="1:21" x14ac:dyDescent="0.25">
      <c r="A1221" t="s">
        <v>5490</v>
      </c>
      <c r="B1221" t="s">
        <v>22</v>
      </c>
      <c r="C1221" t="s">
        <v>5491</v>
      </c>
      <c r="D1221">
        <f t="shared" si="34"/>
        <v>-8006655851</v>
      </c>
      <c r="E1221" t="s">
        <v>4769</v>
      </c>
      <c r="F1221" t="s">
        <v>4114</v>
      </c>
      <c r="G1221" t="s">
        <v>4115</v>
      </c>
      <c r="H1221">
        <v>7.0977790000000001</v>
      </c>
      <c r="I1221">
        <v>50.733471999999999</v>
      </c>
      <c r="J1221">
        <v>100</v>
      </c>
      <c r="K1221" t="s">
        <v>45</v>
      </c>
      <c r="L1221" t="s">
        <v>45</v>
      </c>
      <c r="M1221" t="s">
        <v>45</v>
      </c>
      <c r="N1221" t="s">
        <v>45</v>
      </c>
      <c r="O1221" t="s">
        <v>45</v>
      </c>
      <c r="P1221" t="s">
        <v>45</v>
      </c>
      <c r="R1221" t="s">
        <v>5491</v>
      </c>
      <c r="T1221" t="s">
        <v>4117</v>
      </c>
      <c r="U1221" t="s">
        <v>5492</v>
      </c>
    </row>
    <row r="1222" spans="1:21" x14ac:dyDescent="0.25">
      <c r="A1222" t="s">
        <v>5493</v>
      </c>
      <c r="B1222" t="s">
        <v>38</v>
      </c>
      <c r="C1222" t="s">
        <v>5494</v>
      </c>
      <c r="D1222">
        <f t="shared" si="34"/>
        <v>-8006655851</v>
      </c>
      <c r="E1222" t="s">
        <v>5495</v>
      </c>
      <c r="F1222" t="s">
        <v>4114</v>
      </c>
      <c r="G1222" t="s">
        <v>4115</v>
      </c>
      <c r="H1222">
        <v>7.0472840000000003</v>
      </c>
      <c r="I1222">
        <v>51.339391999999997</v>
      </c>
      <c r="J1222">
        <v>100</v>
      </c>
      <c r="K1222" t="s">
        <v>535</v>
      </c>
      <c r="L1222" t="s">
        <v>535</v>
      </c>
      <c r="M1222" t="s">
        <v>535</v>
      </c>
      <c r="N1222" t="s">
        <v>535</v>
      </c>
      <c r="O1222" t="s">
        <v>535</v>
      </c>
      <c r="P1222" t="s">
        <v>622</v>
      </c>
      <c r="R1222" t="s">
        <v>5494</v>
      </c>
      <c r="T1222" t="s">
        <v>4117</v>
      </c>
      <c r="U1222" t="s">
        <v>5496</v>
      </c>
    </row>
    <row r="1223" spans="1:21" x14ac:dyDescent="0.25">
      <c r="A1223" t="s">
        <v>5497</v>
      </c>
      <c r="B1223" t="s">
        <v>22</v>
      </c>
      <c r="C1223" t="s">
        <v>5498</v>
      </c>
      <c r="D1223">
        <f t="shared" si="34"/>
        <v>-8006655851</v>
      </c>
      <c r="E1223" t="s">
        <v>5499</v>
      </c>
      <c r="F1223" t="s">
        <v>4114</v>
      </c>
      <c r="G1223" t="s">
        <v>4115</v>
      </c>
      <c r="H1223">
        <v>8.7487580000000005</v>
      </c>
      <c r="I1223">
        <v>51.716076000000001</v>
      </c>
      <c r="J1223">
        <v>100</v>
      </c>
      <c r="K1223" t="s">
        <v>535</v>
      </c>
      <c r="L1223" t="s">
        <v>535</v>
      </c>
      <c r="M1223" t="s">
        <v>535</v>
      </c>
      <c r="N1223" t="s">
        <v>535</v>
      </c>
      <c r="O1223" t="s">
        <v>535</v>
      </c>
      <c r="P1223" t="s">
        <v>535</v>
      </c>
      <c r="R1223" t="s">
        <v>5498</v>
      </c>
      <c r="T1223" t="s">
        <v>4117</v>
      </c>
      <c r="U1223" t="s">
        <v>5500</v>
      </c>
    </row>
    <row r="1224" spans="1:21" x14ac:dyDescent="0.25">
      <c r="A1224" t="s">
        <v>5501</v>
      </c>
      <c r="B1224" t="s">
        <v>38</v>
      </c>
      <c r="C1224" t="s">
        <v>5502</v>
      </c>
      <c r="D1224">
        <f t="shared" si="34"/>
        <v>-8006655851</v>
      </c>
      <c r="E1224" t="s">
        <v>5503</v>
      </c>
      <c r="F1224" t="s">
        <v>4114</v>
      </c>
      <c r="G1224" t="s">
        <v>4115</v>
      </c>
      <c r="H1224">
        <v>12.245100000000001</v>
      </c>
      <c r="I1224">
        <v>51.834031000000003</v>
      </c>
      <c r="J1224">
        <v>110</v>
      </c>
      <c r="K1224" t="s">
        <v>185</v>
      </c>
      <c r="L1224" t="s">
        <v>185</v>
      </c>
      <c r="M1224" t="s">
        <v>185</v>
      </c>
      <c r="N1224" t="s">
        <v>185</v>
      </c>
      <c r="O1224" t="s">
        <v>185</v>
      </c>
      <c r="P1224" t="s">
        <v>185</v>
      </c>
      <c r="R1224" t="s">
        <v>5504</v>
      </c>
      <c r="T1224" t="s">
        <v>4207</v>
      </c>
      <c r="U1224" t="s">
        <v>5505</v>
      </c>
    </row>
    <row r="1225" spans="1:21" x14ac:dyDescent="0.25">
      <c r="A1225" t="s">
        <v>5506</v>
      </c>
      <c r="B1225" t="s">
        <v>22</v>
      </c>
      <c r="C1225" t="s">
        <v>5507</v>
      </c>
      <c r="D1225">
        <f t="shared" si="34"/>
        <v>-8006655851</v>
      </c>
      <c r="E1225" t="s">
        <v>4326</v>
      </c>
      <c r="F1225" t="s">
        <v>4114</v>
      </c>
      <c r="G1225" t="s">
        <v>4115</v>
      </c>
      <c r="H1225">
        <v>13.736708</v>
      </c>
      <c r="I1225">
        <v>51.046005999999998</v>
      </c>
      <c r="J1225">
        <v>100</v>
      </c>
      <c r="K1225" t="s">
        <v>45</v>
      </c>
      <c r="L1225" t="s">
        <v>45</v>
      </c>
      <c r="M1225" t="s">
        <v>45</v>
      </c>
      <c r="N1225" t="s">
        <v>45</v>
      </c>
      <c r="O1225" t="s">
        <v>45</v>
      </c>
      <c r="P1225" t="s">
        <v>45</v>
      </c>
      <c r="R1225" t="s">
        <v>5508</v>
      </c>
      <c r="T1225" t="s">
        <v>4248</v>
      </c>
      <c r="U1225" t="s">
        <v>5509</v>
      </c>
    </row>
    <row r="1226" spans="1:21" x14ac:dyDescent="0.25">
      <c r="A1226" t="s">
        <v>5510</v>
      </c>
      <c r="B1226" t="s">
        <v>22</v>
      </c>
      <c r="C1226" t="s">
        <v>5511</v>
      </c>
      <c r="D1226">
        <f t="shared" si="34"/>
        <v>-8006655851</v>
      </c>
      <c r="E1226" t="s">
        <v>5512</v>
      </c>
      <c r="F1226" t="s">
        <v>4114</v>
      </c>
      <c r="G1226" t="s">
        <v>4115</v>
      </c>
      <c r="H1226">
        <v>11.974508</v>
      </c>
      <c r="I1226">
        <v>51.480890000000002</v>
      </c>
      <c r="J1226">
        <v>100</v>
      </c>
      <c r="K1226" t="s">
        <v>759</v>
      </c>
      <c r="L1226" t="s">
        <v>759</v>
      </c>
      <c r="M1226" t="s">
        <v>759</v>
      </c>
      <c r="N1226" t="s">
        <v>759</v>
      </c>
      <c r="O1226" t="s">
        <v>759</v>
      </c>
      <c r="P1226" t="s">
        <v>759</v>
      </c>
      <c r="R1226" t="s">
        <v>5513</v>
      </c>
      <c r="T1226" t="s">
        <v>4207</v>
      </c>
      <c r="U1226" t="s">
        <v>5514</v>
      </c>
    </row>
    <row r="1227" spans="1:21" x14ac:dyDescent="0.25">
      <c r="A1227" t="s">
        <v>5515</v>
      </c>
      <c r="B1227" t="s">
        <v>22</v>
      </c>
      <c r="C1227" t="s">
        <v>5516</v>
      </c>
      <c r="D1227">
        <f t="shared" si="34"/>
        <v>-8006655851</v>
      </c>
      <c r="E1227" t="s">
        <v>5517</v>
      </c>
      <c r="F1227" t="s">
        <v>4114</v>
      </c>
      <c r="G1227" t="s">
        <v>4115</v>
      </c>
      <c r="H1227">
        <v>8.2744920000000004</v>
      </c>
      <c r="I1227">
        <v>50.000535999999997</v>
      </c>
      <c r="J1227">
        <v>100</v>
      </c>
      <c r="K1227" t="s">
        <v>45</v>
      </c>
      <c r="L1227" t="s">
        <v>45</v>
      </c>
      <c r="M1227" t="s">
        <v>45</v>
      </c>
      <c r="N1227" t="s">
        <v>45</v>
      </c>
      <c r="O1227" t="s">
        <v>45</v>
      </c>
      <c r="P1227" t="s">
        <v>45</v>
      </c>
      <c r="R1227" t="s">
        <v>5518</v>
      </c>
      <c r="T1227" t="s">
        <v>4129</v>
      </c>
      <c r="U1227" t="s">
        <v>5519</v>
      </c>
    </row>
    <row r="1228" spans="1:21" x14ac:dyDescent="0.25">
      <c r="A1228" t="s">
        <v>5520</v>
      </c>
      <c r="B1228" t="s">
        <v>22</v>
      </c>
      <c r="C1228" t="s">
        <v>5521</v>
      </c>
      <c r="D1228">
        <f t="shared" si="34"/>
        <v>-8006655851</v>
      </c>
      <c r="E1228" t="s">
        <v>5522</v>
      </c>
      <c r="F1228" t="s">
        <v>4114</v>
      </c>
      <c r="G1228" t="s">
        <v>4115</v>
      </c>
      <c r="H1228">
        <v>9.2103946208953893</v>
      </c>
      <c r="I1228">
        <v>48.493523271798601</v>
      </c>
      <c r="J1228">
        <v>100</v>
      </c>
      <c r="K1228" t="s">
        <v>45</v>
      </c>
      <c r="L1228" t="s">
        <v>45</v>
      </c>
      <c r="M1228" t="s">
        <v>45</v>
      </c>
      <c r="N1228" t="s">
        <v>45</v>
      </c>
      <c r="O1228" t="s">
        <v>45</v>
      </c>
      <c r="P1228" t="s">
        <v>184</v>
      </c>
      <c r="R1228" t="s">
        <v>5523</v>
      </c>
      <c r="T1228" t="s">
        <v>4146</v>
      </c>
      <c r="U1228" t="s">
        <v>5524</v>
      </c>
    </row>
    <row r="1229" spans="1:21" x14ac:dyDescent="0.25">
      <c r="A1229" t="s">
        <v>5525</v>
      </c>
      <c r="B1229" t="s">
        <v>22</v>
      </c>
      <c r="C1229" t="s">
        <v>5526</v>
      </c>
      <c r="D1229">
        <f t="shared" si="34"/>
        <v>-8006655851</v>
      </c>
      <c r="E1229" t="s">
        <v>4282</v>
      </c>
      <c r="F1229" t="s">
        <v>4114</v>
      </c>
      <c r="G1229" t="s">
        <v>4115</v>
      </c>
      <c r="H1229">
        <v>8.95716</v>
      </c>
      <c r="I1229">
        <v>53.050179999999997</v>
      </c>
      <c r="J1229">
        <v>110</v>
      </c>
      <c r="K1229" t="s">
        <v>45</v>
      </c>
      <c r="L1229" t="s">
        <v>45</v>
      </c>
      <c r="M1229" t="s">
        <v>45</v>
      </c>
      <c r="N1229" t="s">
        <v>45</v>
      </c>
      <c r="O1229" t="s">
        <v>45</v>
      </c>
      <c r="P1229" t="s">
        <v>45</v>
      </c>
      <c r="R1229" t="s">
        <v>5527</v>
      </c>
      <c r="T1229" t="s">
        <v>4282</v>
      </c>
      <c r="U1229" t="s">
        <v>5528</v>
      </c>
    </row>
    <row r="1230" spans="1:21" x14ac:dyDescent="0.25">
      <c r="A1230" t="s">
        <v>5529</v>
      </c>
      <c r="B1230" t="s">
        <v>22</v>
      </c>
      <c r="C1230" t="s">
        <v>5530</v>
      </c>
      <c r="D1230">
        <f t="shared" si="34"/>
        <v>-8006655851</v>
      </c>
      <c r="E1230" t="s">
        <v>4417</v>
      </c>
      <c r="F1230" t="s">
        <v>4114</v>
      </c>
      <c r="G1230" t="s">
        <v>4115</v>
      </c>
      <c r="H1230">
        <v>9.1797780000000007</v>
      </c>
      <c r="I1230">
        <v>48.780501000000001</v>
      </c>
      <c r="J1230">
        <v>110</v>
      </c>
      <c r="K1230" t="s">
        <v>45</v>
      </c>
      <c r="L1230" t="s">
        <v>45</v>
      </c>
      <c r="M1230" t="s">
        <v>45</v>
      </c>
      <c r="N1230" t="s">
        <v>45</v>
      </c>
      <c r="O1230" t="s">
        <v>45</v>
      </c>
      <c r="P1230" t="s">
        <v>45</v>
      </c>
      <c r="R1230" t="s">
        <v>5531</v>
      </c>
      <c r="T1230" t="s">
        <v>4146</v>
      </c>
      <c r="U1230" t="s">
        <v>5532</v>
      </c>
    </row>
    <row r="1231" spans="1:21" x14ac:dyDescent="0.25">
      <c r="A1231" t="s">
        <v>5533</v>
      </c>
      <c r="B1231" t="s">
        <v>22</v>
      </c>
      <c r="C1231" t="s">
        <v>5534</v>
      </c>
      <c r="D1231">
        <f t="shared" si="34"/>
        <v>-8006655851</v>
      </c>
      <c r="E1231" t="s">
        <v>5535</v>
      </c>
      <c r="F1231" t="s">
        <v>4114</v>
      </c>
      <c r="G1231" t="s">
        <v>4115</v>
      </c>
      <c r="H1231">
        <v>8.020645</v>
      </c>
      <c r="I1231">
        <v>50.874459999999999</v>
      </c>
      <c r="J1231">
        <v>100</v>
      </c>
      <c r="K1231" t="s">
        <v>535</v>
      </c>
      <c r="L1231" t="s">
        <v>535</v>
      </c>
      <c r="M1231" t="s">
        <v>535</v>
      </c>
      <c r="N1231" t="s">
        <v>535</v>
      </c>
      <c r="O1231" t="s">
        <v>535</v>
      </c>
      <c r="P1231" t="s">
        <v>535</v>
      </c>
      <c r="R1231" t="s">
        <v>5536</v>
      </c>
      <c r="T1231" t="s">
        <v>4117</v>
      </c>
      <c r="U1231" t="s">
        <v>5537</v>
      </c>
    </row>
    <row r="1232" spans="1:21" x14ac:dyDescent="0.25">
      <c r="A1232" t="s">
        <v>5538</v>
      </c>
      <c r="B1232" t="s">
        <v>22</v>
      </c>
      <c r="C1232" t="s">
        <v>5539</v>
      </c>
      <c r="D1232">
        <f t="shared" si="34"/>
        <v>-8006655851</v>
      </c>
      <c r="E1232" t="s">
        <v>5540</v>
      </c>
      <c r="F1232" t="s">
        <v>4114</v>
      </c>
      <c r="G1232" t="s">
        <v>4115</v>
      </c>
      <c r="H1232">
        <v>9.4348847866058403</v>
      </c>
      <c r="I1232">
        <v>54.784781793675499</v>
      </c>
      <c r="J1232">
        <v>110</v>
      </c>
      <c r="K1232" t="s">
        <v>728</v>
      </c>
      <c r="L1232" t="s">
        <v>728</v>
      </c>
      <c r="M1232" t="s">
        <v>728</v>
      </c>
      <c r="N1232" t="s">
        <v>728</v>
      </c>
      <c r="O1232" t="s">
        <v>728</v>
      </c>
      <c r="P1232" t="s">
        <v>428</v>
      </c>
      <c r="R1232" t="s">
        <v>5541</v>
      </c>
      <c r="T1232" t="s">
        <v>4413</v>
      </c>
      <c r="U1232" t="s">
        <v>5542</v>
      </c>
    </row>
    <row r="1233" spans="1:21" x14ac:dyDescent="0.25">
      <c r="A1233" t="s">
        <v>5543</v>
      </c>
      <c r="B1233" t="s">
        <v>22</v>
      </c>
      <c r="C1233" t="s">
        <v>5544</v>
      </c>
      <c r="D1233">
        <f t="shared" si="34"/>
        <v>-8006655851</v>
      </c>
      <c r="E1233" t="s">
        <v>4459</v>
      </c>
      <c r="F1233" t="s">
        <v>4114</v>
      </c>
      <c r="G1233" t="s">
        <v>4115</v>
      </c>
      <c r="H1233">
        <v>7.8504931926727304</v>
      </c>
      <c r="I1233">
        <v>47.995622586077097</v>
      </c>
      <c r="J1233">
        <v>100</v>
      </c>
      <c r="K1233" t="s">
        <v>45</v>
      </c>
      <c r="L1233" t="s">
        <v>45</v>
      </c>
      <c r="M1233" t="s">
        <v>45</v>
      </c>
      <c r="N1233" t="s">
        <v>45</v>
      </c>
      <c r="O1233" t="s">
        <v>45</v>
      </c>
      <c r="P1233" t="s">
        <v>45</v>
      </c>
      <c r="R1233" t="s">
        <v>5545</v>
      </c>
      <c r="T1233" t="s">
        <v>4146</v>
      </c>
      <c r="U1233" t="s">
        <v>5546</v>
      </c>
    </row>
    <row r="1234" spans="1:21" x14ac:dyDescent="0.25">
      <c r="A1234" t="s">
        <v>5547</v>
      </c>
      <c r="B1234" t="s">
        <v>38</v>
      </c>
      <c r="C1234" t="s">
        <v>5548</v>
      </c>
      <c r="D1234">
        <f t="shared" si="34"/>
        <v>-8006655851</v>
      </c>
      <c r="E1234" t="s">
        <v>5549</v>
      </c>
      <c r="F1234" t="s">
        <v>4114</v>
      </c>
      <c r="G1234" t="s">
        <v>4115</v>
      </c>
      <c r="H1234">
        <v>6.874568</v>
      </c>
      <c r="I1234">
        <v>50.879801999999998</v>
      </c>
      <c r="J1234">
        <v>100</v>
      </c>
      <c r="K1234" t="s">
        <v>185</v>
      </c>
      <c r="L1234" t="s">
        <v>185</v>
      </c>
      <c r="M1234" t="s">
        <v>185</v>
      </c>
      <c r="N1234" t="s">
        <v>185</v>
      </c>
      <c r="O1234" t="s">
        <v>185</v>
      </c>
      <c r="P1234" t="s">
        <v>185</v>
      </c>
      <c r="R1234" t="s">
        <v>5550</v>
      </c>
      <c r="T1234" t="s">
        <v>4117</v>
      </c>
      <c r="U1234" t="s">
        <v>5551</v>
      </c>
    </row>
    <row r="1235" spans="1:21" x14ac:dyDescent="0.25">
      <c r="A1235" t="s">
        <v>5552</v>
      </c>
      <c r="B1235" t="s">
        <v>22</v>
      </c>
      <c r="C1235" t="s">
        <v>4636</v>
      </c>
      <c r="D1235">
        <f t="shared" si="34"/>
        <v>-8006655851</v>
      </c>
      <c r="E1235" t="s">
        <v>5484</v>
      </c>
      <c r="F1235" t="s">
        <v>4114</v>
      </c>
      <c r="G1235" t="s">
        <v>4115</v>
      </c>
      <c r="H1235">
        <v>13.134774999999999</v>
      </c>
      <c r="I1235">
        <v>52.370800000000003</v>
      </c>
      <c r="J1235">
        <v>100</v>
      </c>
      <c r="K1235" t="s">
        <v>45</v>
      </c>
      <c r="L1235" t="s">
        <v>45</v>
      </c>
      <c r="M1235" t="s">
        <v>45</v>
      </c>
      <c r="N1235" t="s">
        <v>45</v>
      </c>
      <c r="O1235" t="s">
        <v>45</v>
      </c>
      <c r="P1235" t="s">
        <v>45</v>
      </c>
      <c r="R1235" t="s">
        <v>5553</v>
      </c>
      <c r="T1235" t="s">
        <v>4563</v>
      </c>
      <c r="U1235" t="s">
        <v>5554</v>
      </c>
    </row>
    <row r="1236" spans="1:21" x14ac:dyDescent="0.25">
      <c r="A1236" t="s">
        <v>5555</v>
      </c>
      <c r="B1236" t="s">
        <v>22</v>
      </c>
      <c r="C1236" t="s">
        <v>5556</v>
      </c>
      <c r="D1236">
        <f t="shared" si="34"/>
        <v>-8006655851</v>
      </c>
      <c r="E1236" t="s">
        <v>5557</v>
      </c>
      <c r="F1236" t="s">
        <v>4114</v>
      </c>
      <c r="G1236" t="s">
        <v>4115</v>
      </c>
      <c r="H1236">
        <v>7.439324</v>
      </c>
      <c r="I1236">
        <v>52.278143999999998</v>
      </c>
      <c r="J1236">
        <v>100</v>
      </c>
      <c r="K1236" t="s">
        <v>535</v>
      </c>
      <c r="L1236" t="s">
        <v>535</v>
      </c>
      <c r="M1236" t="s">
        <v>535</v>
      </c>
      <c r="N1236" t="s">
        <v>535</v>
      </c>
      <c r="O1236" t="s">
        <v>535</v>
      </c>
      <c r="P1236" t="s">
        <v>535</v>
      </c>
      <c r="R1236" t="s">
        <v>5558</v>
      </c>
      <c r="T1236" t="s">
        <v>4117</v>
      </c>
      <c r="U1236" t="s">
        <v>5559</v>
      </c>
    </row>
    <row r="1237" spans="1:21" x14ac:dyDescent="0.25">
      <c r="A1237" t="s">
        <v>5560</v>
      </c>
      <c r="B1237" t="s">
        <v>22</v>
      </c>
      <c r="C1237" t="s">
        <v>5561</v>
      </c>
      <c r="D1237">
        <f t="shared" si="34"/>
        <v>-8006655851</v>
      </c>
      <c r="E1237" t="s">
        <v>5562</v>
      </c>
      <c r="F1237" t="s">
        <v>4114</v>
      </c>
      <c r="G1237" t="s">
        <v>4115</v>
      </c>
      <c r="H1237">
        <v>8.6941493166370893</v>
      </c>
      <c r="I1237">
        <v>49.409930967915798</v>
      </c>
      <c r="J1237">
        <v>100</v>
      </c>
      <c r="K1237" t="s">
        <v>45</v>
      </c>
      <c r="L1237" t="s">
        <v>45</v>
      </c>
      <c r="M1237" t="s">
        <v>45</v>
      </c>
      <c r="N1237" t="s">
        <v>45</v>
      </c>
      <c r="O1237" t="s">
        <v>45</v>
      </c>
      <c r="P1237" t="s">
        <v>45</v>
      </c>
      <c r="R1237" t="s">
        <v>5563</v>
      </c>
      <c r="T1237" t="s">
        <v>4146</v>
      </c>
      <c r="U1237" t="s">
        <v>5564</v>
      </c>
    </row>
    <row r="1238" spans="1:21" x14ac:dyDescent="0.25">
      <c r="A1238" t="s">
        <v>5565</v>
      </c>
      <c r="B1238" t="s">
        <v>22</v>
      </c>
      <c r="C1238" t="s">
        <v>5566</v>
      </c>
      <c r="D1238">
        <f t="shared" si="34"/>
        <v>-8006655851</v>
      </c>
      <c r="E1238" t="s">
        <v>4211</v>
      </c>
      <c r="F1238" t="s">
        <v>4114</v>
      </c>
      <c r="G1238" t="s">
        <v>4115</v>
      </c>
      <c r="H1238">
        <v>7.465071</v>
      </c>
      <c r="I1238">
        <v>51.514394000000003</v>
      </c>
      <c r="J1238">
        <v>100</v>
      </c>
      <c r="K1238" t="s">
        <v>45</v>
      </c>
      <c r="L1238" t="s">
        <v>45</v>
      </c>
      <c r="M1238" t="s">
        <v>45</v>
      </c>
      <c r="N1238" t="s">
        <v>45</v>
      </c>
      <c r="O1238" t="s">
        <v>45</v>
      </c>
      <c r="P1238" t="s">
        <v>45</v>
      </c>
      <c r="R1238" t="s">
        <v>5566</v>
      </c>
      <c r="T1238" t="s">
        <v>4117</v>
      </c>
      <c r="U1238" t="s">
        <v>5567</v>
      </c>
    </row>
    <row r="1239" spans="1:21" x14ac:dyDescent="0.25">
      <c r="A1239" t="s">
        <v>5568</v>
      </c>
      <c r="B1239" t="s">
        <v>22</v>
      </c>
      <c r="C1239" t="s">
        <v>5569</v>
      </c>
      <c r="D1239">
        <f t="shared" si="34"/>
        <v>-8006655851</v>
      </c>
      <c r="E1239" t="s">
        <v>5570</v>
      </c>
      <c r="F1239" t="s">
        <v>4114</v>
      </c>
      <c r="G1239" t="s">
        <v>4115</v>
      </c>
      <c r="H1239">
        <v>14.984418</v>
      </c>
      <c r="I1239">
        <v>51.150588999999997</v>
      </c>
      <c r="J1239">
        <v>110</v>
      </c>
      <c r="K1239" t="s">
        <v>184</v>
      </c>
      <c r="L1239" t="s">
        <v>184</v>
      </c>
      <c r="M1239" t="s">
        <v>184</v>
      </c>
      <c r="N1239" t="s">
        <v>184</v>
      </c>
      <c r="O1239" t="s">
        <v>184</v>
      </c>
      <c r="P1239" t="s">
        <v>4502</v>
      </c>
      <c r="R1239" t="s">
        <v>5571</v>
      </c>
      <c r="T1239" t="s">
        <v>4248</v>
      </c>
      <c r="U1239" t="s">
        <v>5572</v>
      </c>
    </row>
    <row r="1240" spans="1:21" x14ac:dyDescent="0.25">
      <c r="A1240" t="s">
        <v>5573</v>
      </c>
      <c r="B1240" t="s">
        <v>22</v>
      </c>
      <c r="C1240" t="s">
        <v>5574</v>
      </c>
      <c r="D1240">
        <f t="shared" si="34"/>
        <v>-8006655851</v>
      </c>
      <c r="E1240" t="s">
        <v>4266</v>
      </c>
      <c r="F1240" t="s">
        <v>4114</v>
      </c>
      <c r="G1240" t="s">
        <v>4115</v>
      </c>
      <c r="H1240">
        <v>13.334669</v>
      </c>
      <c r="I1240">
        <v>52.504249000000002</v>
      </c>
      <c r="J1240">
        <v>100</v>
      </c>
      <c r="K1240" t="s">
        <v>45</v>
      </c>
      <c r="L1240" t="s">
        <v>45</v>
      </c>
      <c r="M1240" t="s">
        <v>45</v>
      </c>
      <c r="N1240" t="s">
        <v>45</v>
      </c>
      <c r="O1240" t="s">
        <v>536</v>
      </c>
      <c r="P1240" t="s">
        <v>536</v>
      </c>
      <c r="R1240" t="s">
        <v>5574</v>
      </c>
      <c r="T1240" t="s">
        <v>4278</v>
      </c>
      <c r="U1240" t="s">
        <v>5575</v>
      </c>
    </row>
    <row r="1241" spans="1:21" x14ac:dyDescent="0.25">
      <c r="A1241" t="s">
        <v>5576</v>
      </c>
      <c r="B1241" t="s">
        <v>22</v>
      </c>
      <c r="C1241" t="s">
        <v>5577</v>
      </c>
      <c r="D1241">
        <f t="shared" si="34"/>
        <v>-8006655851</v>
      </c>
      <c r="E1241" t="s">
        <v>5271</v>
      </c>
      <c r="F1241" t="s">
        <v>4114</v>
      </c>
      <c r="G1241" t="s">
        <v>4115</v>
      </c>
      <c r="H1241">
        <v>8.4017689999999998</v>
      </c>
      <c r="I1241">
        <v>49.010227</v>
      </c>
      <c r="J1241">
        <v>100</v>
      </c>
      <c r="K1241" t="s">
        <v>45</v>
      </c>
      <c r="L1241" t="s">
        <v>45</v>
      </c>
      <c r="M1241" t="s">
        <v>45</v>
      </c>
      <c r="N1241" t="s">
        <v>45</v>
      </c>
      <c r="O1241" t="s">
        <v>45</v>
      </c>
      <c r="P1241" t="s">
        <v>45</v>
      </c>
      <c r="R1241" t="s">
        <v>5578</v>
      </c>
      <c r="T1241" t="s">
        <v>4146</v>
      </c>
      <c r="U1241" t="s">
        <v>5579</v>
      </c>
    </row>
    <row r="1242" spans="1:21" x14ac:dyDescent="0.25">
      <c r="A1242" t="s">
        <v>5580</v>
      </c>
      <c r="B1242" t="s">
        <v>22</v>
      </c>
      <c r="C1242" t="s">
        <v>5581</v>
      </c>
      <c r="D1242">
        <f t="shared" si="34"/>
        <v>-8006655851</v>
      </c>
      <c r="E1242" t="s">
        <v>5582</v>
      </c>
      <c r="F1242" t="s">
        <v>4114</v>
      </c>
      <c r="G1242" t="s">
        <v>4115</v>
      </c>
      <c r="H1242">
        <v>11.004813</v>
      </c>
      <c r="I1242">
        <v>49.592587999999999</v>
      </c>
      <c r="J1242">
        <v>110</v>
      </c>
      <c r="K1242" t="s">
        <v>185</v>
      </c>
      <c r="L1242" t="s">
        <v>185</v>
      </c>
      <c r="M1242" t="s">
        <v>185</v>
      </c>
      <c r="N1242" t="s">
        <v>185</v>
      </c>
      <c r="O1242" t="s">
        <v>185</v>
      </c>
      <c r="P1242" t="s">
        <v>185</v>
      </c>
      <c r="R1242" t="s">
        <v>5583</v>
      </c>
      <c r="T1242" t="s">
        <v>4123</v>
      </c>
      <c r="U1242" t="s">
        <v>5584</v>
      </c>
    </row>
    <row r="1243" spans="1:21" x14ac:dyDescent="0.25">
      <c r="A1243" t="s">
        <v>5585</v>
      </c>
      <c r="B1243" t="s">
        <v>38</v>
      </c>
      <c r="C1243" t="s">
        <v>5586</v>
      </c>
      <c r="D1243">
        <f t="shared" ref="D1243:D1274" si="35">49-8006655900</f>
        <v>-8006655851</v>
      </c>
      <c r="E1243" t="s">
        <v>5587</v>
      </c>
      <c r="F1243" t="s">
        <v>4114</v>
      </c>
      <c r="G1243" t="s">
        <v>4115</v>
      </c>
      <c r="H1243">
        <v>8.1166309999999999</v>
      </c>
      <c r="I1243">
        <v>53.518486000000003</v>
      </c>
      <c r="J1243">
        <v>110</v>
      </c>
      <c r="K1243" t="s">
        <v>45</v>
      </c>
      <c r="L1243" t="s">
        <v>45</v>
      </c>
      <c r="M1243" t="s">
        <v>45</v>
      </c>
      <c r="N1243" t="s">
        <v>45</v>
      </c>
      <c r="O1243" t="s">
        <v>45</v>
      </c>
      <c r="P1243" t="s">
        <v>535</v>
      </c>
      <c r="R1243" t="s">
        <v>5588</v>
      </c>
      <c r="T1243" t="s">
        <v>4258</v>
      </c>
      <c r="U1243" t="s">
        <v>5589</v>
      </c>
    </row>
    <row r="1244" spans="1:21" x14ac:dyDescent="0.25">
      <c r="A1244" t="s">
        <v>5590</v>
      </c>
      <c r="B1244" t="s">
        <v>22</v>
      </c>
      <c r="C1244" t="s">
        <v>5591</v>
      </c>
      <c r="D1244">
        <f t="shared" si="35"/>
        <v>-8006655851</v>
      </c>
      <c r="E1244" t="s">
        <v>4266</v>
      </c>
      <c r="F1244" t="s">
        <v>4114</v>
      </c>
      <c r="G1244" t="s">
        <v>4115</v>
      </c>
      <c r="H1244">
        <v>13.389374999999999</v>
      </c>
      <c r="I1244">
        <v>52.549531000000002</v>
      </c>
      <c r="J1244">
        <v>100</v>
      </c>
      <c r="K1244" t="s">
        <v>45</v>
      </c>
      <c r="L1244" t="s">
        <v>45</v>
      </c>
      <c r="M1244" t="s">
        <v>45</v>
      </c>
      <c r="N1244" t="s">
        <v>45</v>
      </c>
      <c r="O1244" t="s">
        <v>45</v>
      </c>
      <c r="P1244" t="s">
        <v>45</v>
      </c>
      <c r="R1244" t="s">
        <v>5592</v>
      </c>
      <c r="T1244" t="s">
        <v>4278</v>
      </c>
      <c r="U1244" t="s">
        <v>5593</v>
      </c>
    </row>
    <row r="1245" spans="1:21" x14ac:dyDescent="0.25">
      <c r="A1245" t="s">
        <v>5594</v>
      </c>
      <c r="B1245" t="s">
        <v>22</v>
      </c>
      <c r="C1245" t="s">
        <v>5595</v>
      </c>
      <c r="D1245">
        <f t="shared" si="35"/>
        <v>-8006655851</v>
      </c>
      <c r="E1245" t="s">
        <v>4266</v>
      </c>
      <c r="F1245" t="s">
        <v>4114</v>
      </c>
      <c r="G1245" t="s">
        <v>4115</v>
      </c>
      <c r="H1245">
        <v>13.578104</v>
      </c>
      <c r="I1245">
        <v>52.457608999999998</v>
      </c>
      <c r="J1245">
        <v>100</v>
      </c>
      <c r="K1245" t="s">
        <v>45</v>
      </c>
      <c r="L1245" t="s">
        <v>45</v>
      </c>
      <c r="M1245" t="s">
        <v>45</v>
      </c>
      <c r="N1245" t="s">
        <v>45</v>
      </c>
      <c r="O1245" t="s">
        <v>45</v>
      </c>
      <c r="P1245" t="s">
        <v>45</v>
      </c>
      <c r="R1245" t="s">
        <v>5596</v>
      </c>
      <c r="T1245" t="s">
        <v>4268</v>
      </c>
      <c r="U1245" t="s">
        <v>5597</v>
      </c>
    </row>
    <row r="1246" spans="1:21" x14ac:dyDescent="0.25">
      <c r="A1246" t="s">
        <v>5598</v>
      </c>
      <c r="B1246" t="s">
        <v>22</v>
      </c>
      <c r="C1246" t="s">
        <v>5599</v>
      </c>
      <c r="D1246">
        <f t="shared" si="35"/>
        <v>-8006655851</v>
      </c>
      <c r="E1246" t="s">
        <v>5600</v>
      </c>
      <c r="F1246" t="s">
        <v>4114</v>
      </c>
      <c r="G1246" t="s">
        <v>4115</v>
      </c>
      <c r="H1246">
        <v>11.410494999999999</v>
      </c>
      <c r="I1246">
        <v>53.628252000000003</v>
      </c>
      <c r="J1246">
        <v>100</v>
      </c>
      <c r="K1246" t="s">
        <v>535</v>
      </c>
      <c r="L1246" t="s">
        <v>535</v>
      </c>
      <c r="M1246" t="s">
        <v>535</v>
      </c>
      <c r="N1246" t="s">
        <v>535</v>
      </c>
      <c r="O1246" t="s">
        <v>535</v>
      </c>
      <c r="P1246" t="s">
        <v>535</v>
      </c>
      <c r="R1246" t="s">
        <v>5601</v>
      </c>
      <c r="T1246" t="s">
        <v>4480</v>
      </c>
      <c r="U1246" t="s">
        <v>5602</v>
      </c>
    </row>
    <row r="1247" spans="1:21" x14ac:dyDescent="0.25">
      <c r="A1247" t="s">
        <v>5603</v>
      </c>
      <c r="B1247" t="s">
        <v>22</v>
      </c>
      <c r="C1247" t="s">
        <v>5604</v>
      </c>
      <c r="D1247">
        <f t="shared" si="35"/>
        <v>-8006655851</v>
      </c>
      <c r="E1247" t="s">
        <v>5605</v>
      </c>
      <c r="F1247" t="s">
        <v>4114</v>
      </c>
      <c r="G1247" t="s">
        <v>4115</v>
      </c>
      <c r="H1247">
        <v>12.123624</v>
      </c>
      <c r="I1247">
        <v>47.853878999999999</v>
      </c>
      <c r="J1247">
        <v>110</v>
      </c>
      <c r="K1247" t="s">
        <v>535</v>
      </c>
      <c r="L1247" t="s">
        <v>535</v>
      </c>
      <c r="M1247" t="s">
        <v>535</v>
      </c>
      <c r="N1247" t="s">
        <v>535</v>
      </c>
      <c r="O1247" t="s">
        <v>535</v>
      </c>
      <c r="P1247" t="s">
        <v>535</v>
      </c>
      <c r="R1247" t="s">
        <v>5606</v>
      </c>
      <c r="T1247" t="s">
        <v>4123</v>
      </c>
      <c r="U1247" t="s">
        <v>5607</v>
      </c>
    </row>
    <row r="1248" spans="1:21" x14ac:dyDescent="0.25">
      <c r="A1248" t="s">
        <v>5608</v>
      </c>
      <c r="B1248" t="s">
        <v>22</v>
      </c>
      <c r="C1248" t="s">
        <v>5609</v>
      </c>
      <c r="D1248">
        <f t="shared" si="35"/>
        <v>-8006655851</v>
      </c>
      <c r="E1248" t="s">
        <v>5386</v>
      </c>
      <c r="F1248" t="s">
        <v>4114</v>
      </c>
      <c r="G1248" t="s">
        <v>4115</v>
      </c>
      <c r="H1248">
        <v>8.4661270000000002</v>
      </c>
      <c r="I1248">
        <v>49.488348000000002</v>
      </c>
      <c r="J1248">
        <v>100</v>
      </c>
      <c r="K1248" t="s">
        <v>45</v>
      </c>
      <c r="L1248" t="s">
        <v>45</v>
      </c>
      <c r="M1248" t="s">
        <v>45</v>
      </c>
      <c r="N1248" t="s">
        <v>45</v>
      </c>
      <c r="O1248" t="s">
        <v>45</v>
      </c>
      <c r="P1248" t="s">
        <v>45</v>
      </c>
      <c r="R1248" t="s">
        <v>5610</v>
      </c>
      <c r="T1248" t="s">
        <v>4146</v>
      </c>
      <c r="U1248" t="s">
        <v>5611</v>
      </c>
    </row>
    <row r="1249" spans="1:21" x14ac:dyDescent="0.25">
      <c r="A1249" t="s">
        <v>5612</v>
      </c>
      <c r="B1249" t="s">
        <v>22</v>
      </c>
      <c r="C1249" t="s">
        <v>5613</v>
      </c>
      <c r="D1249">
        <f t="shared" si="35"/>
        <v>-8006655851</v>
      </c>
      <c r="E1249" t="s">
        <v>5174</v>
      </c>
      <c r="F1249" t="s">
        <v>4114</v>
      </c>
      <c r="G1249" t="s">
        <v>4115</v>
      </c>
      <c r="H1249">
        <v>10.993085000000001</v>
      </c>
      <c r="I1249">
        <v>51.008535999999999</v>
      </c>
      <c r="J1249">
        <v>100</v>
      </c>
      <c r="K1249" t="s">
        <v>45</v>
      </c>
      <c r="L1249" t="s">
        <v>45</v>
      </c>
      <c r="M1249" t="s">
        <v>45</v>
      </c>
      <c r="N1249" t="s">
        <v>45</v>
      </c>
      <c r="O1249" t="s">
        <v>45</v>
      </c>
      <c r="P1249" t="s">
        <v>45</v>
      </c>
      <c r="R1249" t="s">
        <v>5614</v>
      </c>
      <c r="T1249" t="s">
        <v>4157</v>
      </c>
      <c r="U1249" t="s">
        <v>5615</v>
      </c>
    </row>
    <row r="1250" spans="1:21" x14ac:dyDescent="0.25">
      <c r="A1250" t="s">
        <v>5616</v>
      </c>
      <c r="B1250" t="s">
        <v>22</v>
      </c>
      <c r="C1250" t="s">
        <v>5617</v>
      </c>
      <c r="D1250">
        <f t="shared" si="35"/>
        <v>-8006655851</v>
      </c>
      <c r="E1250" t="s">
        <v>5618</v>
      </c>
      <c r="F1250" t="s">
        <v>4114</v>
      </c>
      <c r="G1250" t="s">
        <v>4115</v>
      </c>
      <c r="H1250">
        <v>11.570641999999999</v>
      </c>
      <c r="I1250">
        <v>49.945528000000003</v>
      </c>
      <c r="J1250">
        <v>110</v>
      </c>
      <c r="K1250" t="s">
        <v>185</v>
      </c>
      <c r="L1250" t="s">
        <v>185</v>
      </c>
      <c r="M1250" t="s">
        <v>185</v>
      </c>
      <c r="N1250" t="s">
        <v>185</v>
      </c>
      <c r="O1250" t="s">
        <v>185</v>
      </c>
      <c r="P1250" t="s">
        <v>185</v>
      </c>
      <c r="R1250" t="s">
        <v>5619</v>
      </c>
      <c r="T1250" t="s">
        <v>4123</v>
      </c>
      <c r="U1250" t="s">
        <v>5620</v>
      </c>
    </row>
    <row r="1251" spans="1:21" x14ac:dyDescent="0.25">
      <c r="A1251" t="s">
        <v>5621</v>
      </c>
      <c r="B1251" t="s">
        <v>38</v>
      </c>
      <c r="C1251" t="s">
        <v>5622</v>
      </c>
      <c r="D1251">
        <f t="shared" si="35"/>
        <v>-8006655851</v>
      </c>
      <c r="E1251" t="s">
        <v>4852</v>
      </c>
      <c r="F1251" t="s">
        <v>4114</v>
      </c>
      <c r="G1251" t="s">
        <v>4115</v>
      </c>
      <c r="H1251">
        <v>12.494607999999999</v>
      </c>
      <c r="I1251">
        <v>50.718859999999999</v>
      </c>
      <c r="J1251">
        <v>110</v>
      </c>
      <c r="K1251" t="s">
        <v>184</v>
      </c>
      <c r="L1251" t="s">
        <v>184</v>
      </c>
      <c r="M1251" t="s">
        <v>184</v>
      </c>
      <c r="N1251" t="s">
        <v>184</v>
      </c>
      <c r="O1251" t="s">
        <v>184</v>
      </c>
      <c r="P1251" t="s">
        <v>184</v>
      </c>
      <c r="R1251" t="s">
        <v>5623</v>
      </c>
      <c r="T1251" t="s">
        <v>4248</v>
      </c>
      <c r="U1251" t="s">
        <v>5624</v>
      </c>
    </row>
    <row r="1252" spans="1:21" x14ac:dyDescent="0.25">
      <c r="A1252" t="s">
        <v>5625</v>
      </c>
      <c r="B1252" t="s">
        <v>22</v>
      </c>
      <c r="C1252" t="s">
        <v>5626</v>
      </c>
      <c r="D1252">
        <f t="shared" si="35"/>
        <v>-8006655851</v>
      </c>
      <c r="E1252" t="s">
        <v>4786</v>
      </c>
      <c r="F1252" t="s">
        <v>4114</v>
      </c>
      <c r="G1252" t="s">
        <v>4115</v>
      </c>
      <c r="H1252">
        <v>6.9562179999999998</v>
      </c>
      <c r="I1252">
        <v>50.938707999999998</v>
      </c>
      <c r="J1252">
        <v>100</v>
      </c>
      <c r="K1252" t="s">
        <v>45</v>
      </c>
      <c r="L1252" t="s">
        <v>45</v>
      </c>
      <c r="M1252" t="s">
        <v>45</v>
      </c>
      <c r="N1252" t="s">
        <v>45</v>
      </c>
      <c r="O1252" t="s">
        <v>45</v>
      </c>
      <c r="P1252" t="s">
        <v>45</v>
      </c>
      <c r="R1252" t="s">
        <v>5626</v>
      </c>
      <c r="T1252" t="s">
        <v>4117</v>
      </c>
      <c r="U1252" t="s">
        <v>5627</v>
      </c>
    </row>
    <row r="1253" spans="1:21" x14ac:dyDescent="0.25">
      <c r="A1253" t="s">
        <v>5628</v>
      </c>
      <c r="B1253" t="s">
        <v>22</v>
      </c>
      <c r="C1253" t="s">
        <v>5629</v>
      </c>
      <c r="D1253">
        <f t="shared" si="35"/>
        <v>-8006655851</v>
      </c>
      <c r="E1253" t="s">
        <v>5630</v>
      </c>
      <c r="F1253" t="s">
        <v>4114</v>
      </c>
      <c r="G1253" t="s">
        <v>4115</v>
      </c>
      <c r="H1253">
        <v>9.9314319999999991</v>
      </c>
      <c r="I1253">
        <v>49.795802000000002</v>
      </c>
      <c r="J1253">
        <v>110</v>
      </c>
      <c r="K1253" t="s">
        <v>45</v>
      </c>
      <c r="L1253" t="s">
        <v>45</v>
      </c>
      <c r="M1253" t="s">
        <v>45</v>
      </c>
      <c r="N1253" t="s">
        <v>45</v>
      </c>
      <c r="O1253" t="s">
        <v>45</v>
      </c>
      <c r="P1253" t="s">
        <v>45</v>
      </c>
      <c r="R1253" t="s">
        <v>5631</v>
      </c>
      <c r="T1253" t="s">
        <v>4123</v>
      </c>
      <c r="U1253" t="s">
        <v>5632</v>
      </c>
    </row>
    <row r="1254" spans="1:21" x14ac:dyDescent="0.25">
      <c r="A1254" t="s">
        <v>5633</v>
      </c>
      <c r="B1254" t="s">
        <v>22</v>
      </c>
      <c r="C1254" t="s">
        <v>5634</v>
      </c>
      <c r="D1254">
        <f t="shared" si="35"/>
        <v>-8006655851</v>
      </c>
      <c r="E1254" t="s">
        <v>5635</v>
      </c>
      <c r="F1254" t="s">
        <v>4114</v>
      </c>
      <c r="G1254" t="s">
        <v>4115</v>
      </c>
      <c r="H1254">
        <v>8.6513679999999997</v>
      </c>
      <c r="I1254">
        <v>49.871825999999999</v>
      </c>
      <c r="J1254">
        <v>100</v>
      </c>
      <c r="K1254" t="s">
        <v>45</v>
      </c>
      <c r="L1254" t="s">
        <v>45</v>
      </c>
      <c r="M1254" t="s">
        <v>45</v>
      </c>
      <c r="N1254" t="s">
        <v>45</v>
      </c>
      <c r="O1254" t="s">
        <v>45</v>
      </c>
      <c r="P1254" t="s">
        <v>45</v>
      </c>
      <c r="R1254" t="s">
        <v>5634</v>
      </c>
      <c r="S1254" t="s">
        <v>5636</v>
      </c>
      <c r="U1254" t="s">
        <v>5637</v>
      </c>
    </row>
    <row r="1255" spans="1:21" x14ac:dyDescent="0.25">
      <c r="A1255" t="s">
        <v>5638</v>
      </c>
      <c r="B1255" t="s">
        <v>22</v>
      </c>
      <c r="C1255" t="s">
        <v>5639</v>
      </c>
      <c r="D1255">
        <f t="shared" si="35"/>
        <v>-8006655851</v>
      </c>
      <c r="E1255" t="s">
        <v>5640</v>
      </c>
      <c r="F1255" t="s">
        <v>4114</v>
      </c>
      <c r="G1255" t="s">
        <v>4115</v>
      </c>
      <c r="H1255">
        <v>11.636296</v>
      </c>
      <c r="I1255">
        <v>52.130068000000001</v>
      </c>
      <c r="J1255">
        <v>110</v>
      </c>
      <c r="K1255" t="s">
        <v>185</v>
      </c>
      <c r="L1255" t="s">
        <v>185</v>
      </c>
      <c r="M1255" t="s">
        <v>185</v>
      </c>
      <c r="N1255" t="s">
        <v>185</v>
      </c>
      <c r="O1255" t="s">
        <v>185</v>
      </c>
      <c r="P1255" t="s">
        <v>185</v>
      </c>
      <c r="R1255" t="s">
        <v>5641</v>
      </c>
      <c r="T1255" t="s">
        <v>4207</v>
      </c>
      <c r="U1255" t="s">
        <v>5642</v>
      </c>
    </row>
    <row r="1256" spans="1:21" x14ac:dyDescent="0.25">
      <c r="A1256" t="s">
        <v>5643</v>
      </c>
      <c r="B1256" t="s">
        <v>22</v>
      </c>
      <c r="C1256" t="s">
        <v>5644</v>
      </c>
      <c r="D1256">
        <f t="shared" si="35"/>
        <v>-8006655851</v>
      </c>
      <c r="E1256" t="s">
        <v>4169</v>
      </c>
      <c r="F1256" t="s">
        <v>4114</v>
      </c>
      <c r="G1256" t="s">
        <v>4115</v>
      </c>
      <c r="H1256">
        <v>11.573588000000001</v>
      </c>
      <c r="I1256">
        <v>48.137721999999997</v>
      </c>
      <c r="J1256">
        <v>110</v>
      </c>
      <c r="K1256" t="s">
        <v>45</v>
      </c>
      <c r="L1256" t="s">
        <v>45</v>
      </c>
      <c r="M1256" t="s">
        <v>45</v>
      </c>
      <c r="N1256" t="s">
        <v>45</v>
      </c>
      <c r="O1256" t="s">
        <v>45</v>
      </c>
      <c r="P1256" t="s">
        <v>45</v>
      </c>
      <c r="R1256" t="s">
        <v>5644</v>
      </c>
      <c r="T1256" t="s">
        <v>4123</v>
      </c>
      <c r="U1256" t="s">
        <v>5645</v>
      </c>
    </row>
    <row r="1257" spans="1:21" x14ac:dyDescent="0.25">
      <c r="A1257" t="s">
        <v>5646</v>
      </c>
      <c r="B1257" t="s">
        <v>38</v>
      </c>
      <c r="C1257" t="s">
        <v>5647</v>
      </c>
      <c r="D1257">
        <f t="shared" si="35"/>
        <v>-8006655851</v>
      </c>
      <c r="E1257" t="s">
        <v>5648</v>
      </c>
      <c r="F1257" t="s">
        <v>4114</v>
      </c>
      <c r="G1257" t="s">
        <v>4115</v>
      </c>
      <c r="H1257">
        <v>8.8133280000000003</v>
      </c>
      <c r="I1257">
        <v>52.214536000000003</v>
      </c>
      <c r="J1257">
        <v>100</v>
      </c>
      <c r="K1257" t="s">
        <v>45</v>
      </c>
      <c r="L1257" t="s">
        <v>45</v>
      </c>
      <c r="M1257" t="s">
        <v>45</v>
      </c>
      <c r="N1257" t="s">
        <v>45</v>
      </c>
      <c r="O1257" t="s">
        <v>45</v>
      </c>
      <c r="P1257" t="s">
        <v>45</v>
      </c>
      <c r="R1257" t="s">
        <v>5649</v>
      </c>
      <c r="T1257" t="s">
        <v>4117</v>
      </c>
      <c r="U1257" t="s">
        <v>5650</v>
      </c>
    </row>
    <row r="1258" spans="1:21" x14ac:dyDescent="0.25">
      <c r="A1258" t="s">
        <v>5651</v>
      </c>
      <c r="B1258" t="s">
        <v>38</v>
      </c>
      <c r="C1258" t="s">
        <v>5652</v>
      </c>
      <c r="D1258">
        <f t="shared" si="35"/>
        <v>-8006655851</v>
      </c>
      <c r="E1258" t="s">
        <v>4179</v>
      </c>
      <c r="F1258" t="s">
        <v>4114</v>
      </c>
      <c r="G1258" t="s">
        <v>4115</v>
      </c>
      <c r="H1258">
        <v>9.9618450000000003</v>
      </c>
      <c r="I1258">
        <v>48.399942000000003</v>
      </c>
      <c r="J1258">
        <v>100</v>
      </c>
      <c r="K1258" t="s">
        <v>185</v>
      </c>
      <c r="L1258" t="s">
        <v>185</v>
      </c>
      <c r="M1258" t="s">
        <v>185</v>
      </c>
      <c r="N1258" t="s">
        <v>185</v>
      </c>
      <c r="O1258" t="s">
        <v>185</v>
      </c>
      <c r="P1258" t="s">
        <v>185</v>
      </c>
      <c r="R1258" t="s">
        <v>5653</v>
      </c>
      <c r="T1258" t="s">
        <v>4146</v>
      </c>
      <c r="U1258" t="s">
        <v>5654</v>
      </c>
    </row>
    <row r="1259" spans="1:21" x14ac:dyDescent="0.25">
      <c r="A1259" t="s">
        <v>5655</v>
      </c>
      <c r="B1259" t="s">
        <v>22</v>
      </c>
      <c r="C1259" t="s">
        <v>5656</v>
      </c>
      <c r="D1259">
        <f t="shared" si="35"/>
        <v>-8006655851</v>
      </c>
      <c r="E1259" t="s">
        <v>5174</v>
      </c>
      <c r="F1259" t="s">
        <v>4114</v>
      </c>
      <c r="G1259" t="s">
        <v>4115</v>
      </c>
      <c r="H1259">
        <v>11.033804</v>
      </c>
      <c r="I1259">
        <v>50.976033999999999</v>
      </c>
      <c r="J1259">
        <v>110</v>
      </c>
      <c r="K1259" t="s">
        <v>45</v>
      </c>
      <c r="L1259" t="s">
        <v>45</v>
      </c>
      <c r="M1259" t="s">
        <v>45</v>
      </c>
      <c r="N1259" t="s">
        <v>45</v>
      </c>
      <c r="O1259" t="s">
        <v>45</v>
      </c>
      <c r="P1259" t="s">
        <v>45</v>
      </c>
      <c r="R1259" t="s">
        <v>5657</v>
      </c>
      <c r="T1259" t="s">
        <v>4157</v>
      </c>
      <c r="U1259" t="s">
        <v>5658</v>
      </c>
    </row>
    <row r="1260" spans="1:21" x14ac:dyDescent="0.25">
      <c r="A1260" t="s">
        <v>5659</v>
      </c>
      <c r="B1260" t="s">
        <v>22</v>
      </c>
      <c r="C1260" t="s">
        <v>5660</v>
      </c>
      <c r="D1260">
        <f t="shared" si="35"/>
        <v>-8006655851</v>
      </c>
      <c r="E1260" t="s">
        <v>5661</v>
      </c>
      <c r="F1260" t="s">
        <v>4114</v>
      </c>
      <c r="G1260" t="s">
        <v>4115</v>
      </c>
      <c r="H1260">
        <v>7.7685880000000003</v>
      </c>
      <c r="I1260">
        <v>49.443210000000001</v>
      </c>
      <c r="J1260">
        <v>100</v>
      </c>
      <c r="K1260" t="s">
        <v>774</v>
      </c>
      <c r="L1260" t="s">
        <v>774</v>
      </c>
      <c r="M1260" t="s">
        <v>774</v>
      </c>
      <c r="N1260" t="s">
        <v>774</v>
      </c>
      <c r="O1260" t="s">
        <v>774</v>
      </c>
      <c r="P1260" t="s">
        <v>428</v>
      </c>
      <c r="R1260" t="s">
        <v>5662</v>
      </c>
      <c r="T1260" t="s">
        <v>4129</v>
      </c>
      <c r="U1260" t="s">
        <v>5663</v>
      </c>
    </row>
    <row r="1261" spans="1:21" x14ac:dyDescent="0.25">
      <c r="A1261" t="s">
        <v>5664</v>
      </c>
      <c r="B1261" t="s">
        <v>22</v>
      </c>
      <c r="C1261" t="s">
        <v>5665</v>
      </c>
      <c r="D1261">
        <f t="shared" si="35"/>
        <v>-8006655851</v>
      </c>
      <c r="E1261" t="s">
        <v>4179</v>
      </c>
      <c r="F1261" t="s">
        <v>4114</v>
      </c>
      <c r="G1261" t="s">
        <v>4115</v>
      </c>
      <c r="H1261">
        <v>9.9858809999999991</v>
      </c>
      <c r="I1261">
        <v>48.398921000000001</v>
      </c>
      <c r="J1261">
        <v>100</v>
      </c>
      <c r="K1261" t="s">
        <v>45</v>
      </c>
      <c r="L1261" t="s">
        <v>45</v>
      </c>
      <c r="M1261" t="s">
        <v>45</v>
      </c>
      <c r="N1261" t="s">
        <v>45</v>
      </c>
      <c r="O1261" t="s">
        <v>45</v>
      </c>
      <c r="P1261" t="s">
        <v>45</v>
      </c>
      <c r="R1261" t="s">
        <v>5666</v>
      </c>
      <c r="T1261" t="s">
        <v>4146</v>
      </c>
      <c r="U1261" t="s">
        <v>5667</v>
      </c>
    </row>
    <row r="1262" spans="1:21" x14ac:dyDescent="0.25">
      <c r="A1262" t="s">
        <v>5668</v>
      </c>
      <c r="B1262" t="s">
        <v>22</v>
      </c>
      <c r="C1262" t="s">
        <v>5669</v>
      </c>
      <c r="D1262">
        <f t="shared" si="35"/>
        <v>-8006655851</v>
      </c>
      <c r="E1262" t="s">
        <v>4266</v>
      </c>
      <c r="F1262" t="s">
        <v>4114</v>
      </c>
      <c r="G1262" t="s">
        <v>4115</v>
      </c>
      <c r="H1262">
        <v>13.286856999999999</v>
      </c>
      <c r="I1262">
        <v>52.585039999999999</v>
      </c>
      <c r="J1262">
        <v>110</v>
      </c>
      <c r="K1262" t="s">
        <v>45</v>
      </c>
      <c r="L1262" t="s">
        <v>45</v>
      </c>
      <c r="M1262" t="s">
        <v>45</v>
      </c>
      <c r="N1262" t="s">
        <v>45</v>
      </c>
      <c r="O1262" t="s">
        <v>45</v>
      </c>
      <c r="P1262" t="s">
        <v>45</v>
      </c>
      <c r="R1262" t="s">
        <v>5670</v>
      </c>
      <c r="T1262" t="s">
        <v>4278</v>
      </c>
      <c r="U1262" t="s">
        <v>5671</v>
      </c>
    </row>
    <row r="1263" spans="1:21" x14ac:dyDescent="0.25">
      <c r="A1263" t="s">
        <v>5672</v>
      </c>
      <c r="B1263" t="s">
        <v>22</v>
      </c>
      <c r="C1263" t="s">
        <v>5673</v>
      </c>
      <c r="D1263">
        <f t="shared" si="35"/>
        <v>-8006655851</v>
      </c>
      <c r="E1263" t="s">
        <v>5674</v>
      </c>
      <c r="F1263" t="s">
        <v>4114</v>
      </c>
      <c r="G1263" t="s">
        <v>4115</v>
      </c>
      <c r="H1263">
        <v>11.586729</v>
      </c>
      <c r="I1263">
        <v>50.927784000000003</v>
      </c>
      <c r="J1263">
        <v>100</v>
      </c>
      <c r="K1263" t="s">
        <v>45</v>
      </c>
      <c r="L1263" t="s">
        <v>45</v>
      </c>
      <c r="M1263" t="s">
        <v>45</v>
      </c>
      <c r="N1263" t="s">
        <v>45</v>
      </c>
      <c r="O1263" t="s">
        <v>45</v>
      </c>
      <c r="P1263" t="s">
        <v>185</v>
      </c>
      <c r="R1263" t="s">
        <v>5675</v>
      </c>
      <c r="T1263" t="s">
        <v>4157</v>
      </c>
      <c r="U1263" t="s">
        <v>5676</v>
      </c>
    </row>
    <row r="1264" spans="1:21" x14ac:dyDescent="0.25">
      <c r="A1264" t="s">
        <v>5677</v>
      </c>
      <c r="B1264" t="s">
        <v>22</v>
      </c>
      <c r="C1264" t="s">
        <v>5678</v>
      </c>
      <c r="D1264">
        <f t="shared" si="35"/>
        <v>-8006655851</v>
      </c>
      <c r="E1264" t="s">
        <v>4266</v>
      </c>
      <c r="F1264" t="s">
        <v>4114</v>
      </c>
      <c r="G1264" t="s">
        <v>4115</v>
      </c>
      <c r="H1264">
        <v>13.414432</v>
      </c>
      <c r="I1264">
        <v>52.549886000000001</v>
      </c>
      <c r="J1264">
        <v>100</v>
      </c>
      <c r="K1264" t="s">
        <v>45</v>
      </c>
      <c r="L1264" t="s">
        <v>45</v>
      </c>
      <c r="M1264" t="s">
        <v>45</v>
      </c>
      <c r="N1264" t="s">
        <v>45</v>
      </c>
      <c r="O1264" t="s">
        <v>45</v>
      </c>
      <c r="P1264" t="s">
        <v>45</v>
      </c>
      <c r="R1264" t="s">
        <v>5679</v>
      </c>
      <c r="T1264" t="s">
        <v>4268</v>
      </c>
      <c r="U1264" t="s">
        <v>5680</v>
      </c>
    </row>
    <row r="1265" spans="1:21" x14ac:dyDescent="0.25">
      <c r="A1265" t="s">
        <v>5681</v>
      </c>
      <c r="B1265" t="s">
        <v>22</v>
      </c>
      <c r="C1265" t="s">
        <v>5682</v>
      </c>
      <c r="D1265">
        <f t="shared" si="35"/>
        <v>-8006655851</v>
      </c>
      <c r="E1265" t="s">
        <v>4928</v>
      </c>
      <c r="F1265" t="s">
        <v>4114</v>
      </c>
      <c r="G1265" t="s">
        <v>4115</v>
      </c>
      <c r="H1265">
        <v>12.920994</v>
      </c>
      <c r="I1265">
        <v>50.833342000000002</v>
      </c>
      <c r="J1265">
        <v>110</v>
      </c>
      <c r="K1265" t="s">
        <v>185</v>
      </c>
      <c r="L1265" t="s">
        <v>185</v>
      </c>
      <c r="M1265" t="s">
        <v>185</v>
      </c>
      <c r="N1265" t="s">
        <v>185</v>
      </c>
      <c r="O1265" t="s">
        <v>185</v>
      </c>
      <c r="P1265" t="s">
        <v>185</v>
      </c>
      <c r="R1265" t="s">
        <v>5683</v>
      </c>
      <c r="T1265" t="s">
        <v>4248</v>
      </c>
      <c r="U1265" t="s">
        <v>5684</v>
      </c>
    </row>
    <row r="1266" spans="1:21" x14ac:dyDescent="0.25">
      <c r="A1266" t="s">
        <v>5685</v>
      </c>
      <c r="B1266" t="s">
        <v>22</v>
      </c>
      <c r="C1266" t="s">
        <v>5686</v>
      </c>
      <c r="D1266">
        <f t="shared" si="35"/>
        <v>-8006655851</v>
      </c>
      <c r="E1266" t="s">
        <v>5687</v>
      </c>
      <c r="F1266" t="s">
        <v>4114</v>
      </c>
      <c r="G1266" t="s">
        <v>4115</v>
      </c>
      <c r="H1266">
        <v>7.6276700000000002</v>
      </c>
      <c r="I1266">
        <v>51.959913</v>
      </c>
      <c r="J1266">
        <v>100</v>
      </c>
      <c r="K1266" t="s">
        <v>45</v>
      </c>
      <c r="L1266" t="s">
        <v>45</v>
      </c>
      <c r="M1266" t="s">
        <v>45</v>
      </c>
      <c r="N1266" t="s">
        <v>45</v>
      </c>
      <c r="O1266" t="s">
        <v>45</v>
      </c>
      <c r="P1266" t="s">
        <v>45</v>
      </c>
      <c r="R1266" t="s">
        <v>5686</v>
      </c>
      <c r="T1266" t="s">
        <v>4117</v>
      </c>
      <c r="U1266" t="s">
        <v>5688</v>
      </c>
    </row>
    <row r="1267" spans="1:21" x14ac:dyDescent="0.25">
      <c r="A1267" t="s">
        <v>5689</v>
      </c>
      <c r="B1267" t="s">
        <v>22</v>
      </c>
      <c r="C1267" t="s">
        <v>5690</v>
      </c>
      <c r="D1267">
        <f t="shared" si="35"/>
        <v>-8006655851</v>
      </c>
      <c r="E1267" t="s">
        <v>4334</v>
      </c>
      <c r="F1267" t="s">
        <v>4114</v>
      </c>
      <c r="G1267" t="s">
        <v>4115</v>
      </c>
      <c r="H1267">
        <v>10.897103</v>
      </c>
      <c r="I1267">
        <v>48.367111000000001</v>
      </c>
      <c r="J1267">
        <v>100</v>
      </c>
      <c r="K1267" t="s">
        <v>45</v>
      </c>
      <c r="L1267" t="s">
        <v>45</v>
      </c>
      <c r="M1267" t="s">
        <v>45</v>
      </c>
      <c r="N1267" t="s">
        <v>45</v>
      </c>
      <c r="O1267" t="s">
        <v>45</v>
      </c>
      <c r="P1267" t="s">
        <v>45</v>
      </c>
      <c r="R1267" t="s">
        <v>5690</v>
      </c>
      <c r="T1267" t="s">
        <v>4123</v>
      </c>
      <c r="U1267" t="s">
        <v>5691</v>
      </c>
    </row>
    <row r="1268" spans="1:21" x14ac:dyDescent="0.25">
      <c r="A1268" t="s">
        <v>5692</v>
      </c>
      <c r="B1268" t="s">
        <v>38</v>
      </c>
      <c r="C1268" t="s">
        <v>5693</v>
      </c>
      <c r="D1268">
        <f t="shared" si="35"/>
        <v>-8006655851</v>
      </c>
      <c r="E1268" t="s">
        <v>5694</v>
      </c>
      <c r="F1268" t="s">
        <v>4114</v>
      </c>
      <c r="G1268" t="s">
        <v>4115</v>
      </c>
      <c r="H1268">
        <v>13.089956000000001</v>
      </c>
      <c r="I1268">
        <v>54.313465000000001</v>
      </c>
      <c r="J1268">
        <v>110</v>
      </c>
      <c r="K1268" t="s">
        <v>535</v>
      </c>
      <c r="L1268" t="s">
        <v>535</v>
      </c>
      <c r="M1268" t="s">
        <v>535</v>
      </c>
      <c r="N1268" t="s">
        <v>535</v>
      </c>
      <c r="O1268" t="s">
        <v>535</v>
      </c>
      <c r="P1268" t="s">
        <v>428</v>
      </c>
      <c r="R1268" t="s">
        <v>5693</v>
      </c>
      <c r="T1268" t="s">
        <v>4480</v>
      </c>
      <c r="U1268" t="s">
        <v>5695</v>
      </c>
    </row>
    <row r="1269" spans="1:21" x14ac:dyDescent="0.25">
      <c r="A1269" t="s">
        <v>5696</v>
      </c>
      <c r="B1269" t="s">
        <v>22</v>
      </c>
      <c r="C1269" t="s">
        <v>5697</v>
      </c>
      <c r="D1269">
        <f t="shared" si="35"/>
        <v>-8006655851</v>
      </c>
      <c r="E1269" t="s">
        <v>5698</v>
      </c>
      <c r="F1269" t="s">
        <v>4114</v>
      </c>
      <c r="G1269" t="s">
        <v>4115</v>
      </c>
      <c r="H1269">
        <v>6.6153769999999996</v>
      </c>
      <c r="I1269">
        <v>51.835971999999998</v>
      </c>
      <c r="J1269">
        <v>100</v>
      </c>
      <c r="K1269" t="s">
        <v>535</v>
      </c>
      <c r="L1269" t="s">
        <v>535</v>
      </c>
      <c r="M1269" t="s">
        <v>535</v>
      </c>
      <c r="N1269" t="s">
        <v>535</v>
      </c>
      <c r="O1269" t="s">
        <v>535</v>
      </c>
      <c r="P1269" t="s">
        <v>535</v>
      </c>
      <c r="R1269" t="s">
        <v>5697</v>
      </c>
      <c r="T1269" t="s">
        <v>4117</v>
      </c>
      <c r="U1269" t="s">
        <v>5699</v>
      </c>
    </row>
    <row r="1270" spans="1:21" x14ac:dyDescent="0.25">
      <c r="A1270" t="s">
        <v>5700</v>
      </c>
      <c r="B1270" t="s">
        <v>22</v>
      </c>
      <c r="C1270" t="s">
        <v>5701</v>
      </c>
      <c r="D1270">
        <f t="shared" si="35"/>
        <v>-8006655851</v>
      </c>
      <c r="E1270" t="s">
        <v>4183</v>
      </c>
      <c r="F1270" t="s">
        <v>4114</v>
      </c>
      <c r="G1270" t="s">
        <v>4115</v>
      </c>
      <c r="H1270">
        <v>8.6732220000000009</v>
      </c>
      <c r="I1270">
        <v>50.583984000000001</v>
      </c>
      <c r="J1270">
        <v>100</v>
      </c>
      <c r="K1270" t="s">
        <v>535</v>
      </c>
      <c r="L1270" t="s">
        <v>535</v>
      </c>
      <c r="M1270" t="s">
        <v>535</v>
      </c>
      <c r="N1270" t="s">
        <v>535</v>
      </c>
      <c r="O1270" t="s">
        <v>535</v>
      </c>
      <c r="P1270" t="s">
        <v>535</v>
      </c>
      <c r="R1270" t="s">
        <v>5702</v>
      </c>
      <c r="T1270" t="s">
        <v>4152</v>
      </c>
      <c r="U1270" t="s">
        <v>5703</v>
      </c>
    </row>
    <row r="1271" spans="1:21" x14ac:dyDescent="0.25">
      <c r="A1271" t="s">
        <v>5704</v>
      </c>
      <c r="B1271" t="s">
        <v>38</v>
      </c>
      <c r="C1271" t="s">
        <v>5705</v>
      </c>
      <c r="D1271">
        <f t="shared" si="35"/>
        <v>-8006655851</v>
      </c>
      <c r="E1271" t="s">
        <v>5706</v>
      </c>
      <c r="F1271" t="s">
        <v>4114</v>
      </c>
      <c r="G1271" t="s">
        <v>4115</v>
      </c>
      <c r="H1271">
        <v>12.135883</v>
      </c>
      <c r="I1271">
        <v>50.497177999999998</v>
      </c>
      <c r="J1271">
        <v>110</v>
      </c>
      <c r="K1271" t="s">
        <v>535</v>
      </c>
      <c r="L1271" t="s">
        <v>535</v>
      </c>
      <c r="M1271" t="s">
        <v>535</v>
      </c>
      <c r="N1271" t="s">
        <v>535</v>
      </c>
      <c r="O1271" t="s">
        <v>535</v>
      </c>
      <c r="P1271" t="s">
        <v>535</v>
      </c>
      <c r="R1271" t="s">
        <v>5707</v>
      </c>
      <c r="T1271" t="s">
        <v>4248</v>
      </c>
      <c r="U1271" t="s">
        <v>5708</v>
      </c>
    </row>
    <row r="1272" spans="1:21" x14ac:dyDescent="0.25">
      <c r="A1272" t="s">
        <v>5709</v>
      </c>
      <c r="B1272" t="s">
        <v>38</v>
      </c>
      <c r="C1272" t="s">
        <v>5710</v>
      </c>
      <c r="D1272">
        <f t="shared" si="35"/>
        <v>-8006655851</v>
      </c>
      <c r="E1272" t="s">
        <v>5711</v>
      </c>
      <c r="F1272" t="s">
        <v>4114</v>
      </c>
      <c r="G1272" t="s">
        <v>4115</v>
      </c>
      <c r="H1272">
        <v>10.965214</v>
      </c>
      <c r="I1272">
        <v>50.259422000000001</v>
      </c>
      <c r="J1272">
        <v>110</v>
      </c>
      <c r="K1272" t="s">
        <v>184</v>
      </c>
      <c r="L1272" t="s">
        <v>184</v>
      </c>
      <c r="M1272" t="s">
        <v>184</v>
      </c>
      <c r="N1272" t="s">
        <v>184</v>
      </c>
      <c r="O1272" t="s">
        <v>184</v>
      </c>
      <c r="P1272" t="s">
        <v>262</v>
      </c>
      <c r="R1272" t="s">
        <v>5712</v>
      </c>
      <c r="T1272" t="s">
        <v>4123</v>
      </c>
      <c r="U1272" t="s">
        <v>5713</v>
      </c>
    </row>
    <row r="1273" spans="1:21" x14ac:dyDescent="0.25">
      <c r="A1273" t="s">
        <v>5714</v>
      </c>
      <c r="B1273" t="s">
        <v>38</v>
      </c>
      <c r="C1273" t="s">
        <v>5715</v>
      </c>
      <c r="D1273">
        <f t="shared" si="35"/>
        <v>-8006655851</v>
      </c>
      <c r="E1273" t="s">
        <v>5716</v>
      </c>
      <c r="F1273" t="s">
        <v>4114</v>
      </c>
      <c r="G1273" t="s">
        <v>4115</v>
      </c>
      <c r="H1273">
        <v>12.571809999999999</v>
      </c>
      <c r="I1273">
        <v>48.882255999999998</v>
      </c>
      <c r="J1273">
        <v>110</v>
      </c>
      <c r="K1273" t="s">
        <v>535</v>
      </c>
      <c r="L1273" t="s">
        <v>535</v>
      </c>
      <c r="M1273" t="s">
        <v>535</v>
      </c>
      <c r="N1273" t="s">
        <v>535</v>
      </c>
      <c r="O1273" t="s">
        <v>535</v>
      </c>
      <c r="P1273" t="s">
        <v>535</v>
      </c>
      <c r="R1273" t="s">
        <v>5715</v>
      </c>
      <c r="T1273" t="s">
        <v>4123</v>
      </c>
      <c r="U1273" t="s">
        <v>5717</v>
      </c>
    </row>
    <row r="1274" spans="1:21" x14ac:dyDescent="0.25">
      <c r="A1274" t="s">
        <v>5718</v>
      </c>
      <c r="B1274" t="s">
        <v>38</v>
      </c>
      <c r="C1274" t="s">
        <v>5719</v>
      </c>
      <c r="D1274">
        <f t="shared" si="35"/>
        <v>-8006655851</v>
      </c>
      <c r="E1274" t="s">
        <v>5720</v>
      </c>
      <c r="F1274" t="s">
        <v>4114</v>
      </c>
      <c r="G1274" t="s">
        <v>4115</v>
      </c>
      <c r="H1274">
        <v>10.571743</v>
      </c>
      <c r="I1274">
        <v>49.302773999999999</v>
      </c>
      <c r="J1274">
        <v>110</v>
      </c>
      <c r="K1274" t="s">
        <v>535</v>
      </c>
      <c r="L1274" t="s">
        <v>535</v>
      </c>
      <c r="M1274" t="s">
        <v>535</v>
      </c>
      <c r="N1274" t="s">
        <v>535</v>
      </c>
      <c r="O1274" t="s">
        <v>535</v>
      </c>
      <c r="P1274" t="s">
        <v>535</v>
      </c>
      <c r="R1274" t="s">
        <v>5721</v>
      </c>
      <c r="T1274" t="s">
        <v>4123</v>
      </c>
      <c r="U1274" t="s">
        <v>5722</v>
      </c>
    </row>
    <row r="1275" spans="1:21" x14ac:dyDescent="0.25">
      <c r="A1275" t="s">
        <v>5723</v>
      </c>
      <c r="B1275" t="s">
        <v>38</v>
      </c>
      <c r="C1275" t="s">
        <v>5724</v>
      </c>
      <c r="D1275">
        <f t="shared" ref="D1275:D1288" si="36">49-8006655900</f>
        <v>-8006655851</v>
      </c>
      <c r="E1275" t="s">
        <v>5725</v>
      </c>
      <c r="F1275" t="s">
        <v>4114</v>
      </c>
      <c r="G1275" t="s">
        <v>4115</v>
      </c>
      <c r="H1275">
        <v>14.550692</v>
      </c>
      <c r="I1275">
        <v>52.343110000000003</v>
      </c>
      <c r="J1275">
        <v>110</v>
      </c>
      <c r="K1275" t="s">
        <v>535</v>
      </c>
      <c r="L1275" t="s">
        <v>535</v>
      </c>
      <c r="M1275" t="s">
        <v>535</v>
      </c>
      <c r="N1275" t="s">
        <v>535</v>
      </c>
      <c r="O1275" t="s">
        <v>535</v>
      </c>
      <c r="P1275" t="s">
        <v>622</v>
      </c>
      <c r="R1275" t="s">
        <v>5726</v>
      </c>
      <c r="T1275" t="s">
        <v>4563</v>
      </c>
      <c r="U1275" t="s">
        <v>5727</v>
      </c>
    </row>
    <row r="1276" spans="1:21" x14ac:dyDescent="0.25">
      <c r="A1276" t="s">
        <v>5728</v>
      </c>
      <c r="B1276" t="s">
        <v>38</v>
      </c>
      <c r="C1276" t="s">
        <v>5729</v>
      </c>
      <c r="D1276">
        <f t="shared" si="36"/>
        <v>-8006655851</v>
      </c>
      <c r="E1276" t="s">
        <v>5730</v>
      </c>
      <c r="F1276" t="s">
        <v>4114</v>
      </c>
      <c r="G1276" t="s">
        <v>4115</v>
      </c>
      <c r="H1276">
        <v>9.7342969999999998</v>
      </c>
      <c r="I1276">
        <v>49.112921999999998</v>
      </c>
      <c r="J1276">
        <v>110</v>
      </c>
      <c r="K1276" t="s">
        <v>535</v>
      </c>
      <c r="L1276" t="s">
        <v>535</v>
      </c>
      <c r="M1276" t="s">
        <v>535</v>
      </c>
      <c r="N1276" t="s">
        <v>535</v>
      </c>
      <c r="O1276" t="s">
        <v>535</v>
      </c>
      <c r="P1276" t="s">
        <v>262</v>
      </c>
      <c r="R1276" t="s">
        <v>5731</v>
      </c>
      <c r="T1276" t="s">
        <v>4146</v>
      </c>
      <c r="U1276" t="s">
        <v>5732</v>
      </c>
    </row>
    <row r="1277" spans="1:21" x14ac:dyDescent="0.25">
      <c r="A1277" t="s">
        <v>5733</v>
      </c>
      <c r="B1277" t="s">
        <v>22</v>
      </c>
      <c r="C1277" t="s">
        <v>5734</v>
      </c>
      <c r="D1277">
        <f t="shared" si="36"/>
        <v>-8006655851</v>
      </c>
      <c r="E1277" t="s">
        <v>5735</v>
      </c>
      <c r="F1277" t="s">
        <v>4114</v>
      </c>
      <c r="G1277" t="s">
        <v>4115</v>
      </c>
      <c r="H1277">
        <v>10.408609999999999</v>
      </c>
      <c r="I1277">
        <v>53.249130000000001</v>
      </c>
      <c r="J1277">
        <v>110</v>
      </c>
      <c r="K1277" t="s">
        <v>428</v>
      </c>
      <c r="L1277" t="s">
        <v>428</v>
      </c>
      <c r="M1277" t="s">
        <v>428</v>
      </c>
      <c r="N1277" t="s">
        <v>428</v>
      </c>
      <c r="O1277" t="s">
        <v>428</v>
      </c>
      <c r="P1277" t="s">
        <v>428</v>
      </c>
      <c r="R1277" t="s">
        <v>5734</v>
      </c>
      <c r="T1277" t="s">
        <v>4258</v>
      </c>
      <c r="U1277" t="s">
        <v>5736</v>
      </c>
    </row>
    <row r="1278" spans="1:21" x14ac:dyDescent="0.25">
      <c r="A1278" t="s">
        <v>5737</v>
      </c>
      <c r="B1278" t="s">
        <v>22</v>
      </c>
      <c r="C1278" t="s">
        <v>5738</v>
      </c>
      <c r="D1278">
        <f t="shared" si="36"/>
        <v>-8006655851</v>
      </c>
      <c r="E1278" t="s">
        <v>5739</v>
      </c>
      <c r="F1278" t="s">
        <v>4114</v>
      </c>
      <c r="G1278" t="s">
        <v>4115</v>
      </c>
      <c r="H1278">
        <v>7.4573140000000002</v>
      </c>
      <c r="I1278">
        <v>50.428519000000001</v>
      </c>
      <c r="J1278">
        <v>100</v>
      </c>
      <c r="K1278" t="s">
        <v>535</v>
      </c>
      <c r="L1278" t="s">
        <v>535</v>
      </c>
      <c r="M1278" t="s">
        <v>535</v>
      </c>
      <c r="N1278" t="s">
        <v>535</v>
      </c>
      <c r="O1278" t="s">
        <v>535</v>
      </c>
      <c r="P1278" t="s">
        <v>428</v>
      </c>
      <c r="R1278" t="s">
        <v>5738</v>
      </c>
      <c r="T1278" t="s">
        <v>4129</v>
      </c>
      <c r="U1278" t="s">
        <v>5740</v>
      </c>
    </row>
    <row r="1279" spans="1:21" x14ac:dyDescent="0.25">
      <c r="A1279" t="s">
        <v>5741</v>
      </c>
      <c r="B1279" t="s">
        <v>38</v>
      </c>
      <c r="C1279" t="s">
        <v>5742</v>
      </c>
      <c r="D1279">
        <f t="shared" si="36"/>
        <v>-8006655851</v>
      </c>
      <c r="E1279" t="s">
        <v>5743</v>
      </c>
      <c r="F1279" t="s">
        <v>4114</v>
      </c>
      <c r="G1279" t="s">
        <v>4115</v>
      </c>
      <c r="H1279">
        <v>10.889488</v>
      </c>
      <c r="I1279">
        <v>49.893782999999999</v>
      </c>
      <c r="J1279">
        <v>110</v>
      </c>
      <c r="K1279" t="s">
        <v>184</v>
      </c>
      <c r="L1279" t="s">
        <v>184</v>
      </c>
      <c r="M1279" t="s">
        <v>184</v>
      </c>
      <c r="N1279" t="s">
        <v>184</v>
      </c>
      <c r="O1279" t="s">
        <v>184</v>
      </c>
      <c r="P1279" t="s">
        <v>184</v>
      </c>
      <c r="R1279" t="s">
        <v>5744</v>
      </c>
      <c r="T1279" t="s">
        <v>4123</v>
      </c>
      <c r="U1279" t="s">
        <v>5745</v>
      </c>
    </row>
    <row r="1280" spans="1:21" x14ac:dyDescent="0.25">
      <c r="A1280" t="s">
        <v>5746</v>
      </c>
      <c r="B1280" t="s">
        <v>22</v>
      </c>
      <c r="C1280" t="s">
        <v>5747</v>
      </c>
      <c r="D1280">
        <f t="shared" si="36"/>
        <v>-8006655851</v>
      </c>
      <c r="E1280" t="s">
        <v>4242</v>
      </c>
      <c r="F1280" t="s">
        <v>4114</v>
      </c>
      <c r="G1280" t="s">
        <v>4115</v>
      </c>
      <c r="H1280">
        <v>9.1760450000000002</v>
      </c>
      <c r="I1280">
        <v>47.657578999999998</v>
      </c>
      <c r="J1280">
        <v>100</v>
      </c>
      <c r="K1280" t="s">
        <v>185</v>
      </c>
      <c r="L1280" t="s">
        <v>185</v>
      </c>
      <c r="M1280" t="s">
        <v>185</v>
      </c>
      <c r="N1280" t="s">
        <v>185</v>
      </c>
      <c r="O1280" t="s">
        <v>185</v>
      </c>
      <c r="P1280" t="s">
        <v>185</v>
      </c>
      <c r="R1280" t="s">
        <v>5748</v>
      </c>
      <c r="T1280" t="s">
        <v>4146</v>
      </c>
      <c r="U1280" t="s">
        <v>5749</v>
      </c>
    </row>
    <row r="1281" spans="1:21" x14ac:dyDescent="0.25">
      <c r="A1281" t="s">
        <v>5750</v>
      </c>
      <c r="B1281" t="s">
        <v>22</v>
      </c>
      <c r="C1281" t="s">
        <v>5751</v>
      </c>
      <c r="D1281">
        <f t="shared" si="36"/>
        <v>-8006655851</v>
      </c>
      <c r="E1281" t="s">
        <v>4266</v>
      </c>
      <c r="F1281" t="s">
        <v>4114</v>
      </c>
      <c r="G1281" t="s">
        <v>4115</v>
      </c>
      <c r="H1281">
        <v>13.197423000000001</v>
      </c>
      <c r="I1281">
        <v>52.533790000000003</v>
      </c>
      <c r="J1281">
        <v>100</v>
      </c>
      <c r="K1281" t="s">
        <v>45</v>
      </c>
      <c r="L1281" t="s">
        <v>45</v>
      </c>
      <c r="M1281" t="s">
        <v>45</v>
      </c>
      <c r="N1281" t="s">
        <v>45</v>
      </c>
      <c r="O1281" t="s">
        <v>45</v>
      </c>
      <c r="P1281" t="s">
        <v>45</v>
      </c>
      <c r="R1281" t="s">
        <v>5752</v>
      </c>
      <c r="T1281" t="s">
        <v>4278</v>
      </c>
      <c r="U1281" t="s">
        <v>5753</v>
      </c>
    </row>
    <row r="1282" spans="1:21" x14ac:dyDescent="0.25">
      <c r="A1282" t="s">
        <v>5754</v>
      </c>
      <c r="B1282" t="s">
        <v>22</v>
      </c>
      <c r="C1282" t="s">
        <v>5755</v>
      </c>
      <c r="D1282">
        <f t="shared" si="36"/>
        <v>-8006655851</v>
      </c>
      <c r="E1282" t="s">
        <v>5756</v>
      </c>
      <c r="F1282" t="s">
        <v>4114</v>
      </c>
      <c r="G1282" t="s">
        <v>4115</v>
      </c>
      <c r="H1282">
        <v>6.6176050000000002</v>
      </c>
      <c r="I1282">
        <v>51.657395999999999</v>
      </c>
      <c r="J1282">
        <v>100</v>
      </c>
      <c r="K1282" t="s">
        <v>535</v>
      </c>
      <c r="L1282" t="s">
        <v>535</v>
      </c>
      <c r="M1282" t="s">
        <v>535</v>
      </c>
      <c r="N1282" t="s">
        <v>535</v>
      </c>
      <c r="O1282" t="s">
        <v>535</v>
      </c>
      <c r="P1282" t="s">
        <v>428</v>
      </c>
      <c r="R1282" t="s">
        <v>5755</v>
      </c>
      <c r="T1282" t="s">
        <v>4117</v>
      </c>
      <c r="U1282" t="s">
        <v>5757</v>
      </c>
    </row>
    <row r="1283" spans="1:21" x14ac:dyDescent="0.25">
      <c r="A1283" t="s">
        <v>5758</v>
      </c>
      <c r="B1283" t="s">
        <v>22</v>
      </c>
      <c r="C1283" t="s">
        <v>5759</v>
      </c>
      <c r="D1283">
        <f t="shared" si="36"/>
        <v>-8006655851</v>
      </c>
      <c r="E1283" t="s">
        <v>5760</v>
      </c>
      <c r="F1283" t="s">
        <v>4114</v>
      </c>
      <c r="G1283" t="s">
        <v>4115</v>
      </c>
      <c r="H1283">
        <v>10.093429</v>
      </c>
      <c r="I1283">
        <v>48.836807</v>
      </c>
      <c r="J1283">
        <v>100</v>
      </c>
      <c r="K1283" t="s">
        <v>535</v>
      </c>
      <c r="L1283" t="s">
        <v>535</v>
      </c>
      <c r="M1283" t="s">
        <v>535</v>
      </c>
      <c r="N1283" t="s">
        <v>535</v>
      </c>
      <c r="O1283" t="s">
        <v>535</v>
      </c>
      <c r="P1283" t="s">
        <v>428</v>
      </c>
      <c r="R1283" t="s">
        <v>5761</v>
      </c>
      <c r="T1283" t="s">
        <v>4146</v>
      </c>
      <c r="U1283" t="s">
        <v>5762</v>
      </c>
    </row>
    <row r="1284" spans="1:21" x14ac:dyDescent="0.25">
      <c r="A1284" t="s">
        <v>5763</v>
      </c>
      <c r="B1284" t="s">
        <v>38</v>
      </c>
      <c r="C1284" t="s">
        <v>5764</v>
      </c>
      <c r="D1284">
        <f t="shared" si="36"/>
        <v>-8006655851</v>
      </c>
      <c r="E1284" t="s">
        <v>5765</v>
      </c>
      <c r="F1284" t="s">
        <v>4114</v>
      </c>
      <c r="G1284" t="s">
        <v>4115</v>
      </c>
      <c r="H1284">
        <v>7.0976840000000001</v>
      </c>
      <c r="I1284">
        <v>51.653686999999998</v>
      </c>
      <c r="J1284">
        <v>100</v>
      </c>
      <c r="K1284" t="s">
        <v>535</v>
      </c>
      <c r="L1284" t="s">
        <v>535</v>
      </c>
      <c r="M1284" t="s">
        <v>535</v>
      </c>
      <c r="N1284" t="s">
        <v>535</v>
      </c>
      <c r="O1284" t="s">
        <v>535</v>
      </c>
      <c r="P1284" t="s">
        <v>428</v>
      </c>
      <c r="R1284" t="s">
        <v>5766</v>
      </c>
      <c r="T1284" t="s">
        <v>4117</v>
      </c>
      <c r="U1284" t="s">
        <v>5767</v>
      </c>
    </row>
    <row r="1285" spans="1:21" x14ac:dyDescent="0.25">
      <c r="A1285" t="s">
        <v>5768</v>
      </c>
      <c r="B1285" t="s">
        <v>22</v>
      </c>
      <c r="C1285" t="s">
        <v>5769</v>
      </c>
      <c r="D1285">
        <f t="shared" si="36"/>
        <v>-8006655851</v>
      </c>
      <c r="E1285" t="s">
        <v>5770</v>
      </c>
      <c r="F1285" t="s">
        <v>4114</v>
      </c>
      <c r="G1285" t="s">
        <v>4115</v>
      </c>
      <c r="H1285">
        <v>9.3017214735411908</v>
      </c>
      <c r="I1285">
        <v>48.7403482922509</v>
      </c>
      <c r="J1285">
        <v>100</v>
      </c>
      <c r="K1285" t="s">
        <v>185</v>
      </c>
      <c r="L1285" t="s">
        <v>185</v>
      </c>
      <c r="M1285" t="s">
        <v>185</v>
      </c>
      <c r="N1285" t="s">
        <v>185</v>
      </c>
      <c r="O1285" t="s">
        <v>185</v>
      </c>
      <c r="P1285" t="s">
        <v>192</v>
      </c>
      <c r="R1285" t="s">
        <v>5771</v>
      </c>
      <c r="T1285" t="s">
        <v>4146</v>
      </c>
      <c r="U1285" t="s">
        <v>5772</v>
      </c>
    </row>
    <row r="1286" spans="1:21" x14ac:dyDescent="0.25">
      <c r="A1286" t="s">
        <v>5773</v>
      </c>
      <c r="B1286" t="s">
        <v>22</v>
      </c>
      <c r="C1286" t="s">
        <v>5774</v>
      </c>
      <c r="D1286">
        <f t="shared" si="36"/>
        <v>-8006655851</v>
      </c>
      <c r="E1286" t="s">
        <v>5775</v>
      </c>
      <c r="F1286" t="s">
        <v>4114</v>
      </c>
      <c r="G1286" t="s">
        <v>4115</v>
      </c>
      <c r="H1286">
        <v>10.786559</v>
      </c>
      <c r="I1286">
        <v>52.421945999999998</v>
      </c>
      <c r="J1286">
        <v>100</v>
      </c>
      <c r="K1286" t="s">
        <v>535</v>
      </c>
      <c r="L1286" t="s">
        <v>535</v>
      </c>
      <c r="M1286" t="s">
        <v>535</v>
      </c>
      <c r="N1286" t="s">
        <v>535</v>
      </c>
      <c r="O1286" t="s">
        <v>535</v>
      </c>
      <c r="P1286" t="s">
        <v>535</v>
      </c>
      <c r="R1286" t="s">
        <v>5774</v>
      </c>
      <c r="T1286" t="s">
        <v>4258</v>
      </c>
      <c r="U1286" t="s">
        <v>5776</v>
      </c>
    </row>
    <row r="1287" spans="1:21" x14ac:dyDescent="0.25">
      <c r="A1287" t="s">
        <v>5777</v>
      </c>
      <c r="B1287" t="s">
        <v>22</v>
      </c>
      <c r="C1287" t="s">
        <v>5778</v>
      </c>
      <c r="D1287">
        <f t="shared" si="36"/>
        <v>-8006655851</v>
      </c>
      <c r="E1287" t="s">
        <v>4287</v>
      </c>
      <c r="F1287" t="s">
        <v>4114</v>
      </c>
      <c r="G1287" t="s">
        <v>4115</v>
      </c>
      <c r="H1287">
        <v>11.074223</v>
      </c>
      <c r="I1287">
        <v>49.450918999999999</v>
      </c>
      <c r="J1287">
        <v>110</v>
      </c>
      <c r="K1287" t="s">
        <v>45</v>
      </c>
      <c r="L1287" t="s">
        <v>45</v>
      </c>
      <c r="M1287" t="s">
        <v>45</v>
      </c>
      <c r="N1287" t="s">
        <v>45</v>
      </c>
      <c r="O1287" t="s">
        <v>45</v>
      </c>
      <c r="P1287" t="s">
        <v>45</v>
      </c>
      <c r="R1287" t="s">
        <v>5779</v>
      </c>
      <c r="T1287" t="s">
        <v>4123</v>
      </c>
      <c r="U1287" t="s">
        <v>5780</v>
      </c>
    </row>
    <row r="1288" spans="1:21" x14ac:dyDescent="0.25">
      <c r="A1288" t="s">
        <v>5781</v>
      </c>
      <c r="B1288" t="s">
        <v>38</v>
      </c>
      <c r="C1288" t="s">
        <v>5782</v>
      </c>
      <c r="D1288">
        <f t="shared" si="36"/>
        <v>-8006655851</v>
      </c>
      <c r="E1288" t="s">
        <v>5783</v>
      </c>
      <c r="F1288" t="s">
        <v>4114</v>
      </c>
      <c r="G1288" t="s">
        <v>4115</v>
      </c>
      <c r="H1288">
        <v>11.459856</v>
      </c>
      <c r="I1288">
        <v>49.278643000000002</v>
      </c>
      <c r="J1288">
        <v>110</v>
      </c>
      <c r="K1288" t="s">
        <v>535</v>
      </c>
      <c r="L1288" t="s">
        <v>535</v>
      </c>
      <c r="M1288" t="s">
        <v>535</v>
      </c>
      <c r="N1288" t="s">
        <v>535</v>
      </c>
      <c r="O1288" t="s">
        <v>535</v>
      </c>
      <c r="P1288" t="s">
        <v>262</v>
      </c>
      <c r="R1288" t="s">
        <v>5782</v>
      </c>
      <c r="U1288" t="s">
        <v>5784</v>
      </c>
    </row>
    <row r="1289" spans="1:21" x14ac:dyDescent="0.25">
      <c r="A1289" t="s">
        <v>5785</v>
      </c>
      <c r="B1289" t="s">
        <v>22</v>
      </c>
      <c r="C1289" t="s">
        <v>5786</v>
      </c>
      <c r="D1289">
        <f t="shared" ref="D1289:D1299" si="37">45-70212200</f>
        <v>-70212155</v>
      </c>
      <c r="E1289" t="s">
        <v>5787</v>
      </c>
      <c r="F1289" t="s">
        <v>5788</v>
      </c>
      <c r="G1289" t="s">
        <v>5789</v>
      </c>
      <c r="H1289">
        <v>12.5784834999999</v>
      </c>
      <c r="I1289">
        <v>55.680577799999902</v>
      </c>
      <c r="J1289">
        <v>100</v>
      </c>
      <c r="K1289" t="s">
        <v>535</v>
      </c>
      <c r="L1289" t="s">
        <v>535</v>
      </c>
      <c r="M1289" t="s">
        <v>535</v>
      </c>
      <c r="N1289" t="s">
        <v>535</v>
      </c>
      <c r="O1289" t="s">
        <v>535</v>
      </c>
      <c r="P1289" t="s">
        <v>428</v>
      </c>
      <c r="Q1289" t="s">
        <v>1034</v>
      </c>
      <c r="R1289" t="s">
        <v>5786</v>
      </c>
      <c r="U1289" t="s">
        <v>5790</v>
      </c>
    </row>
    <row r="1290" spans="1:21" x14ac:dyDescent="0.25">
      <c r="A1290" t="s">
        <v>5791</v>
      </c>
      <c r="B1290" t="s">
        <v>22</v>
      </c>
      <c r="C1290" t="s">
        <v>5792</v>
      </c>
      <c r="D1290">
        <f t="shared" si="37"/>
        <v>-70212155</v>
      </c>
      <c r="E1290" t="s">
        <v>5793</v>
      </c>
      <c r="F1290" t="s">
        <v>5788</v>
      </c>
      <c r="G1290" t="s">
        <v>5789</v>
      </c>
      <c r="H1290">
        <v>12.575792</v>
      </c>
      <c r="I1290">
        <v>55.630980999999998</v>
      </c>
      <c r="J1290">
        <v>100</v>
      </c>
      <c r="K1290" t="s">
        <v>45</v>
      </c>
      <c r="L1290" t="s">
        <v>45</v>
      </c>
      <c r="M1290" t="s">
        <v>45</v>
      </c>
      <c r="N1290" t="s">
        <v>45</v>
      </c>
      <c r="O1290" t="s">
        <v>45</v>
      </c>
      <c r="P1290" t="s">
        <v>45</v>
      </c>
      <c r="Q1290" t="s">
        <v>45</v>
      </c>
      <c r="R1290" t="s">
        <v>5794</v>
      </c>
      <c r="U1290" t="s">
        <v>5795</v>
      </c>
    </row>
    <row r="1291" spans="1:21" x14ac:dyDescent="0.25">
      <c r="A1291" t="s">
        <v>5796</v>
      </c>
      <c r="B1291" t="s">
        <v>22</v>
      </c>
      <c r="C1291" t="s">
        <v>5797</v>
      </c>
      <c r="D1291">
        <f t="shared" si="37"/>
        <v>-70212155</v>
      </c>
      <c r="E1291" t="s">
        <v>5798</v>
      </c>
      <c r="F1291" t="s">
        <v>5788</v>
      </c>
      <c r="G1291" t="s">
        <v>5789</v>
      </c>
      <c r="H1291">
        <v>9.5317232608795202</v>
      </c>
      <c r="I1291">
        <v>55.705262925554301</v>
      </c>
      <c r="J1291">
        <v>100</v>
      </c>
      <c r="K1291" t="s">
        <v>535</v>
      </c>
      <c r="L1291" t="s">
        <v>535</v>
      </c>
      <c r="M1291" t="s">
        <v>535</v>
      </c>
      <c r="N1291" t="s">
        <v>535</v>
      </c>
      <c r="O1291" t="s">
        <v>535</v>
      </c>
      <c r="P1291" t="s">
        <v>622</v>
      </c>
      <c r="Q1291" t="s">
        <v>622</v>
      </c>
      <c r="R1291" t="s">
        <v>5799</v>
      </c>
      <c r="U1291" t="s">
        <v>5800</v>
      </c>
    </row>
    <row r="1292" spans="1:21" x14ac:dyDescent="0.25">
      <c r="A1292" t="s">
        <v>5801</v>
      </c>
      <c r="B1292" t="s">
        <v>22</v>
      </c>
      <c r="C1292" t="s">
        <v>5802</v>
      </c>
      <c r="D1292">
        <f t="shared" si="37"/>
        <v>-70212155</v>
      </c>
      <c r="E1292" t="s">
        <v>5803</v>
      </c>
      <c r="F1292" t="s">
        <v>5788</v>
      </c>
      <c r="G1292" t="s">
        <v>5789</v>
      </c>
      <c r="H1292">
        <v>12.185211000000001</v>
      </c>
      <c r="I1292">
        <v>55.456923000000003</v>
      </c>
      <c r="J1292">
        <v>100</v>
      </c>
      <c r="K1292" t="s">
        <v>535</v>
      </c>
      <c r="L1292" t="s">
        <v>535</v>
      </c>
      <c r="M1292" t="s">
        <v>535</v>
      </c>
      <c r="N1292" t="s">
        <v>535</v>
      </c>
      <c r="O1292" t="s">
        <v>535</v>
      </c>
      <c r="P1292" t="s">
        <v>622</v>
      </c>
      <c r="Q1292" t="s">
        <v>622</v>
      </c>
      <c r="R1292" t="s">
        <v>5802</v>
      </c>
      <c r="U1292" t="s">
        <v>5804</v>
      </c>
    </row>
    <row r="1293" spans="1:21" x14ac:dyDescent="0.25">
      <c r="A1293" t="s">
        <v>5805</v>
      </c>
      <c r="B1293" t="s">
        <v>22</v>
      </c>
      <c r="C1293" t="s">
        <v>5806</v>
      </c>
      <c r="D1293">
        <f t="shared" si="37"/>
        <v>-70212155</v>
      </c>
      <c r="E1293" t="s">
        <v>5807</v>
      </c>
      <c r="F1293" t="s">
        <v>5788</v>
      </c>
      <c r="G1293" t="s">
        <v>5789</v>
      </c>
      <c r="H1293">
        <v>8.4592026999999899</v>
      </c>
      <c r="I1293">
        <v>55.465137599999998</v>
      </c>
      <c r="J1293">
        <v>100</v>
      </c>
      <c r="K1293" t="s">
        <v>535</v>
      </c>
      <c r="L1293" t="s">
        <v>535</v>
      </c>
      <c r="M1293" t="s">
        <v>535</v>
      </c>
      <c r="N1293" t="s">
        <v>535</v>
      </c>
      <c r="O1293" t="s">
        <v>535</v>
      </c>
      <c r="P1293" t="s">
        <v>553</v>
      </c>
      <c r="Q1293" t="s">
        <v>553</v>
      </c>
      <c r="R1293" t="s">
        <v>5808</v>
      </c>
      <c r="U1293" t="s">
        <v>5809</v>
      </c>
    </row>
    <row r="1294" spans="1:21" x14ac:dyDescent="0.25">
      <c r="A1294" t="s">
        <v>5810</v>
      </c>
      <c r="B1294" t="s">
        <v>22</v>
      </c>
      <c r="C1294" t="s">
        <v>5811</v>
      </c>
      <c r="D1294">
        <f t="shared" si="37"/>
        <v>-70212155</v>
      </c>
      <c r="E1294" t="s">
        <v>5812</v>
      </c>
      <c r="F1294" t="s">
        <v>5788</v>
      </c>
      <c r="G1294" t="s">
        <v>5789</v>
      </c>
      <c r="H1294">
        <v>9.9910926</v>
      </c>
      <c r="I1294">
        <v>57.4580938</v>
      </c>
      <c r="J1294">
        <v>100</v>
      </c>
      <c r="K1294" t="s">
        <v>535</v>
      </c>
      <c r="L1294" t="s">
        <v>535</v>
      </c>
      <c r="M1294" t="s">
        <v>535</v>
      </c>
      <c r="N1294" t="s">
        <v>535</v>
      </c>
      <c r="O1294" t="s">
        <v>535</v>
      </c>
      <c r="P1294" t="s">
        <v>622</v>
      </c>
      <c r="R1294" t="s">
        <v>5813</v>
      </c>
      <c r="U1294" t="s">
        <v>5814</v>
      </c>
    </row>
    <row r="1295" spans="1:21" x14ac:dyDescent="0.25">
      <c r="A1295" t="s">
        <v>5815</v>
      </c>
      <c r="B1295" t="s">
        <v>22</v>
      </c>
      <c r="C1295" t="s">
        <v>5816</v>
      </c>
      <c r="D1295">
        <f t="shared" si="37"/>
        <v>-70212155</v>
      </c>
      <c r="E1295" t="s">
        <v>5817</v>
      </c>
      <c r="F1295" t="s">
        <v>5788</v>
      </c>
      <c r="G1295" t="s">
        <v>5789</v>
      </c>
      <c r="H1295">
        <v>11.354712999999901</v>
      </c>
      <c r="I1295">
        <v>55.404876999999999</v>
      </c>
      <c r="J1295">
        <v>100</v>
      </c>
      <c r="K1295" t="s">
        <v>428</v>
      </c>
      <c r="L1295" t="s">
        <v>428</v>
      </c>
      <c r="M1295" t="s">
        <v>428</v>
      </c>
      <c r="N1295" t="s">
        <v>428</v>
      </c>
      <c r="O1295" t="s">
        <v>428</v>
      </c>
      <c r="P1295" t="s">
        <v>622</v>
      </c>
      <c r="Q1295" t="s">
        <v>5818</v>
      </c>
      <c r="R1295" t="s">
        <v>5819</v>
      </c>
      <c r="U1295" t="s">
        <v>5820</v>
      </c>
    </row>
    <row r="1296" spans="1:21" x14ac:dyDescent="0.25">
      <c r="A1296" t="s">
        <v>5821</v>
      </c>
      <c r="B1296" t="s">
        <v>38</v>
      </c>
      <c r="C1296" t="s">
        <v>5822</v>
      </c>
      <c r="D1296">
        <f t="shared" si="37"/>
        <v>-70212155</v>
      </c>
      <c r="E1296" t="s">
        <v>5823</v>
      </c>
      <c r="F1296" t="s">
        <v>5788</v>
      </c>
      <c r="G1296" t="s">
        <v>5789</v>
      </c>
      <c r="H1296">
        <v>12.449334</v>
      </c>
      <c r="I1296">
        <v>55.718255999999997</v>
      </c>
      <c r="J1296">
        <v>100</v>
      </c>
      <c r="K1296" t="s">
        <v>535</v>
      </c>
      <c r="L1296" t="s">
        <v>535</v>
      </c>
      <c r="M1296" t="s">
        <v>535</v>
      </c>
      <c r="N1296" t="s">
        <v>535</v>
      </c>
      <c r="O1296" t="s">
        <v>535</v>
      </c>
      <c r="P1296" t="s">
        <v>553</v>
      </c>
      <c r="Q1296" t="s">
        <v>553</v>
      </c>
      <c r="R1296" t="s">
        <v>5824</v>
      </c>
      <c r="U1296" t="s">
        <v>5825</v>
      </c>
    </row>
    <row r="1297" spans="1:21" x14ac:dyDescent="0.25">
      <c r="A1297" t="s">
        <v>5826</v>
      </c>
      <c r="B1297" t="s">
        <v>22</v>
      </c>
      <c r="C1297" t="s">
        <v>5827</v>
      </c>
      <c r="D1297">
        <f t="shared" si="37"/>
        <v>-70212155</v>
      </c>
      <c r="E1297" t="s">
        <v>5828</v>
      </c>
      <c r="F1297" t="s">
        <v>5788</v>
      </c>
      <c r="G1297" t="s">
        <v>5789</v>
      </c>
      <c r="H1297">
        <v>9.9263834953308105</v>
      </c>
      <c r="I1297">
        <v>57.047663481963902</v>
      </c>
      <c r="J1297">
        <v>100</v>
      </c>
      <c r="K1297" t="s">
        <v>535</v>
      </c>
      <c r="L1297" t="s">
        <v>535</v>
      </c>
      <c r="M1297" t="s">
        <v>535</v>
      </c>
      <c r="N1297" t="s">
        <v>535</v>
      </c>
      <c r="O1297" t="s">
        <v>535</v>
      </c>
      <c r="P1297" t="s">
        <v>553</v>
      </c>
      <c r="Q1297" t="s">
        <v>553</v>
      </c>
      <c r="R1297" t="s">
        <v>5829</v>
      </c>
      <c r="U1297" t="s">
        <v>5830</v>
      </c>
    </row>
    <row r="1298" spans="1:21" x14ac:dyDescent="0.25">
      <c r="A1298" t="s">
        <v>5831</v>
      </c>
      <c r="B1298" t="s">
        <v>22</v>
      </c>
      <c r="C1298" t="s">
        <v>5832</v>
      </c>
      <c r="D1298">
        <f t="shared" si="37"/>
        <v>-70212155</v>
      </c>
      <c r="E1298" t="s">
        <v>5807</v>
      </c>
      <c r="F1298" t="s">
        <v>5788</v>
      </c>
      <c r="G1298" t="s">
        <v>5789</v>
      </c>
      <c r="H1298">
        <v>8.4475741857425</v>
      </c>
      <c r="I1298">
        <v>55.508260270670903</v>
      </c>
      <c r="J1298">
        <v>100</v>
      </c>
      <c r="K1298" t="s">
        <v>535</v>
      </c>
      <c r="L1298" t="s">
        <v>535</v>
      </c>
      <c r="M1298" t="s">
        <v>535</v>
      </c>
      <c r="N1298" t="s">
        <v>535</v>
      </c>
      <c r="O1298" t="s">
        <v>535</v>
      </c>
      <c r="P1298" t="s">
        <v>622</v>
      </c>
      <c r="R1298" t="s">
        <v>5833</v>
      </c>
      <c r="U1298" t="s">
        <v>5834</v>
      </c>
    </row>
    <row r="1299" spans="1:21" x14ac:dyDescent="0.25">
      <c r="A1299" t="s">
        <v>5835</v>
      </c>
      <c r="B1299" t="s">
        <v>22</v>
      </c>
      <c r="C1299" t="s">
        <v>5836</v>
      </c>
      <c r="D1299">
        <f t="shared" si="37"/>
        <v>-70212155</v>
      </c>
      <c r="E1299" t="s">
        <v>5837</v>
      </c>
      <c r="F1299" t="s">
        <v>5788</v>
      </c>
      <c r="G1299" t="s">
        <v>5789</v>
      </c>
      <c r="H1299">
        <v>11.8727346891325</v>
      </c>
      <c r="I1299">
        <v>54.7660842965022</v>
      </c>
      <c r="J1299">
        <v>100</v>
      </c>
      <c r="K1299" t="s">
        <v>659</v>
      </c>
      <c r="L1299" t="s">
        <v>659</v>
      </c>
      <c r="M1299" t="s">
        <v>659</v>
      </c>
      <c r="N1299" t="s">
        <v>659</v>
      </c>
      <c r="O1299" t="s">
        <v>428</v>
      </c>
      <c r="P1299" t="s">
        <v>5838</v>
      </c>
      <c r="R1299" t="s">
        <v>5836</v>
      </c>
      <c r="U1299" t="s">
        <v>5839</v>
      </c>
    </row>
    <row r="1300" spans="1:21" x14ac:dyDescent="0.25">
      <c r="A1300" t="s">
        <v>5840</v>
      </c>
      <c r="B1300" t="s">
        <v>38</v>
      </c>
      <c r="C1300" t="s">
        <v>5841</v>
      </c>
      <c r="E1300" t="s">
        <v>5828</v>
      </c>
      <c r="F1300" t="s">
        <v>5788</v>
      </c>
      <c r="G1300" t="s">
        <v>5789</v>
      </c>
      <c r="H1300">
        <v>9.9188650000000003</v>
      </c>
      <c r="I1300">
        <v>57.042374000000002</v>
      </c>
      <c r="J1300">
        <v>100</v>
      </c>
      <c r="K1300" t="s">
        <v>166</v>
      </c>
      <c r="L1300" t="s">
        <v>166</v>
      </c>
      <c r="M1300" t="s">
        <v>166</v>
      </c>
      <c r="N1300" t="s">
        <v>166</v>
      </c>
      <c r="O1300" t="s">
        <v>166</v>
      </c>
      <c r="P1300" t="s">
        <v>5842</v>
      </c>
      <c r="R1300" t="s">
        <v>5841</v>
      </c>
      <c r="U1300" t="s">
        <v>5843</v>
      </c>
    </row>
    <row r="1301" spans="1:21" x14ac:dyDescent="0.25">
      <c r="A1301" t="s">
        <v>5844</v>
      </c>
      <c r="B1301" t="s">
        <v>38</v>
      </c>
      <c r="C1301" t="s">
        <v>5845</v>
      </c>
      <c r="D1301">
        <f t="shared" ref="D1301:D1348" si="38">45-70212200</f>
        <v>-70212155</v>
      </c>
      <c r="E1301" t="s">
        <v>5846</v>
      </c>
      <c r="F1301" t="s">
        <v>5788</v>
      </c>
      <c r="G1301" t="s">
        <v>5789</v>
      </c>
      <c r="H1301">
        <v>9.7363839999999993</v>
      </c>
      <c r="I1301">
        <v>55.504423000000003</v>
      </c>
      <c r="J1301">
        <v>100</v>
      </c>
      <c r="K1301" t="s">
        <v>659</v>
      </c>
      <c r="L1301" t="s">
        <v>659</v>
      </c>
      <c r="M1301" t="s">
        <v>659</v>
      </c>
      <c r="N1301" t="s">
        <v>659</v>
      </c>
      <c r="O1301" t="s">
        <v>428</v>
      </c>
      <c r="P1301" t="s">
        <v>5838</v>
      </c>
      <c r="R1301" t="s">
        <v>5845</v>
      </c>
      <c r="U1301" t="s">
        <v>5847</v>
      </c>
    </row>
    <row r="1302" spans="1:21" x14ac:dyDescent="0.25">
      <c r="A1302" t="s">
        <v>5848</v>
      </c>
      <c r="B1302" t="s">
        <v>22</v>
      </c>
      <c r="C1302" t="s">
        <v>5849</v>
      </c>
      <c r="D1302">
        <f t="shared" si="38"/>
        <v>-70212155</v>
      </c>
      <c r="E1302" t="s">
        <v>5850</v>
      </c>
      <c r="F1302" t="s">
        <v>5788</v>
      </c>
      <c r="G1302" t="s">
        <v>5789</v>
      </c>
      <c r="H1302">
        <v>12.2997703999999</v>
      </c>
      <c r="I1302">
        <v>55.930075299999999</v>
      </c>
      <c r="J1302">
        <v>100</v>
      </c>
      <c r="K1302" t="s">
        <v>535</v>
      </c>
      <c r="L1302" t="s">
        <v>535</v>
      </c>
      <c r="M1302" t="s">
        <v>535</v>
      </c>
      <c r="N1302" t="s">
        <v>535</v>
      </c>
      <c r="O1302" t="s">
        <v>535</v>
      </c>
      <c r="P1302" t="s">
        <v>553</v>
      </c>
      <c r="Q1302" t="s">
        <v>553</v>
      </c>
      <c r="R1302" t="s">
        <v>5849</v>
      </c>
      <c r="U1302" t="s">
        <v>5851</v>
      </c>
    </row>
    <row r="1303" spans="1:21" x14ac:dyDescent="0.25">
      <c r="A1303" t="s">
        <v>5852</v>
      </c>
      <c r="B1303" t="s">
        <v>38</v>
      </c>
      <c r="C1303" t="s">
        <v>5853</v>
      </c>
      <c r="D1303">
        <f t="shared" si="38"/>
        <v>-70212155</v>
      </c>
      <c r="E1303" t="s">
        <v>5854</v>
      </c>
      <c r="F1303" t="s">
        <v>5788</v>
      </c>
      <c r="G1303" t="s">
        <v>5789</v>
      </c>
      <c r="H1303">
        <v>8.8671466000000692</v>
      </c>
      <c r="I1303">
        <v>54.9348022</v>
      </c>
      <c r="J1303">
        <v>100</v>
      </c>
      <c r="K1303" t="s">
        <v>659</v>
      </c>
      <c r="L1303" t="s">
        <v>659</v>
      </c>
      <c r="M1303" t="s">
        <v>659</v>
      </c>
      <c r="N1303" t="s">
        <v>659</v>
      </c>
      <c r="O1303" t="s">
        <v>659</v>
      </c>
      <c r="P1303" t="s">
        <v>5838</v>
      </c>
      <c r="R1303" t="s">
        <v>5853</v>
      </c>
      <c r="U1303" t="s">
        <v>5855</v>
      </c>
    </row>
    <row r="1304" spans="1:21" x14ac:dyDescent="0.25">
      <c r="A1304" t="s">
        <v>5856</v>
      </c>
      <c r="B1304" t="s">
        <v>38</v>
      </c>
      <c r="C1304" t="s">
        <v>5857</v>
      </c>
      <c r="D1304">
        <f t="shared" si="38"/>
        <v>-70212155</v>
      </c>
      <c r="E1304" t="s">
        <v>5858</v>
      </c>
      <c r="F1304" t="s">
        <v>5788</v>
      </c>
      <c r="G1304" t="s">
        <v>5789</v>
      </c>
      <c r="H1304">
        <v>11.138419499999999</v>
      </c>
      <c r="I1304">
        <v>54.829741800000001</v>
      </c>
      <c r="J1304">
        <v>100</v>
      </c>
      <c r="K1304" t="s">
        <v>553</v>
      </c>
      <c r="L1304" t="s">
        <v>553</v>
      </c>
      <c r="M1304" t="s">
        <v>553</v>
      </c>
      <c r="N1304" t="s">
        <v>553</v>
      </c>
      <c r="O1304" t="s">
        <v>428</v>
      </c>
      <c r="P1304" t="s">
        <v>5859</v>
      </c>
      <c r="R1304" t="s">
        <v>5857</v>
      </c>
      <c r="U1304" t="s">
        <v>5860</v>
      </c>
    </row>
    <row r="1305" spans="1:21" x14ac:dyDescent="0.25">
      <c r="A1305" t="s">
        <v>5861</v>
      </c>
      <c r="B1305" t="s">
        <v>22</v>
      </c>
      <c r="C1305" t="s">
        <v>5862</v>
      </c>
      <c r="D1305">
        <f t="shared" si="38"/>
        <v>-70212155</v>
      </c>
      <c r="E1305" t="s">
        <v>5863</v>
      </c>
      <c r="F1305" t="s">
        <v>5788</v>
      </c>
      <c r="G1305" t="s">
        <v>5789</v>
      </c>
      <c r="H1305">
        <v>12.493445398804401</v>
      </c>
      <c r="I1305">
        <v>55.687685303676403</v>
      </c>
      <c r="J1305">
        <v>100</v>
      </c>
      <c r="K1305" t="s">
        <v>535</v>
      </c>
      <c r="L1305" t="s">
        <v>535</v>
      </c>
      <c r="M1305" t="s">
        <v>535</v>
      </c>
      <c r="N1305" t="s">
        <v>535</v>
      </c>
      <c r="O1305" t="s">
        <v>535</v>
      </c>
      <c r="P1305" t="s">
        <v>553</v>
      </c>
      <c r="Q1305" t="s">
        <v>553</v>
      </c>
      <c r="R1305" t="s">
        <v>5864</v>
      </c>
      <c r="U1305" t="s">
        <v>5865</v>
      </c>
    </row>
    <row r="1306" spans="1:21" x14ac:dyDescent="0.25">
      <c r="A1306" t="s">
        <v>5866</v>
      </c>
      <c r="B1306" t="s">
        <v>38</v>
      </c>
      <c r="C1306" t="s">
        <v>5867</v>
      </c>
      <c r="D1306">
        <f t="shared" si="38"/>
        <v>-70212155</v>
      </c>
      <c r="E1306" t="s">
        <v>5868</v>
      </c>
      <c r="F1306" t="s">
        <v>5788</v>
      </c>
      <c r="G1306" t="s">
        <v>5789</v>
      </c>
      <c r="H1306">
        <v>10.790956</v>
      </c>
      <c r="I1306">
        <v>55.312441</v>
      </c>
      <c r="J1306">
        <v>100</v>
      </c>
      <c r="K1306" t="s">
        <v>659</v>
      </c>
      <c r="L1306" t="s">
        <v>659</v>
      </c>
      <c r="M1306" t="s">
        <v>659</v>
      </c>
      <c r="N1306" t="s">
        <v>659</v>
      </c>
      <c r="O1306" t="s">
        <v>428</v>
      </c>
      <c r="P1306" t="s">
        <v>5838</v>
      </c>
      <c r="R1306" t="s">
        <v>5867</v>
      </c>
      <c r="U1306" t="s">
        <v>5869</v>
      </c>
    </row>
    <row r="1307" spans="1:21" x14ac:dyDescent="0.25">
      <c r="A1307" t="s">
        <v>5870</v>
      </c>
      <c r="B1307" t="s">
        <v>22</v>
      </c>
      <c r="C1307" t="s">
        <v>5871</v>
      </c>
      <c r="D1307">
        <f t="shared" si="38"/>
        <v>-70212155</v>
      </c>
      <c r="E1307" t="s">
        <v>5872</v>
      </c>
      <c r="F1307" t="s">
        <v>5788</v>
      </c>
      <c r="G1307" t="s">
        <v>5789</v>
      </c>
      <c r="H1307">
        <v>11.715535999999901</v>
      </c>
      <c r="I1307">
        <v>55.7169544999999</v>
      </c>
      <c r="J1307">
        <v>100</v>
      </c>
      <c r="K1307" t="s">
        <v>659</v>
      </c>
      <c r="L1307" t="s">
        <v>659</v>
      </c>
      <c r="M1307" t="s">
        <v>659</v>
      </c>
      <c r="N1307" t="s">
        <v>428</v>
      </c>
      <c r="O1307" t="s">
        <v>428</v>
      </c>
      <c r="P1307" t="s">
        <v>5873</v>
      </c>
      <c r="R1307" t="s">
        <v>5874</v>
      </c>
      <c r="U1307" t="s">
        <v>5875</v>
      </c>
    </row>
    <row r="1308" spans="1:21" x14ac:dyDescent="0.25">
      <c r="A1308" t="s">
        <v>5876</v>
      </c>
      <c r="B1308" t="s">
        <v>38</v>
      </c>
      <c r="C1308" t="s">
        <v>5877</v>
      </c>
      <c r="D1308">
        <f t="shared" si="38"/>
        <v>-70212155</v>
      </c>
      <c r="E1308" t="s">
        <v>5878</v>
      </c>
      <c r="F1308" t="s">
        <v>5788</v>
      </c>
      <c r="G1308" t="s">
        <v>5789</v>
      </c>
      <c r="H1308">
        <v>11.090621000000001</v>
      </c>
      <c r="I1308">
        <v>55.679983999999997</v>
      </c>
      <c r="J1308">
        <v>100</v>
      </c>
      <c r="K1308" t="s">
        <v>659</v>
      </c>
      <c r="L1308" t="s">
        <v>659</v>
      </c>
      <c r="M1308" t="s">
        <v>659</v>
      </c>
      <c r="N1308" t="s">
        <v>659</v>
      </c>
      <c r="O1308" t="s">
        <v>428</v>
      </c>
      <c r="P1308" t="s">
        <v>5838</v>
      </c>
      <c r="R1308" t="s">
        <v>5877</v>
      </c>
      <c r="U1308" t="s">
        <v>5879</v>
      </c>
    </row>
    <row r="1309" spans="1:21" x14ac:dyDescent="0.25">
      <c r="A1309" t="s">
        <v>5880</v>
      </c>
      <c r="B1309" t="s">
        <v>38</v>
      </c>
      <c r="C1309" t="s">
        <v>5881</v>
      </c>
      <c r="D1309">
        <f t="shared" si="38"/>
        <v>-70212155</v>
      </c>
      <c r="E1309" t="s">
        <v>5882</v>
      </c>
      <c r="F1309" t="s">
        <v>5788</v>
      </c>
      <c r="G1309" t="s">
        <v>5789</v>
      </c>
      <c r="H1309">
        <v>12.359147</v>
      </c>
      <c r="I1309">
        <v>55.727840999999998</v>
      </c>
      <c r="J1309">
        <v>100</v>
      </c>
      <c r="K1309" t="s">
        <v>535</v>
      </c>
      <c r="L1309" t="s">
        <v>535</v>
      </c>
      <c r="M1309" t="s">
        <v>535</v>
      </c>
      <c r="N1309" t="s">
        <v>535</v>
      </c>
      <c r="O1309" t="s">
        <v>535</v>
      </c>
      <c r="P1309" t="s">
        <v>553</v>
      </c>
      <c r="Q1309" t="s">
        <v>553</v>
      </c>
      <c r="R1309" t="s">
        <v>5881</v>
      </c>
      <c r="U1309" t="s">
        <v>5883</v>
      </c>
    </row>
    <row r="1310" spans="1:21" x14ac:dyDescent="0.25">
      <c r="A1310" t="s">
        <v>5884</v>
      </c>
      <c r="B1310" t="s">
        <v>38</v>
      </c>
      <c r="C1310" t="s">
        <v>5885</v>
      </c>
      <c r="D1310">
        <f t="shared" si="38"/>
        <v>-70212155</v>
      </c>
      <c r="E1310" t="s">
        <v>5886</v>
      </c>
      <c r="F1310" t="s">
        <v>5788</v>
      </c>
      <c r="G1310" t="s">
        <v>5789</v>
      </c>
      <c r="H1310">
        <v>12.538029</v>
      </c>
      <c r="I1310">
        <v>55.702657000000002</v>
      </c>
      <c r="J1310">
        <v>100</v>
      </c>
      <c r="K1310" t="s">
        <v>535</v>
      </c>
      <c r="L1310" t="s">
        <v>535</v>
      </c>
      <c r="M1310" t="s">
        <v>535</v>
      </c>
      <c r="N1310" t="s">
        <v>535</v>
      </c>
      <c r="O1310" t="s">
        <v>535</v>
      </c>
      <c r="P1310" t="s">
        <v>553</v>
      </c>
      <c r="Q1310" t="s">
        <v>5842</v>
      </c>
      <c r="R1310" t="s">
        <v>5887</v>
      </c>
      <c r="U1310" t="s">
        <v>5888</v>
      </c>
    </row>
    <row r="1311" spans="1:21" x14ac:dyDescent="0.25">
      <c r="A1311" t="s">
        <v>5889</v>
      </c>
      <c r="B1311" t="s">
        <v>38</v>
      </c>
      <c r="C1311" t="s">
        <v>5890</v>
      </c>
      <c r="D1311">
        <f t="shared" si="38"/>
        <v>-70212155</v>
      </c>
      <c r="E1311" t="s">
        <v>5891</v>
      </c>
      <c r="F1311" t="s">
        <v>5788</v>
      </c>
      <c r="G1311" t="s">
        <v>5789</v>
      </c>
      <c r="H1311">
        <v>12.065091133117599</v>
      </c>
      <c r="I1311">
        <v>55.8365543092427</v>
      </c>
      <c r="J1311">
        <v>100</v>
      </c>
      <c r="K1311" t="s">
        <v>535</v>
      </c>
      <c r="L1311" t="s">
        <v>535</v>
      </c>
      <c r="M1311" t="s">
        <v>535</v>
      </c>
      <c r="N1311" t="s">
        <v>535</v>
      </c>
      <c r="O1311" t="s">
        <v>535</v>
      </c>
      <c r="P1311" t="s">
        <v>622</v>
      </c>
      <c r="Q1311" t="s">
        <v>622</v>
      </c>
      <c r="R1311" t="s">
        <v>5892</v>
      </c>
      <c r="U1311" t="s">
        <v>5893</v>
      </c>
    </row>
    <row r="1312" spans="1:21" x14ac:dyDescent="0.25">
      <c r="A1312" t="s">
        <v>5894</v>
      </c>
      <c r="B1312" t="s">
        <v>22</v>
      </c>
      <c r="C1312" t="s">
        <v>5895</v>
      </c>
      <c r="D1312">
        <f t="shared" si="38"/>
        <v>-70212155</v>
      </c>
      <c r="E1312" t="s">
        <v>5896</v>
      </c>
      <c r="F1312" t="s">
        <v>5788</v>
      </c>
      <c r="G1312" t="s">
        <v>5789</v>
      </c>
      <c r="H1312">
        <v>12.33034</v>
      </c>
      <c r="I1312">
        <v>55.598275000000001</v>
      </c>
      <c r="J1312">
        <v>100</v>
      </c>
      <c r="K1312" t="s">
        <v>535</v>
      </c>
      <c r="L1312" t="s">
        <v>535</v>
      </c>
      <c r="M1312" t="s">
        <v>535</v>
      </c>
      <c r="N1312" t="s">
        <v>535</v>
      </c>
      <c r="O1312" t="s">
        <v>535</v>
      </c>
      <c r="P1312" t="s">
        <v>553</v>
      </c>
      <c r="Q1312" t="s">
        <v>553</v>
      </c>
      <c r="R1312" t="s">
        <v>5897</v>
      </c>
      <c r="U1312" t="s">
        <v>5898</v>
      </c>
    </row>
    <row r="1313" spans="1:21" x14ac:dyDescent="0.25">
      <c r="A1313" t="s">
        <v>5899</v>
      </c>
      <c r="B1313" t="s">
        <v>38</v>
      </c>
      <c r="C1313" t="s">
        <v>5900</v>
      </c>
      <c r="D1313">
        <f t="shared" si="38"/>
        <v>-70212155</v>
      </c>
      <c r="E1313" t="s">
        <v>5901</v>
      </c>
      <c r="F1313" t="s">
        <v>5788</v>
      </c>
      <c r="G1313" t="s">
        <v>5789</v>
      </c>
      <c r="H1313">
        <v>12.511958</v>
      </c>
      <c r="I1313">
        <v>55.664993000000003</v>
      </c>
      <c r="J1313">
        <v>100</v>
      </c>
      <c r="K1313" t="s">
        <v>535</v>
      </c>
      <c r="L1313" t="s">
        <v>535</v>
      </c>
      <c r="M1313" t="s">
        <v>535</v>
      </c>
      <c r="N1313" t="s">
        <v>535</v>
      </c>
      <c r="O1313" t="s">
        <v>535</v>
      </c>
      <c r="P1313" t="s">
        <v>622</v>
      </c>
      <c r="Q1313" t="s">
        <v>622</v>
      </c>
      <c r="R1313" t="s">
        <v>5902</v>
      </c>
      <c r="U1313" t="s">
        <v>5903</v>
      </c>
    </row>
    <row r="1314" spans="1:21" x14ac:dyDescent="0.25">
      <c r="A1314" t="s">
        <v>5904</v>
      </c>
      <c r="B1314" t="s">
        <v>38</v>
      </c>
      <c r="C1314" t="s">
        <v>5905</v>
      </c>
      <c r="D1314">
        <f t="shared" si="38"/>
        <v>-70212155</v>
      </c>
      <c r="E1314" t="s">
        <v>5906</v>
      </c>
      <c r="F1314" t="s">
        <v>5788</v>
      </c>
      <c r="G1314" t="s">
        <v>5789</v>
      </c>
      <c r="H1314">
        <v>11.787668</v>
      </c>
      <c r="I1314">
        <v>55.454107999999998</v>
      </c>
      <c r="J1314">
        <v>100</v>
      </c>
      <c r="K1314" t="s">
        <v>535</v>
      </c>
      <c r="L1314" t="s">
        <v>535</v>
      </c>
      <c r="M1314" t="s">
        <v>535</v>
      </c>
      <c r="N1314" t="s">
        <v>535</v>
      </c>
      <c r="O1314" t="s">
        <v>535</v>
      </c>
      <c r="P1314" t="s">
        <v>622</v>
      </c>
      <c r="Q1314" t="s">
        <v>5818</v>
      </c>
      <c r="R1314" t="s">
        <v>5905</v>
      </c>
      <c r="U1314" t="s">
        <v>5907</v>
      </c>
    </row>
    <row r="1315" spans="1:21" x14ac:dyDescent="0.25">
      <c r="A1315" t="s">
        <v>5908</v>
      </c>
      <c r="B1315" t="s">
        <v>22</v>
      </c>
      <c r="C1315" t="s">
        <v>5909</v>
      </c>
      <c r="D1315">
        <f t="shared" si="38"/>
        <v>-70212155</v>
      </c>
      <c r="E1315" t="s">
        <v>5910</v>
      </c>
      <c r="F1315" t="s">
        <v>5788</v>
      </c>
      <c r="G1315" t="s">
        <v>5789</v>
      </c>
      <c r="H1315">
        <v>12.578348</v>
      </c>
      <c r="I1315">
        <v>55.725687000000001</v>
      </c>
      <c r="J1315">
        <v>100</v>
      </c>
      <c r="K1315" t="s">
        <v>535</v>
      </c>
      <c r="L1315" t="s">
        <v>535</v>
      </c>
      <c r="M1315" t="s">
        <v>535</v>
      </c>
      <c r="N1315" t="s">
        <v>535</v>
      </c>
      <c r="O1315" t="s">
        <v>535</v>
      </c>
      <c r="P1315" t="s">
        <v>553</v>
      </c>
      <c r="Q1315" t="s">
        <v>5842</v>
      </c>
      <c r="R1315" t="s">
        <v>5911</v>
      </c>
      <c r="U1315" t="s">
        <v>5912</v>
      </c>
    </row>
    <row r="1316" spans="1:21" x14ac:dyDescent="0.25">
      <c r="A1316" t="s">
        <v>5913</v>
      </c>
      <c r="B1316" t="s">
        <v>38</v>
      </c>
      <c r="C1316" t="s">
        <v>5914</v>
      </c>
      <c r="D1316">
        <f t="shared" si="38"/>
        <v>-70212155</v>
      </c>
      <c r="E1316" t="s">
        <v>5915</v>
      </c>
      <c r="F1316" t="s">
        <v>5788</v>
      </c>
      <c r="G1316" t="s">
        <v>5789</v>
      </c>
      <c r="H1316">
        <v>14.6943855285644</v>
      </c>
      <c r="I1316">
        <v>55.101355452030397</v>
      </c>
      <c r="J1316">
        <v>100</v>
      </c>
      <c r="K1316" t="s">
        <v>428</v>
      </c>
      <c r="L1316" t="s">
        <v>428</v>
      </c>
      <c r="M1316" t="s">
        <v>428</v>
      </c>
      <c r="N1316" t="s">
        <v>428</v>
      </c>
      <c r="O1316" t="s">
        <v>428</v>
      </c>
      <c r="P1316" t="s">
        <v>5873</v>
      </c>
      <c r="R1316" t="s">
        <v>5916</v>
      </c>
      <c r="U1316" t="s">
        <v>5917</v>
      </c>
    </row>
    <row r="1317" spans="1:21" x14ac:dyDescent="0.25">
      <c r="A1317" t="s">
        <v>5918</v>
      </c>
      <c r="B1317" t="s">
        <v>22</v>
      </c>
      <c r="C1317" t="s">
        <v>5919</v>
      </c>
      <c r="D1317">
        <f t="shared" si="38"/>
        <v>-70212155</v>
      </c>
      <c r="E1317" t="s">
        <v>5793</v>
      </c>
      <c r="F1317" t="s">
        <v>5788</v>
      </c>
      <c r="G1317" t="s">
        <v>5789</v>
      </c>
      <c r="H1317">
        <v>12.5771141052246</v>
      </c>
      <c r="I1317">
        <v>55.6305156319006</v>
      </c>
      <c r="J1317">
        <v>100</v>
      </c>
      <c r="K1317" t="s">
        <v>45</v>
      </c>
      <c r="L1317" t="s">
        <v>45</v>
      </c>
      <c r="M1317" t="s">
        <v>45</v>
      </c>
      <c r="N1317" t="s">
        <v>45</v>
      </c>
      <c r="O1317" t="s">
        <v>45</v>
      </c>
      <c r="P1317" t="s">
        <v>45</v>
      </c>
      <c r="Q1317" t="s">
        <v>45</v>
      </c>
      <c r="R1317" t="s">
        <v>5794</v>
      </c>
      <c r="U1317" t="s">
        <v>5920</v>
      </c>
    </row>
    <row r="1318" spans="1:21" x14ac:dyDescent="0.25">
      <c r="A1318" t="s">
        <v>5921</v>
      </c>
      <c r="B1318" t="s">
        <v>22</v>
      </c>
      <c r="C1318" t="s">
        <v>5922</v>
      </c>
      <c r="D1318">
        <f t="shared" si="38"/>
        <v>-70212155</v>
      </c>
      <c r="E1318" t="s">
        <v>5793</v>
      </c>
      <c r="F1318" t="s">
        <v>5788</v>
      </c>
      <c r="G1318" t="s">
        <v>5789</v>
      </c>
      <c r="H1318">
        <v>12.6045</v>
      </c>
      <c r="I1318">
        <v>55.662944000000003</v>
      </c>
      <c r="J1318">
        <v>100</v>
      </c>
      <c r="K1318" t="s">
        <v>535</v>
      </c>
      <c r="L1318" t="s">
        <v>535</v>
      </c>
      <c r="M1318" t="s">
        <v>535</v>
      </c>
      <c r="N1318" t="s">
        <v>535</v>
      </c>
      <c r="O1318" t="s">
        <v>535</v>
      </c>
      <c r="P1318" t="s">
        <v>553</v>
      </c>
      <c r="Q1318" t="s">
        <v>553</v>
      </c>
      <c r="R1318" t="s">
        <v>5923</v>
      </c>
      <c r="U1318" t="s">
        <v>5924</v>
      </c>
    </row>
    <row r="1319" spans="1:21" x14ac:dyDescent="0.25">
      <c r="A1319" t="s">
        <v>5925</v>
      </c>
      <c r="B1319" t="s">
        <v>22</v>
      </c>
      <c r="C1319" t="s">
        <v>5926</v>
      </c>
      <c r="D1319">
        <f t="shared" si="38"/>
        <v>-70212155</v>
      </c>
      <c r="E1319" t="s">
        <v>5927</v>
      </c>
      <c r="F1319" t="s">
        <v>5788</v>
      </c>
      <c r="G1319" t="s">
        <v>5789</v>
      </c>
      <c r="H1319">
        <v>12.100259599999999</v>
      </c>
      <c r="I1319">
        <v>55.641243099999997</v>
      </c>
      <c r="J1319">
        <v>100</v>
      </c>
      <c r="K1319" t="s">
        <v>535</v>
      </c>
      <c r="L1319" t="s">
        <v>535</v>
      </c>
      <c r="M1319" t="s">
        <v>535</v>
      </c>
      <c r="N1319" t="s">
        <v>535</v>
      </c>
      <c r="O1319" t="s">
        <v>535</v>
      </c>
      <c r="P1319" t="s">
        <v>553</v>
      </c>
      <c r="Q1319" t="s">
        <v>553</v>
      </c>
      <c r="R1319" t="s">
        <v>5928</v>
      </c>
      <c r="U1319" t="s">
        <v>5929</v>
      </c>
    </row>
    <row r="1320" spans="1:21" x14ac:dyDescent="0.25">
      <c r="A1320" t="s">
        <v>5930</v>
      </c>
      <c r="B1320" t="s">
        <v>22</v>
      </c>
      <c r="C1320" t="s">
        <v>5931</v>
      </c>
      <c r="D1320">
        <f t="shared" si="38"/>
        <v>-70212155</v>
      </c>
      <c r="E1320" t="s">
        <v>5932</v>
      </c>
      <c r="F1320" t="s">
        <v>5788</v>
      </c>
      <c r="G1320" t="s">
        <v>5789</v>
      </c>
      <c r="H1320">
        <v>12.533612</v>
      </c>
      <c r="I1320">
        <v>55.681652999999997</v>
      </c>
      <c r="J1320">
        <v>100</v>
      </c>
      <c r="K1320" t="s">
        <v>535</v>
      </c>
      <c r="L1320" t="s">
        <v>535</v>
      </c>
      <c r="M1320" t="s">
        <v>535</v>
      </c>
      <c r="N1320" t="s">
        <v>535</v>
      </c>
      <c r="O1320" t="s">
        <v>535</v>
      </c>
      <c r="P1320" t="s">
        <v>553</v>
      </c>
      <c r="Q1320" t="s">
        <v>553</v>
      </c>
      <c r="R1320" t="s">
        <v>5933</v>
      </c>
      <c r="U1320" t="s">
        <v>5934</v>
      </c>
    </row>
    <row r="1321" spans="1:21" x14ac:dyDescent="0.25">
      <c r="A1321" t="s">
        <v>5935</v>
      </c>
      <c r="B1321" t="s">
        <v>38</v>
      </c>
      <c r="C1321" t="s">
        <v>5936</v>
      </c>
      <c r="D1321">
        <f t="shared" si="38"/>
        <v>-70212155</v>
      </c>
      <c r="E1321" t="s">
        <v>5937</v>
      </c>
      <c r="F1321" t="s">
        <v>5788</v>
      </c>
      <c r="G1321" t="s">
        <v>5789</v>
      </c>
      <c r="H1321">
        <v>12.400206000000001</v>
      </c>
      <c r="I1321">
        <v>55.665703999999998</v>
      </c>
      <c r="J1321">
        <v>100</v>
      </c>
      <c r="K1321" t="s">
        <v>535</v>
      </c>
      <c r="L1321" t="s">
        <v>535</v>
      </c>
      <c r="M1321" t="s">
        <v>535</v>
      </c>
      <c r="N1321" t="s">
        <v>535</v>
      </c>
      <c r="O1321" t="s">
        <v>535</v>
      </c>
      <c r="P1321" t="s">
        <v>622</v>
      </c>
      <c r="Q1321" t="s">
        <v>622</v>
      </c>
      <c r="R1321" t="s">
        <v>5936</v>
      </c>
      <c r="U1321" t="s">
        <v>5938</v>
      </c>
    </row>
    <row r="1322" spans="1:21" x14ac:dyDescent="0.25">
      <c r="A1322" t="s">
        <v>5939</v>
      </c>
      <c r="B1322" t="s">
        <v>22</v>
      </c>
      <c r="C1322" t="s">
        <v>5940</v>
      </c>
      <c r="D1322">
        <f t="shared" si="38"/>
        <v>-70212155</v>
      </c>
      <c r="E1322" t="s">
        <v>5941</v>
      </c>
      <c r="F1322" t="s">
        <v>5788</v>
      </c>
      <c r="G1322" t="s">
        <v>5789</v>
      </c>
      <c r="H1322">
        <v>12.4562644958496</v>
      </c>
      <c r="I1322">
        <v>55.678697493242197</v>
      </c>
      <c r="J1322">
        <v>100</v>
      </c>
      <c r="K1322" t="s">
        <v>535</v>
      </c>
      <c r="L1322" t="s">
        <v>535</v>
      </c>
      <c r="M1322" t="s">
        <v>535</v>
      </c>
      <c r="N1322" t="s">
        <v>535</v>
      </c>
      <c r="O1322" t="s">
        <v>535</v>
      </c>
      <c r="P1322" t="s">
        <v>428</v>
      </c>
      <c r="Q1322" t="s">
        <v>428</v>
      </c>
      <c r="R1322" t="s">
        <v>5942</v>
      </c>
      <c r="U1322" t="s">
        <v>5943</v>
      </c>
    </row>
    <row r="1323" spans="1:21" x14ac:dyDescent="0.25">
      <c r="A1323" t="s">
        <v>5944</v>
      </c>
      <c r="B1323" t="s">
        <v>22</v>
      </c>
      <c r="C1323" t="s">
        <v>5945</v>
      </c>
      <c r="D1323">
        <f t="shared" si="38"/>
        <v>-70212155</v>
      </c>
      <c r="E1323" t="s">
        <v>5946</v>
      </c>
      <c r="F1323" t="s">
        <v>5788</v>
      </c>
      <c r="G1323" t="s">
        <v>5789</v>
      </c>
      <c r="H1323">
        <v>12.561166</v>
      </c>
      <c r="I1323">
        <v>55.662236</v>
      </c>
      <c r="J1323">
        <v>100</v>
      </c>
      <c r="K1323" t="s">
        <v>45</v>
      </c>
      <c r="L1323" t="s">
        <v>45</v>
      </c>
      <c r="M1323" t="s">
        <v>45</v>
      </c>
      <c r="N1323" t="s">
        <v>45</v>
      </c>
      <c r="O1323" t="s">
        <v>45</v>
      </c>
      <c r="P1323" t="s">
        <v>45</v>
      </c>
      <c r="Q1323" t="s">
        <v>45</v>
      </c>
      <c r="R1323" t="s">
        <v>5947</v>
      </c>
      <c r="U1323" t="s">
        <v>5948</v>
      </c>
    </row>
    <row r="1324" spans="1:21" x14ac:dyDescent="0.25">
      <c r="A1324" t="s">
        <v>5949</v>
      </c>
      <c r="B1324" t="s">
        <v>32</v>
      </c>
      <c r="C1324" t="s">
        <v>5950</v>
      </c>
      <c r="D1324">
        <f t="shared" si="38"/>
        <v>-70212155</v>
      </c>
      <c r="E1324" t="s">
        <v>5787</v>
      </c>
      <c r="F1324" t="s">
        <v>5788</v>
      </c>
      <c r="G1324" t="s">
        <v>5789</v>
      </c>
      <c r="H1324">
        <v>12.5772358</v>
      </c>
      <c r="I1324">
        <v>55.678636300000001</v>
      </c>
      <c r="J1324">
        <v>100</v>
      </c>
      <c r="K1324" t="s">
        <v>535</v>
      </c>
      <c r="L1324" t="s">
        <v>535</v>
      </c>
      <c r="M1324" t="s">
        <v>535</v>
      </c>
      <c r="N1324" t="s">
        <v>535</v>
      </c>
      <c r="O1324" t="s">
        <v>535</v>
      </c>
      <c r="P1324" t="s">
        <v>428</v>
      </c>
      <c r="Q1324" t="s">
        <v>1034</v>
      </c>
      <c r="R1324" t="s">
        <v>5951</v>
      </c>
      <c r="U1324" t="s">
        <v>5952</v>
      </c>
    </row>
    <row r="1325" spans="1:21" x14ac:dyDescent="0.25">
      <c r="A1325" t="s">
        <v>5953</v>
      </c>
      <c r="B1325" t="s">
        <v>22</v>
      </c>
      <c r="C1325" t="s">
        <v>5954</v>
      </c>
      <c r="D1325">
        <f t="shared" si="38"/>
        <v>-70212155</v>
      </c>
      <c r="E1325" t="s">
        <v>5955</v>
      </c>
      <c r="F1325" t="s">
        <v>5788</v>
      </c>
      <c r="G1325" t="s">
        <v>5789</v>
      </c>
      <c r="H1325">
        <v>12.277179</v>
      </c>
      <c r="I1325">
        <v>55.644382999999998</v>
      </c>
      <c r="J1325">
        <v>100</v>
      </c>
      <c r="K1325" t="s">
        <v>535</v>
      </c>
      <c r="L1325" t="s">
        <v>535</v>
      </c>
      <c r="M1325" t="s">
        <v>535</v>
      </c>
      <c r="N1325" t="s">
        <v>535</v>
      </c>
      <c r="O1325" t="s">
        <v>535</v>
      </c>
      <c r="P1325" t="s">
        <v>553</v>
      </c>
      <c r="Q1325" t="s">
        <v>564</v>
      </c>
      <c r="R1325" t="s">
        <v>5956</v>
      </c>
      <c r="U1325" t="s">
        <v>5957</v>
      </c>
    </row>
    <row r="1326" spans="1:21" x14ac:dyDescent="0.25">
      <c r="A1326" t="s">
        <v>5958</v>
      </c>
      <c r="B1326" t="s">
        <v>22</v>
      </c>
      <c r="C1326" t="s">
        <v>5959</v>
      </c>
      <c r="D1326">
        <f t="shared" si="38"/>
        <v>-70212155</v>
      </c>
      <c r="E1326" t="s">
        <v>5787</v>
      </c>
      <c r="F1326" t="s">
        <v>5788</v>
      </c>
      <c r="G1326" t="s">
        <v>5789</v>
      </c>
      <c r="H1326">
        <v>12.582240000000001</v>
      </c>
      <c r="I1326">
        <v>55.679651999999997</v>
      </c>
      <c r="J1326">
        <v>100</v>
      </c>
      <c r="K1326" t="s">
        <v>535</v>
      </c>
      <c r="L1326" t="s">
        <v>535</v>
      </c>
      <c r="M1326" t="s">
        <v>535</v>
      </c>
      <c r="N1326" t="s">
        <v>535</v>
      </c>
      <c r="O1326" t="s">
        <v>535</v>
      </c>
      <c r="P1326" t="s">
        <v>428</v>
      </c>
      <c r="Q1326" t="s">
        <v>1034</v>
      </c>
      <c r="R1326" t="s">
        <v>5960</v>
      </c>
      <c r="U1326" t="s">
        <v>5961</v>
      </c>
    </row>
    <row r="1327" spans="1:21" x14ac:dyDescent="0.25">
      <c r="A1327" t="s">
        <v>5962</v>
      </c>
      <c r="B1327" t="s">
        <v>38</v>
      </c>
      <c r="C1327" t="s">
        <v>5963</v>
      </c>
      <c r="D1327">
        <f t="shared" si="38"/>
        <v>-70212155</v>
      </c>
      <c r="E1327" t="s">
        <v>5964</v>
      </c>
      <c r="F1327" t="s">
        <v>5788</v>
      </c>
      <c r="G1327" t="s">
        <v>5789</v>
      </c>
      <c r="H1327">
        <v>12.474525999999999</v>
      </c>
      <c r="I1327">
        <v>55.663893999999999</v>
      </c>
      <c r="J1327">
        <v>100</v>
      </c>
      <c r="K1327" t="s">
        <v>428</v>
      </c>
      <c r="L1327" t="s">
        <v>428</v>
      </c>
      <c r="M1327" t="s">
        <v>428</v>
      </c>
      <c r="N1327" t="s">
        <v>428</v>
      </c>
      <c r="O1327" t="s">
        <v>535</v>
      </c>
      <c r="P1327" t="s">
        <v>553</v>
      </c>
      <c r="Q1327" t="s">
        <v>5873</v>
      </c>
      <c r="R1327" t="s">
        <v>5965</v>
      </c>
      <c r="U1327" t="s">
        <v>5966</v>
      </c>
    </row>
    <row r="1328" spans="1:21" x14ac:dyDescent="0.25">
      <c r="A1328" t="s">
        <v>5967</v>
      </c>
      <c r="B1328" t="s">
        <v>22</v>
      </c>
      <c r="C1328" t="s">
        <v>5968</v>
      </c>
      <c r="D1328">
        <f t="shared" si="38"/>
        <v>-70212155</v>
      </c>
      <c r="E1328" t="s">
        <v>5969</v>
      </c>
      <c r="F1328" t="s">
        <v>5788</v>
      </c>
      <c r="G1328" t="s">
        <v>5789</v>
      </c>
      <c r="H1328">
        <v>12.505896</v>
      </c>
      <c r="I1328">
        <v>55.771655000000003</v>
      </c>
      <c r="J1328">
        <v>100</v>
      </c>
      <c r="K1328" t="s">
        <v>535</v>
      </c>
      <c r="L1328" t="s">
        <v>535</v>
      </c>
      <c r="M1328" t="s">
        <v>535</v>
      </c>
      <c r="N1328" t="s">
        <v>535</v>
      </c>
      <c r="O1328" t="s">
        <v>535</v>
      </c>
      <c r="P1328" t="s">
        <v>553</v>
      </c>
      <c r="Q1328" t="s">
        <v>553</v>
      </c>
      <c r="R1328" t="s">
        <v>5970</v>
      </c>
      <c r="U1328" t="s">
        <v>5971</v>
      </c>
    </row>
    <row r="1329" spans="1:21" x14ac:dyDescent="0.25">
      <c r="A1329" t="s">
        <v>5972</v>
      </c>
      <c r="B1329" t="s">
        <v>38</v>
      </c>
      <c r="C1329" t="s">
        <v>5973</v>
      </c>
      <c r="D1329">
        <f t="shared" si="38"/>
        <v>-70212155</v>
      </c>
      <c r="E1329" t="s">
        <v>5974</v>
      </c>
      <c r="F1329" t="s">
        <v>5788</v>
      </c>
      <c r="G1329" t="s">
        <v>5789</v>
      </c>
      <c r="H1329">
        <v>12.3567623</v>
      </c>
      <c r="I1329">
        <v>55.613466299999999</v>
      </c>
      <c r="J1329">
        <v>100</v>
      </c>
      <c r="K1329" t="s">
        <v>535</v>
      </c>
      <c r="L1329" t="s">
        <v>535</v>
      </c>
      <c r="M1329" t="s">
        <v>535</v>
      </c>
      <c r="N1329" t="s">
        <v>535</v>
      </c>
      <c r="O1329" t="s">
        <v>535</v>
      </c>
      <c r="P1329" t="s">
        <v>622</v>
      </c>
      <c r="Q1329" t="s">
        <v>5842</v>
      </c>
      <c r="R1329" t="s">
        <v>5975</v>
      </c>
      <c r="U1329" t="s">
        <v>5976</v>
      </c>
    </row>
    <row r="1330" spans="1:21" x14ac:dyDescent="0.25">
      <c r="A1330" t="s">
        <v>5977</v>
      </c>
      <c r="B1330" t="s">
        <v>22</v>
      </c>
      <c r="C1330" t="s">
        <v>5978</v>
      </c>
      <c r="D1330">
        <f t="shared" si="38"/>
        <v>-70212155</v>
      </c>
      <c r="E1330" t="s">
        <v>5979</v>
      </c>
      <c r="F1330" t="s">
        <v>5788</v>
      </c>
      <c r="G1330" t="s">
        <v>5789</v>
      </c>
      <c r="H1330">
        <v>12.497344999999999</v>
      </c>
      <c r="I1330">
        <v>55.882117999999998</v>
      </c>
      <c r="J1330">
        <v>100</v>
      </c>
      <c r="K1330" t="s">
        <v>535</v>
      </c>
      <c r="L1330" t="s">
        <v>535</v>
      </c>
      <c r="M1330" t="s">
        <v>535</v>
      </c>
      <c r="N1330" t="s">
        <v>535</v>
      </c>
      <c r="O1330" t="s">
        <v>535</v>
      </c>
      <c r="P1330" t="s">
        <v>622</v>
      </c>
      <c r="Q1330" t="s">
        <v>5842</v>
      </c>
      <c r="R1330" t="s">
        <v>5978</v>
      </c>
      <c r="U1330" t="s">
        <v>5980</v>
      </c>
    </row>
    <row r="1331" spans="1:21" x14ac:dyDescent="0.25">
      <c r="A1331" t="s">
        <v>5981</v>
      </c>
      <c r="B1331" t="s">
        <v>38</v>
      </c>
      <c r="C1331" t="s">
        <v>5982</v>
      </c>
      <c r="D1331">
        <f t="shared" si="38"/>
        <v>-70212155</v>
      </c>
      <c r="E1331" t="s">
        <v>5983</v>
      </c>
      <c r="F1331" t="s">
        <v>5788</v>
      </c>
      <c r="G1331" t="s">
        <v>5789</v>
      </c>
      <c r="H1331">
        <v>12.607929</v>
      </c>
      <c r="I1331">
        <v>56.032668000000001</v>
      </c>
      <c r="J1331">
        <v>100</v>
      </c>
      <c r="K1331" t="s">
        <v>535</v>
      </c>
      <c r="L1331" t="s">
        <v>535</v>
      </c>
      <c r="M1331" t="s">
        <v>535</v>
      </c>
      <c r="N1331" t="s">
        <v>535</v>
      </c>
      <c r="O1331" t="s">
        <v>535</v>
      </c>
      <c r="P1331" t="s">
        <v>553</v>
      </c>
      <c r="Q1331" t="s">
        <v>553</v>
      </c>
      <c r="R1331" t="s">
        <v>5982</v>
      </c>
      <c r="U1331" t="s">
        <v>5984</v>
      </c>
    </row>
    <row r="1332" spans="1:21" x14ac:dyDescent="0.25">
      <c r="A1332" t="s">
        <v>5985</v>
      </c>
      <c r="B1332" t="s">
        <v>38</v>
      </c>
      <c r="C1332" t="s">
        <v>5986</v>
      </c>
      <c r="D1332">
        <f t="shared" si="38"/>
        <v>-70212155</v>
      </c>
      <c r="E1332" t="s">
        <v>5927</v>
      </c>
      <c r="F1332" t="s">
        <v>5788</v>
      </c>
      <c r="G1332" t="s">
        <v>5789</v>
      </c>
      <c r="H1332">
        <v>12.0781031</v>
      </c>
      <c r="I1332">
        <v>55.640902699999998</v>
      </c>
      <c r="J1332">
        <v>100</v>
      </c>
      <c r="K1332" t="s">
        <v>428</v>
      </c>
      <c r="L1332" t="s">
        <v>428</v>
      </c>
      <c r="M1332" t="s">
        <v>428</v>
      </c>
      <c r="N1332" t="s">
        <v>428</v>
      </c>
      <c r="O1332" t="s">
        <v>428</v>
      </c>
      <c r="P1332" t="s">
        <v>5873</v>
      </c>
      <c r="R1332" t="s">
        <v>5986</v>
      </c>
      <c r="U1332" t="s">
        <v>5987</v>
      </c>
    </row>
    <row r="1333" spans="1:21" x14ac:dyDescent="0.25">
      <c r="A1333" t="s">
        <v>5988</v>
      </c>
      <c r="B1333" t="s">
        <v>22</v>
      </c>
      <c r="C1333" t="s">
        <v>5989</v>
      </c>
      <c r="D1333">
        <f t="shared" si="38"/>
        <v>-70212155</v>
      </c>
      <c r="E1333" t="s">
        <v>5990</v>
      </c>
      <c r="F1333" t="s">
        <v>5788</v>
      </c>
      <c r="G1333" t="s">
        <v>5789</v>
      </c>
      <c r="H1333">
        <v>11.781421</v>
      </c>
      <c r="I1333">
        <v>55.254077000000002</v>
      </c>
      <c r="J1333">
        <v>100</v>
      </c>
      <c r="K1333" t="s">
        <v>45</v>
      </c>
      <c r="L1333" t="s">
        <v>45</v>
      </c>
      <c r="M1333" t="s">
        <v>45</v>
      </c>
      <c r="N1333" t="s">
        <v>45</v>
      </c>
      <c r="O1333" t="s">
        <v>45</v>
      </c>
      <c r="P1333" t="s">
        <v>622</v>
      </c>
      <c r="Q1333" t="s">
        <v>622</v>
      </c>
      <c r="R1333" t="s">
        <v>5989</v>
      </c>
      <c r="U1333" t="s">
        <v>5991</v>
      </c>
    </row>
    <row r="1334" spans="1:21" x14ac:dyDescent="0.25">
      <c r="A1334" t="s">
        <v>5992</v>
      </c>
      <c r="B1334" t="s">
        <v>22</v>
      </c>
      <c r="C1334" t="s">
        <v>5993</v>
      </c>
      <c r="D1334">
        <f t="shared" si="38"/>
        <v>-70212155</v>
      </c>
      <c r="E1334" t="s">
        <v>5828</v>
      </c>
      <c r="F1334" t="s">
        <v>5788</v>
      </c>
      <c r="G1334" t="s">
        <v>5789</v>
      </c>
      <c r="H1334">
        <v>9.9183690000000002</v>
      </c>
      <c r="I1334">
        <v>57.049348000000002</v>
      </c>
      <c r="J1334">
        <v>100</v>
      </c>
      <c r="K1334" t="s">
        <v>659</v>
      </c>
      <c r="L1334" t="s">
        <v>659</v>
      </c>
      <c r="M1334" t="s">
        <v>659</v>
      </c>
      <c r="N1334" t="s">
        <v>659</v>
      </c>
      <c r="O1334" t="s">
        <v>535</v>
      </c>
      <c r="P1334" t="s">
        <v>622</v>
      </c>
      <c r="R1334" t="s">
        <v>5993</v>
      </c>
      <c r="U1334" t="s">
        <v>5994</v>
      </c>
    </row>
    <row r="1335" spans="1:21" x14ac:dyDescent="0.25">
      <c r="A1335" t="s">
        <v>5995</v>
      </c>
      <c r="B1335" t="s">
        <v>38</v>
      </c>
      <c r="C1335" t="s">
        <v>5996</v>
      </c>
      <c r="D1335">
        <f t="shared" si="38"/>
        <v>-70212155</v>
      </c>
      <c r="E1335" t="s">
        <v>5997</v>
      </c>
      <c r="F1335" t="s">
        <v>5788</v>
      </c>
      <c r="G1335" t="s">
        <v>5789</v>
      </c>
      <c r="H1335">
        <v>8.9716109999999993</v>
      </c>
      <c r="I1335">
        <v>56.136240999999998</v>
      </c>
      <c r="J1335">
        <v>100</v>
      </c>
      <c r="K1335" t="s">
        <v>659</v>
      </c>
      <c r="L1335" t="s">
        <v>659</v>
      </c>
      <c r="M1335" t="s">
        <v>659</v>
      </c>
      <c r="N1335" t="s">
        <v>659</v>
      </c>
      <c r="O1335" t="s">
        <v>428</v>
      </c>
      <c r="P1335" t="s">
        <v>5873</v>
      </c>
      <c r="R1335" t="s">
        <v>5996</v>
      </c>
      <c r="U1335" t="s">
        <v>5998</v>
      </c>
    </row>
    <row r="1336" spans="1:21" x14ac:dyDescent="0.25">
      <c r="A1336" t="s">
        <v>5999</v>
      </c>
      <c r="B1336" t="s">
        <v>22</v>
      </c>
      <c r="C1336" t="s">
        <v>6000</v>
      </c>
      <c r="D1336">
        <f t="shared" si="38"/>
        <v>-70212155</v>
      </c>
      <c r="E1336" t="s">
        <v>6001</v>
      </c>
      <c r="F1336" t="s">
        <v>5788</v>
      </c>
      <c r="G1336" t="s">
        <v>5789</v>
      </c>
      <c r="H1336">
        <v>10.385213</v>
      </c>
      <c r="I1336">
        <v>55.395541999999999</v>
      </c>
      <c r="J1336">
        <v>100</v>
      </c>
      <c r="K1336" t="s">
        <v>428</v>
      </c>
      <c r="L1336" t="s">
        <v>428</v>
      </c>
      <c r="M1336" t="s">
        <v>428</v>
      </c>
      <c r="N1336" t="s">
        <v>428</v>
      </c>
      <c r="O1336" t="s">
        <v>535</v>
      </c>
      <c r="P1336" t="s">
        <v>622</v>
      </c>
      <c r="R1336" t="s">
        <v>6000</v>
      </c>
      <c r="U1336" t="s">
        <v>6002</v>
      </c>
    </row>
    <row r="1337" spans="1:21" x14ac:dyDescent="0.25">
      <c r="A1337" t="s">
        <v>6003</v>
      </c>
      <c r="B1337" t="s">
        <v>38</v>
      </c>
      <c r="C1337" t="s">
        <v>6004</v>
      </c>
      <c r="D1337">
        <f t="shared" si="38"/>
        <v>-70212155</v>
      </c>
      <c r="E1337" t="s">
        <v>6005</v>
      </c>
      <c r="F1337" t="s">
        <v>5788</v>
      </c>
      <c r="G1337" t="s">
        <v>5789</v>
      </c>
      <c r="H1337">
        <v>10.188623</v>
      </c>
      <c r="I1337">
        <v>56.170465</v>
      </c>
      <c r="J1337">
        <v>100</v>
      </c>
      <c r="K1337" t="s">
        <v>535</v>
      </c>
      <c r="L1337" t="s">
        <v>535</v>
      </c>
      <c r="M1337" t="s">
        <v>535</v>
      </c>
      <c r="N1337" t="s">
        <v>535</v>
      </c>
      <c r="O1337" t="s">
        <v>535</v>
      </c>
      <c r="P1337" t="s">
        <v>553</v>
      </c>
      <c r="Q1337" t="s">
        <v>553</v>
      </c>
      <c r="R1337" t="s">
        <v>6006</v>
      </c>
      <c r="U1337" t="s">
        <v>6007</v>
      </c>
    </row>
    <row r="1338" spans="1:21" x14ac:dyDescent="0.25">
      <c r="A1338" t="s">
        <v>6008</v>
      </c>
      <c r="B1338" t="s">
        <v>38</v>
      </c>
      <c r="C1338" t="s">
        <v>6009</v>
      </c>
      <c r="D1338">
        <f t="shared" si="38"/>
        <v>-70212155</v>
      </c>
      <c r="E1338" t="s">
        <v>6010</v>
      </c>
      <c r="F1338" t="s">
        <v>5788</v>
      </c>
      <c r="G1338" t="s">
        <v>5789</v>
      </c>
      <c r="H1338">
        <v>10.605518999999999</v>
      </c>
      <c r="I1338">
        <v>55.059869999999997</v>
      </c>
      <c r="J1338">
        <v>100</v>
      </c>
      <c r="K1338" t="s">
        <v>428</v>
      </c>
      <c r="L1338" t="s">
        <v>428</v>
      </c>
      <c r="M1338" t="s">
        <v>428</v>
      </c>
      <c r="N1338" t="s">
        <v>428</v>
      </c>
      <c r="O1338" t="s">
        <v>428</v>
      </c>
      <c r="P1338" t="s">
        <v>6011</v>
      </c>
      <c r="R1338" t="s">
        <v>6012</v>
      </c>
      <c r="U1338" t="s">
        <v>6013</v>
      </c>
    </row>
    <row r="1339" spans="1:21" x14ac:dyDescent="0.25">
      <c r="A1339" t="s">
        <v>6014</v>
      </c>
      <c r="B1339" t="s">
        <v>38</v>
      </c>
      <c r="C1339" t="s">
        <v>6015</v>
      </c>
      <c r="D1339">
        <f t="shared" si="38"/>
        <v>-70212155</v>
      </c>
      <c r="E1339" t="s">
        <v>5828</v>
      </c>
      <c r="F1339" t="s">
        <v>5788</v>
      </c>
      <c r="G1339" t="s">
        <v>5789</v>
      </c>
      <c r="H1339">
        <v>9.8742889999999992</v>
      </c>
      <c r="I1339">
        <v>57.004655999999997</v>
      </c>
      <c r="J1339">
        <v>100</v>
      </c>
      <c r="K1339" t="s">
        <v>535</v>
      </c>
      <c r="L1339" t="s">
        <v>535</v>
      </c>
      <c r="M1339" t="s">
        <v>535</v>
      </c>
      <c r="N1339" t="s">
        <v>535</v>
      </c>
      <c r="O1339" t="s">
        <v>535</v>
      </c>
      <c r="P1339" t="s">
        <v>622</v>
      </c>
      <c r="Q1339" t="s">
        <v>622</v>
      </c>
      <c r="R1339" t="s">
        <v>6016</v>
      </c>
      <c r="U1339" t="s">
        <v>6017</v>
      </c>
    </row>
    <row r="1340" spans="1:21" x14ac:dyDescent="0.25">
      <c r="A1340" t="s">
        <v>6018</v>
      </c>
      <c r="B1340" t="s">
        <v>38</v>
      </c>
      <c r="C1340" t="s">
        <v>6019</v>
      </c>
      <c r="D1340">
        <f t="shared" si="38"/>
        <v>-70212155</v>
      </c>
      <c r="E1340" t="s">
        <v>6020</v>
      </c>
      <c r="F1340" t="s">
        <v>5788</v>
      </c>
      <c r="G1340" t="s">
        <v>5789</v>
      </c>
      <c r="H1340">
        <v>9.0314049999999995</v>
      </c>
      <c r="I1340">
        <v>56.565444999999997</v>
      </c>
      <c r="J1340">
        <v>100</v>
      </c>
      <c r="K1340" t="s">
        <v>1272</v>
      </c>
      <c r="L1340" t="s">
        <v>1272</v>
      </c>
      <c r="M1340" t="s">
        <v>1272</v>
      </c>
      <c r="N1340" t="s">
        <v>1272</v>
      </c>
      <c r="O1340" t="s">
        <v>262</v>
      </c>
      <c r="P1340" t="s">
        <v>6011</v>
      </c>
      <c r="R1340" t="s">
        <v>6021</v>
      </c>
      <c r="U1340" t="s">
        <v>6022</v>
      </c>
    </row>
    <row r="1341" spans="1:21" x14ac:dyDescent="0.25">
      <c r="A1341" t="s">
        <v>6023</v>
      </c>
      <c r="B1341" t="s">
        <v>22</v>
      </c>
      <c r="C1341" t="s">
        <v>6024</v>
      </c>
      <c r="D1341">
        <f t="shared" si="38"/>
        <v>-70212155</v>
      </c>
      <c r="E1341" t="s">
        <v>6025</v>
      </c>
      <c r="F1341" t="s">
        <v>5788</v>
      </c>
      <c r="G1341" t="s">
        <v>5789</v>
      </c>
      <c r="H1341">
        <v>10.064228</v>
      </c>
      <c r="I1341">
        <v>56.430656999999997</v>
      </c>
      <c r="J1341">
        <v>100</v>
      </c>
      <c r="K1341" t="s">
        <v>535</v>
      </c>
      <c r="L1341" t="s">
        <v>535</v>
      </c>
      <c r="M1341" t="s">
        <v>535</v>
      </c>
      <c r="N1341" t="s">
        <v>535</v>
      </c>
      <c r="O1341" t="s">
        <v>535</v>
      </c>
      <c r="P1341" t="s">
        <v>428</v>
      </c>
      <c r="Q1341" t="s">
        <v>428</v>
      </c>
      <c r="R1341" t="s">
        <v>6026</v>
      </c>
      <c r="U1341" t="s">
        <v>6027</v>
      </c>
    </row>
    <row r="1342" spans="1:21" x14ac:dyDescent="0.25">
      <c r="A1342" t="s">
        <v>6028</v>
      </c>
      <c r="B1342" t="s">
        <v>22</v>
      </c>
      <c r="C1342" t="s">
        <v>6029</v>
      </c>
      <c r="D1342">
        <f t="shared" si="38"/>
        <v>-70212155</v>
      </c>
      <c r="E1342" t="s">
        <v>6030</v>
      </c>
      <c r="F1342" t="s">
        <v>5788</v>
      </c>
      <c r="G1342" t="s">
        <v>5789</v>
      </c>
      <c r="H1342">
        <v>10.427275</v>
      </c>
      <c r="I1342">
        <v>55.382634000000003</v>
      </c>
      <c r="J1342">
        <v>100</v>
      </c>
      <c r="K1342" t="s">
        <v>535</v>
      </c>
      <c r="L1342" t="s">
        <v>535</v>
      </c>
      <c r="M1342" t="s">
        <v>535</v>
      </c>
      <c r="N1342" t="s">
        <v>535</v>
      </c>
      <c r="O1342" t="s">
        <v>535</v>
      </c>
      <c r="P1342" t="s">
        <v>553</v>
      </c>
      <c r="Q1342" t="s">
        <v>553</v>
      </c>
      <c r="R1342" t="s">
        <v>6029</v>
      </c>
      <c r="U1342" t="s">
        <v>6031</v>
      </c>
    </row>
    <row r="1343" spans="1:21" x14ac:dyDescent="0.25">
      <c r="A1343" t="s">
        <v>6032</v>
      </c>
      <c r="B1343" t="s">
        <v>38</v>
      </c>
      <c r="C1343" t="s">
        <v>6033</v>
      </c>
      <c r="D1343">
        <f t="shared" si="38"/>
        <v>-70212155</v>
      </c>
      <c r="E1343" t="s">
        <v>6034</v>
      </c>
      <c r="F1343" t="s">
        <v>5788</v>
      </c>
      <c r="G1343" t="s">
        <v>5789</v>
      </c>
      <c r="H1343">
        <v>9.4065349000000005</v>
      </c>
      <c r="I1343">
        <v>56.4491443</v>
      </c>
      <c r="J1343">
        <v>100</v>
      </c>
      <c r="K1343" t="s">
        <v>659</v>
      </c>
      <c r="L1343" t="s">
        <v>659</v>
      </c>
      <c r="M1343" t="s">
        <v>659</v>
      </c>
      <c r="N1343" t="s">
        <v>659</v>
      </c>
      <c r="O1343" t="s">
        <v>428</v>
      </c>
      <c r="P1343" t="s">
        <v>5873</v>
      </c>
      <c r="R1343" t="s">
        <v>6033</v>
      </c>
      <c r="U1343" t="s">
        <v>6035</v>
      </c>
    </row>
    <row r="1344" spans="1:21" x14ac:dyDescent="0.25">
      <c r="A1344" t="s">
        <v>6036</v>
      </c>
      <c r="B1344" t="s">
        <v>22</v>
      </c>
      <c r="C1344" t="s">
        <v>6037</v>
      </c>
      <c r="D1344">
        <f t="shared" si="38"/>
        <v>-70212155</v>
      </c>
      <c r="E1344" t="s">
        <v>6038</v>
      </c>
      <c r="F1344" t="s">
        <v>5788</v>
      </c>
      <c r="G1344" t="s">
        <v>5789</v>
      </c>
      <c r="H1344">
        <v>10.205752</v>
      </c>
      <c r="I1344">
        <v>56.149616000000002</v>
      </c>
      <c r="J1344">
        <v>100</v>
      </c>
      <c r="K1344" t="s">
        <v>45</v>
      </c>
      <c r="L1344" t="s">
        <v>45</v>
      </c>
      <c r="M1344" t="s">
        <v>45</v>
      </c>
      <c r="N1344" t="s">
        <v>45</v>
      </c>
      <c r="O1344" t="s">
        <v>45</v>
      </c>
      <c r="P1344" t="s">
        <v>428</v>
      </c>
      <c r="Q1344" t="s">
        <v>428</v>
      </c>
      <c r="R1344" t="s">
        <v>6039</v>
      </c>
      <c r="U1344" t="s">
        <v>6040</v>
      </c>
    </row>
    <row r="1345" spans="1:21" x14ac:dyDescent="0.25">
      <c r="A1345" t="s">
        <v>6041</v>
      </c>
      <c r="B1345" t="s">
        <v>38</v>
      </c>
      <c r="C1345" t="s">
        <v>6042</v>
      </c>
      <c r="D1345">
        <f t="shared" si="38"/>
        <v>-70212155</v>
      </c>
      <c r="E1345" t="s">
        <v>6043</v>
      </c>
      <c r="F1345" t="s">
        <v>5788</v>
      </c>
      <c r="G1345" t="s">
        <v>5789</v>
      </c>
      <c r="H1345">
        <v>10.134650000000001</v>
      </c>
      <c r="I1345">
        <v>56.153975000000003</v>
      </c>
      <c r="J1345">
        <v>100</v>
      </c>
      <c r="K1345" t="s">
        <v>535</v>
      </c>
      <c r="L1345" t="s">
        <v>535</v>
      </c>
      <c r="M1345" t="s">
        <v>535</v>
      </c>
      <c r="N1345" t="s">
        <v>535</v>
      </c>
      <c r="O1345" t="s">
        <v>535</v>
      </c>
      <c r="P1345" t="s">
        <v>622</v>
      </c>
      <c r="R1345" t="s">
        <v>6044</v>
      </c>
      <c r="U1345" t="s">
        <v>6045</v>
      </c>
    </row>
    <row r="1346" spans="1:21" x14ac:dyDescent="0.25">
      <c r="A1346" t="s">
        <v>6046</v>
      </c>
      <c r="B1346" t="s">
        <v>38</v>
      </c>
      <c r="C1346" t="s">
        <v>6047</v>
      </c>
      <c r="D1346">
        <f t="shared" si="38"/>
        <v>-70212155</v>
      </c>
      <c r="E1346" t="s">
        <v>6048</v>
      </c>
      <c r="F1346" t="s">
        <v>5788</v>
      </c>
      <c r="G1346" t="s">
        <v>5789</v>
      </c>
      <c r="H1346">
        <v>10.534475</v>
      </c>
      <c r="I1346">
        <v>57.438423999999998</v>
      </c>
      <c r="J1346">
        <v>100</v>
      </c>
      <c r="K1346" t="s">
        <v>659</v>
      </c>
      <c r="L1346" t="s">
        <v>659</v>
      </c>
      <c r="M1346" t="s">
        <v>659</v>
      </c>
      <c r="N1346" t="s">
        <v>659</v>
      </c>
      <c r="O1346" t="s">
        <v>659</v>
      </c>
      <c r="P1346" t="s">
        <v>5873</v>
      </c>
      <c r="R1346" t="s">
        <v>6049</v>
      </c>
      <c r="U1346" t="s">
        <v>6050</v>
      </c>
    </row>
    <row r="1347" spans="1:21" x14ac:dyDescent="0.25">
      <c r="A1347" t="s">
        <v>6051</v>
      </c>
      <c r="B1347" t="s">
        <v>22</v>
      </c>
      <c r="C1347" t="s">
        <v>6052</v>
      </c>
      <c r="D1347">
        <f t="shared" si="38"/>
        <v>-70212155</v>
      </c>
      <c r="E1347" t="s">
        <v>6053</v>
      </c>
      <c r="F1347" t="s">
        <v>5788</v>
      </c>
      <c r="G1347" t="s">
        <v>5789</v>
      </c>
      <c r="H1347">
        <v>9.8461736000000002</v>
      </c>
      <c r="I1347">
        <v>55.861978299999997</v>
      </c>
      <c r="J1347">
        <v>100</v>
      </c>
      <c r="K1347" t="s">
        <v>428</v>
      </c>
      <c r="L1347" t="s">
        <v>428</v>
      </c>
      <c r="M1347" t="s">
        <v>428</v>
      </c>
      <c r="N1347" t="s">
        <v>428</v>
      </c>
      <c r="O1347" t="s">
        <v>535</v>
      </c>
      <c r="P1347" t="s">
        <v>622</v>
      </c>
      <c r="R1347" t="s">
        <v>6054</v>
      </c>
      <c r="U1347" t="s">
        <v>6055</v>
      </c>
    </row>
    <row r="1348" spans="1:21" x14ac:dyDescent="0.25">
      <c r="A1348" t="s">
        <v>6056</v>
      </c>
      <c r="B1348" t="s">
        <v>22</v>
      </c>
      <c r="C1348" t="s">
        <v>6057</v>
      </c>
      <c r="D1348">
        <f t="shared" si="38"/>
        <v>-70212155</v>
      </c>
      <c r="E1348" t="s">
        <v>6025</v>
      </c>
      <c r="F1348" t="s">
        <v>5788</v>
      </c>
      <c r="G1348" t="s">
        <v>5789</v>
      </c>
      <c r="H1348">
        <v>10.03755</v>
      </c>
      <c r="I1348">
        <v>56.460622999999998</v>
      </c>
      <c r="J1348">
        <v>100</v>
      </c>
      <c r="K1348" t="s">
        <v>659</v>
      </c>
      <c r="L1348" t="s">
        <v>659</v>
      </c>
      <c r="M1348" t="s">
        <v>659</v>
      </c>
      <c r="N1348" t="s">
        <v>659</v>
      </c>
      <c r="O1348" t="s">
        <v>428</v>
      </c>
      <c r="P1348" t="s">
        <v>5873</v>
      </c>
      <c r="R1348" t="s">
        <v>6057</v>
      </c>
      <c r="U1348" t="s">
        <v>6058</v>
      </c>
    </row>
    <row r="1349" spans="1:21" x14ac:dyDescent="0.25">
      <c r="A1349" t="s">
        <v>6059</v>
      </c>
      <c r="B1349" t="s">
        <v>38</v>
      </c>
      <c r="C1349" t="s">
        <v>6060</v>
      </c>
      <c r="D1349">
        <f>46-70212200</f>
        <v>-70212154</v>
      </c>
      <c r="E1349" t="s">
        <v>5798</v>
      </c>
      <c r="F1349" t="s">
        <v>5788</v>
      </c>
      <c r="G1349" t="s">
        <v>5789</v>
      </c>
      <c r="H1349">
        <v>9.5348880000000005</v>
      </c>
      <c r="I1349">
        <v>55.710980999999997</v>
      </c>
      <c r="J1349">
        <v>100</v>
      </c>
      <c r="K1349" t="s">
        <v>659</v>
      </c>
      <c r="L1349" t="s">
        <v>659</v>
      </c>
      <c r="M1349" t="s">
        <v>659</v>
      </c>
      <c r="N1349" t="s">
        <v>659</v>
      </c>
      <c r="O1349" t="s">
        <v>428</v>
      </c>
      <c r="P1349" t="s">
        <v>5873</v>
      </c>
      <c r="R1349" t="s">
        <v>6060</v>
      </c>
      <c r="U1349" t="s">
        <v>6061</v>
      </c>
    </row>
    <row r="1350" spans="1:21" x14ac:dyDescent="0.25">
      <c r="A1350" t="s">
        <v>6062</v>
      </c>
      <c r="B1350" t="s">
        <v>22</v>
      </c>
      <c r="C1350" t="s">
        <v>6063</v>
      </c>
      <c r="D1350">
        <f t="shared" ref="D1350:D1361" si="39">45-70212200</f>
        <v>-70212155</v>
      </c>
      <c r="E1350" t="s">
        <v>6064</v>
      </c>
      <c r="F1350" t="s">
        <v>5788</v>
      </c>
      <c r="G1350" t="s">
        <v>5789</v>
      </c>
      <c r="H1350">
        <v>9.4600559999999998</v>
      </c>
      <c r="I1350">
        <v>55.513916999999999</v>
      </c>
      <c r="J1350">
        <v>100</v>
      </c>
      <c r="K1350" t="s">
        <v>45</v>
      </c>
      <c r="L1350" t="s">
        <v>45</v>
      </c>
      <c r="M1350" t="s">
        <v>45</v>
      </c>
      <c r="N1350" t="s">
        <v>45</v>
      </c>
      <c r="O1350" t="s">
        <v>45</v>
      </c>
      <c r="P1350" t="s">
        <v>553</v>
      </c>
      <c r="Q1350" t="s">
        <v>553</v>
      </c>
      <c r="R1350" t="s">
        <v>6065</v>
      </c>
      <c r="U1350" t="s">
        <v>6066</v>
      </c>
    </row>
    <row r="1351" spans="1:21" x14ac:dyDescent="0.25">
      <c r="A1351" t="s">
        <v>6067</v>
      </c>
      <c r="B1351" t="s">
        <v>38</v>
      </c>
      <c r="C1351" t="s">
        <v>6068</v>
      </c>
      <c r="D1351">
        <f t="shared" si="39"/>
        <v>-70212155</v>
      </c>
      <c r="E1351" t="s">
        <v>6069</v>
      </c>
      <c r="F1351" t="s">
        <v>5788</v>
      </c>
      <c r="G1351" t="s">
        <v>5789</v>
      </c>
      <c r="H1351">
        <v>9.4852460000000001</v>
      </c>
      <c r="I1351">
        <v>55.251193999999998</v>
      </c>
      <c r="J1351">
        <v>100</v>
      </c>
      <c r="K1351" t="s">
        <v>659</v>
      </c>
      <c r="L1351" t="s">
        <v>659</v>
      </c>
      <c r="M1351" t="s">
        <v>659</v>
      </c>
      <c r="N1351" t="s">
        <v>659</v>
      </c>
      <c r="O1351" t="s">
        <v>428</v>
      </c>
      <c r="P1351" t="s">
        <v>5838</v>
      </c>
      <c r="R1351" t="s">
        <v>6068</v>
      </c>
      <c r="U1351" t="s">
        <v>6070</v>
      </c>
    </row>
    <row r="1352" spans="1:21" x14ac:dyDescent="0.25">
      <c r="A1352" t="s">
        <v>6071</v>
      </c>
      <c r="B1352" t="s">
        <v>22</v>
      </c>
      <c r="C1352" t="s">
        <v>6072</v>
      </c>
      <c r="D1352">
        <f t="shared" si="39"/>
        <v>-70212155</v>
      </c>
      <c r="E1352" t="s">
        <v>5828</v>
      </c>
      <c r="F1352" t="s">
        <v>5788</v>
      </c>
      <c r="G1352" t="s">
        <v>5789</v>
      </c>
      <c r="H1352">
        <v>9.8724659999999993</v>
      </c>
      <c r="I1352">
        <v>57.003017</v>
      </c>
      <c r="J1352">
        <v>100</v>
      </c>
      <c r="K1352" t="s">
        <v>535</v>
      </c>
      <c r="L1352" t="s">
        <v>535</v>
      </c>
      <c r="M1352" t="s">
        <v>535</v>
      </c>
      <c r="N1352" t="s">
        <v>535</v>
      </c>
      <c r="O1352" t="s">
        <v>535</v>
      </c>
      <c r="P1352" t="s">
        <v>622</v>
      </c>
      <c r="Q1352" t="s">
        <v>622</v>
      </c>
      <c r="R1352" t="s">
        <v>6073</v>
      </c>
      <c r="U1352" t="s">
        <v>6074</v>
      </c>
    </row>
    <row r="1353" spans="1:21" x14ac:dyDescent="0.25">
      <c r="A1353" t="s">
        <v>6075</v>
      </c>
      <c r="B1353" t="s">
        <v>22</v>
      </c>
      <c r="C1353" t="s">
        <v>6076</v>
      </c>
      <c r="D1353">
        <f t="shared" si="39"/>
        <v>-70212155</v>
      </c>
      <c r="E1353" t="s">
        <v>6077</v>
      </c>
      <c r="F1353" t="s">
        <v>5788</v>
      </c>
      <c r="G1353" t="s">
        <v>5789</v>
      </c>
      <c r="H1353">
        <v>8.6192388999999991</v>
      </c>
      <c r="I1353">
        <v>56.3623653</v>
      </c>
      <c r="J1353">
        <v>100</v>
      </c>
      <c r="K1353" t="s">
        <v>1272</v>
      </c>
      <c r="L1353" t="s">
        <v>1272</v>
      </c>
      <c r="M1353" t="s">
        <v>1272</v>
      </c>
      <c r="N1353" t="s">
        <v>1272</v>
      </c>
      <c r="O1353" t="s">
        <v>262</v>
      </c>
      <c r="P1353" t="s">
        <v>6011</v>
      </c>
      <c r="R1353" t="s">
        <v>6078</v>
      </c>
      <c r="U1353" t="s">
        <v>6079</v>
      </c>
    </row>
    <row r="1354" spans="1:21" x14ac:dyDescent="0.25">
      <c r="A1354" t="s">
        <v>6080</v>
      </c>
      <c r="B1354" t="s">
        <v>38</v>
      </c>
      <c r="C1354" t="s">
        <v>6068</v>
      </c>
      <c r="D1354">
        <f t="shared" si="39"/>
        <v>-70212155</v>
      </c>
      <c r="E1354" t="s">
        <v>6081</v>
      </c>
      <c r="F1354" t="s">
        <v>5788</v>
      </c>
      <c r="G1354" t="s">
        <v>5789</v>
      </c>
      <c r="H1354">
        <v>8.6916410000000006</v>
      </c>
      <c r="I1354">
        <v>56.954585000000002</v>
      </c>
      <c r="J1354">
        <v>100</v>
      </c>
      <c r="K1354" t="s">
        <v>1272</v>
      </c>
      <c r="L1354" t="s">
        <v>1272</v>
      </c>
      <c r="M1354" t="s">
        <v>1272</v>
      </c>
      <c r="N1354" t="s">
        <v>1272</v>
      </c>
      <c r="O1354" t="s">
        <v>262</v>
      </c>
      <c r="P1354" t="s">
        <v>5838</v>
      </c>
      <c r="R1354" t="s">
        <v>6068</v>
      </c>
      <c r="U1354" t="s">
        <v>6082</v>
      </c>
    </row>
    <row r="1355" spans="1:21" x14ac:dyDescent="0.25">
      <c r="A1355" t="s">
        <v>6083</v>
      </c>
      <c r="B1355" t="s">
        <v>38</v>
      </c>
      <c r="C1355" t="s">
        <v>6084</v>
      </c>
      <c r="D1355">
        <f t="shared" si="39"/>
        <v>-70212155</v>
      </c>
      <c r="E1355" t="s">
        <v>6085</v>
      </c>
      <c r="F1355" t="s">
        <v>5788</v>
      </c>
      <c r="G1355" t="s">
        <v>5789</v>
      </c>
      <c r="H1355">
        <v>9.7584579999999992</v>
      </c>
      <c r="I1355">
        <v>55.565531</v>
      </c>
      <c r="J1355">
        <v>100</v>
      </c>
      <c r="K1355" t="s">
        <v>659</v>
      </c>
      <c r="L1355" t="s">
        <v>659</v>
      </c>
      <c r="M1355" t="s">
        <v>659</v>
      </c>
      <c r="N1355" t="s">
        <v>659</v>
      </c>
      <c r="O1355" t="s">
        <v>428</v>
      </c>
      <c r="P1355" t="s">
        <v>5838</v>
      </c>
      <c r="R1355" t="s">
        <v>6084</v>
      </c>
      <c r="U1355" t="s">
        <v>6086</v>
      </c>
    </row>
    <row r="1356" spans="1:21" x14ac:dyDescent="0.25">
      <c r="A1356" t="s">
        <v>6087</v>
      </c>
      <c r="B1356" t="s">
        <v>38</v>
      </c>
      <c r="C1356" t="s">
        <v>6088</v>
      </c>
      <c r="D1356">
        <f t="shared" si="39"/>
        <v>-70212155</v>
      </c>
      <c r="E1356" t="s">
        <v>6089</v>
      </c>
      <c r="F1356" t="s">
        <v>5788</v>
      </c>
      <c r="G1356" t="s">
        <v>5789</v>
      </c>
      <c r="H1356">
        <v>9.5501020000000008</v>
      </c>
      <c r="I1356">
        <v>56.170008000000003</v>
      </c>
      <c r="J1356">
        <v>100</v>
      </c>
      <c r="K1356" t="s">
        <v>428</v>
      </c>
      <c r="L1356" t="s">
        <v>428</v>
      </c>
      <c r="M1356" t="s">
        <v>428</v>
      </c>
      <c r="N1356" t="s">
        <v>428</v>
      </c>
      <c r="O1356" t="s">
        <v>535</v>
      </c>
      <c r="P1356" t="s">
        <v>622</v>
      </c>
      <c r="R1356" t="s">
        <v>6088</v>
      </c>
      <c r="U1356" t="s">
        <v>6090</v>
      </c>
    </row>
    <row r="1357" spans="1:21" x14ac:dyDescent="0.25">
      <c r="A1357" t="s">
        <v>6091</v>
      </c>
      <c r="B1357" t="s">
        <v>38</v>
      </c>
      <c r="C1357" t="s">
        <v>6092</v>
      </c>
      <c r="D1357">
        <f t="shared" si="39"/>
        <v>-70212155</v>
      </c>
      <c r="E1357" t="s">
        <v>6093</v>
      </c>
      <c r="F1357" t="s">
        <v>5788</v>
      </c>
      <c r="G1357" t="s">
        <v>5789</v>
      </c>
      <c r="H1357">
        <v>9.4186420000000002</v>
      </c>
      <c r="I1357">
        <v>55.045715999999999</v>
      </c>
      <c r="J1357">
        <v>100</v>
      </c>
      <c r="K1357" t="s">
        <v>659</v>
      </c>
      <c r="L1357" t="s">
        <v>659</v>
      </c>
      <c r="M1357" t="s">
        <v>659</v>
      </c>
      <c r="N1357" t="s">
        <v>659</v>
      </c>
      <c r="O1357" t="s">
        <v>659</v>
      </c>
      <c r="P1357" t="s">
        <v>5838</v>
      </c>
      <c r="R1357" t="s">
        <v>6092</v>
      </c>
      <c r="U1357" t="s">
        <v>6094</v>
      </c>
    </row>
    <row r="1358" spans="1:21" x14ac:dyDescent="0.25">
      <c r="A1358" t="s">
        <v>6095</v>
      </c>
      <c r="B1358" t="s">
        <v>22</v>
      </c>
      <c r="C1358" t="s">
        <v>6096</v>
      </c>
      <c r="D1358">
        <f t="shared" si="39"/>
        <v>-70212155</v>
      </c>
      <c r="E1358" t="s">
        <v>5997</v>
      </c>
      <c r="F1358" t="s">
        <v>5788</v>
      </c>
      <c r="G1358" t="s">
        <v>5789</v>
      </c>
      <c r="H1358">
        <v>8.9968590000000006</v>
      </c>
      <c r="I1358">
        <v>56.135612000000002</v>
      </c>
      <c r="J1358">
        <v>100</v>
      </c>
      <c r="K1358" t="s">
        <v>535</v>
      </c>
      <c r="L1358" t="s">
        <v>535</v>
      </c>
      <c r="M1358" t="s">
        <v>535</v>
      </c>
      <c r="N1358" t="s">
        <v>535</v>
      </c>
      <c r="O1358" t="s">
        <v>535</v>
      </c>
      <c r="P1358" t="s">
        <v>622</v>
      </c>
      <c r="Q1358" t="s">
        <v>5842</v>
      </c>
      <c r="R1358" t="s">
        <v>6097</v>
      </c>
      <c r="U1358" t="s">
        <v>6098</v>
      </c>
    </row>
    <row r="1359" spans="1:21" x14ac:dyDescent="0.25">
      <c r="A1359" t="s">
        <v>6099</v>
      </c>
      <c r="B1359" t="s">
        <v>22</v>
      </c>
      <c r="C1359" t="s">
        <v>6100</v>
      </c>
      <c r="D1359">
        <f t="shared" si="39"/>
        <v>-70212155</v>
      </c>
      <c r="E1359" t="s">
        <v>6101</v>
      </c>
      <c r="F1359" t="s">
        <v>5788</v>
      </c>
      <c r="G1359" t="s">
        <v>5789</v>
      </c>
      <c r="H1359">
        <v>9.7913949999999996</v>
      </c>
      <c r="I1359">
        <v>54.909413999999998</v>
      </c>
      <c r="J1359">
        <v>100</v>
      </c>
      <c r="K1359" t="s">
        <v>535</v>
      </c>
      <c r="L1359" t="s">
        <v>535</v>
      </c>
      <c r="M1359" t="s">
        <v>535</v>
      </c>
      <c r="N1359" t="s">
        <v>535</v>
      </c>
      <c r="O1359" t="s">
        <v>535</v>
      </c>
      <c r="P1359" t="s">
        <v>622</v>
      </c>
      <c r="Q1359" t="s">
        <v>622</v>
      </c>
      <c r="R1359" t="s">
        <v>6102</v>
      </c>
      <c r="U1359" t="s">
        <v>6103</v>
      </c>
    </row>
    <row r="1360" spans="1:21" x14ac:dyDescent="0.25">
      <c r="A1360" t="s">
        <v>6104</v>
      </c>
      <c r="B1360" t="s">
        <v>38</v>
      </c>
      <c r="C1360" t="s">
        <v>6105</v>
      </c>
      <c r="D1360">
        <f t="shared" si="39"/>
        <v>-70212155</v>
      </c>
      <c r="E1360" t="s">
        <v>6106</v>
      </c>
      <c r="F1360" t="s">
        <v>5788</v>
      </c>
      <c r="G1360" t="s">
        <v>5789</v>
      </c>
      <c r="H1360">
        <v>9.9318981170654297</v>
      </c>
      <c r="I1360">
        <v>56.033355604338098</v>
      </c>
      <c r="J1360">
        <v>100</v>
      </c>
      <c r="K1360" t="s">
        <v>535</v>
      </c>
      <c r="L1360" t="s">
        <v>535</v>
      </c>
      <c r="M1360" t="s">
        <v>535</v>
      </c>
      <c r="N1360" t="s">
        <v>535</v>
      </c>
      <c r="O1360" t="s">
        <v>535</v>
      </c>
      <c r="P1360" t="s">
        <v>622</v>
      </c>
      <c r="R1360" t="s">
        <v>6107</v>
      </c>
      <c r="U1360" t="s">
        <v>6108</v>
      </c>
    </row>
    <row r="1361" spans="1:21" x14ac:dyDescent="0.25">
      <c r="A1361" t="s">
        <v>6109</v>
      </c>
      <c r="B1361" t="s">
        <v>22</v>
      </c>
      <c r="C1361" t="s">
        <v>6110</v>
      </c>
      <c r="D1361">
        <f t="shared" si="39"/>
        <v>-70212155</v>
      </c>
      <c r="E1361" t="s">
        <v>6038</v>
      </c>
      <c r="F1361" t="s">
        <v>5788</v>
      </c>
      <c r="G1361" t="s">
        <v>5789</v>
      </c>
      <c r="H1361">
        <v>10.208104000000001</v>
      </c>
      <c r="I1361">
        <v>56.155731000000003</v>
      </c>
      <c r="J1361">
        <v>100</v>
      </c>
      <c r="K1361" t="s">
        <v>428</v>
      </c>
      <c r="L1361" t="s">
        <v>428</v>
      </c>
      <c r="M1361" t="s">
        <v>428</v>
      </c>
      <c r="N1361" t="s">
        <v>428</v>
      </c>
      <c r="O1361" t="s">
        <v>428</v>
      </c>
      <c r="P1361" t="s">
        <v>553</v>
      </c>
      <c r="R1361" t="s">
        <v>6110</v>
      </c>
      <c r="U1361" t="s">
        <v>6111</v>
      </c>
    </row>
    <row r="1362" spans="1:21" x14ac:dyDescent="0.25">
      <c r="A1362" t="s">
        <v>6112</v>
      </c>
      <c r="B1362" t="s">
        <v>22</v>
      </c>
      <c r="C1362" t="s">
        <v>6113</v>
      </c>
      <c r="D1362">
        <f>372-6148100</f>
        <v>-6147728</v>
      </c>
      <c r="E1362" t="s">
        <v>6114</v>
      </c>
      <c r="F1362" t="s">
        <v>6115</v>
      </c>
      <c r="G1362" t="s">
        <v>6116</v>
      </c>
      <c r="H1362">
        <v>24.650952791461901</v>
      </c>
      <c r="I1362">
        <v>59.4260292230191</v>
      </c>
      <c r="J1362">
        <v>115</v>
      </c>
      <c r="K1362" t="s">
        <v>536</v>
      </c>
      <c r="L1362" t="s">
        <v>536</v>
      </c>
      <c r="M1362" t="s">
        <v>536</v>
      </c>
      <c r="N1362" t="s">
        <v>536</v>
      </c>
      <c r="O1362" t="s">
        <v>536</v>
      </c>
      <c r="P1362" t="s">
        <v>536</v>
      </c>
      <c r="Q1362" t="s">
        <v>536</v>
      </c>
      <c r="R1362" t="s">
        <v>6113</v>
      </c>
      <c r="U1362" t="s">
        <v>6117</v>
      </c>
    </row>
    <row r="1363" spans="1:21" x14ac:dyDescent="0.25">
      <c r="A1363" t="s">
        <v>6118</v>
      </c>
      <c r="B1363" t="s">
        <v>32</v>
      </c>
      <c r="C1363" t="s">
        <v>6119</v>
      </c>
      <c r="D1363">
        <f>372-6148110</f>
        <v>-6147738</v>
      </c>
      <c r="E1363" t="s">
        <v>6114</v>
      </c>
      <c r="F1363" t="s">
        <v>6115</v>
      </c>
      <c r="G1363" t="s">
        <v>6116</v>
      </c>
      <c r="H1363">
        <v>24.756031452196702</v>
      </c>
      <c r="I1363">
        <v>59.437419131617901</v>
      </c>
      <c r="J1363">
        <v>115</v>
      </c>
      <c r="K1363" t="s">
        <v>312</v>
      </c>
      <c r="L1363" t="s">
        <v>312</v>
      </c>
      <c r="M1363" t="s">
        <v>312</v>
      </c>
      <c r="N1363" t="s">
        <v>312</v>
      </c>
      <c r="O1363" t="s">
        <v>312</v>
      </c>
      <c r="P1363" t="s">
        <v>312</v>
      </c>
      <c r="Q1363" t="s">
        <v>312</v>
      </c>
      <c r="R1363" t="s">
        <v>6119</v>
      </c>
      <c r="U1363" t="s">
        <v>6120</v>
      </c>
    </row>
    <row r="1364" spans="1:21" x14ac:dyDescent="0.25">
      <c r="A1364" t="s">
        <v>6121</v>
      </c>
      <c r="B1364" t="s">
        <v>22</v>
      </c>
      <c r="C1364" t="s">
        <v>6122</v>
      </c>
      <c r="D1364">
        <f>372-6148120</f>
        <v>-6147748</v>
      </c>
      <c r="E1364" t="s">
        <v>6114</v>
      </c>
      <c r="F1364" t="s">
        <v>6115</v>
      </c>
      <c r="G1364" t="s">
        <v>6116</v>
      </c>
      <c r="H1364">
        <v>24.722783578447199</v>
      </c>
      <c r="I1364">
        <v>59.427326905800697</v>
      </c>
      <c r="J1364">
        <v>115</v>
      </c>
      <c r="K1364" t="s">
        <v>536</v>
      </c>
      <c r="L1364" t="s">
        <v>536</v>
      </c>
      <c r="M1364" t="s">
        <v>536</v>
      </c>
      <c r="N1364" t="s">
        <v>536</v>
      </c>
      <c r="O1364" t="s">
        <v>536</v>
      </c>
      <c r="P1364" t="s">
        <v>536</v>
      </c>
      <c r="Q1364" t="s">
        <v>536</v>
      </c>
      <c r="R1364" t="s">
        <v>6122</v>
      </c>
      <c r="U1364" t="s">
        <v>6123</v>
      </c>
    </row>
    <row r="1365" spans="1:21" x14ac:dyDescent="0.25">
      <c r="A1365" t="s">
        <v>6124</v>
      </c>
      <c r="B1365" t="s">
        <v>22</v>
      </c>
      <c r="C1365" t="s">
        <v>6125</v>
      </c>
      <c r="D1365">
        <f>372-6148150</f>
        <v>-6147778</v>
      </c>
      <c r="E1365" t="s">
        <v>6114</v>
      </c>
      <c r="F1365" t="s">
        <v>6115</v>
      </c>
      <c r="G1365" t="s">
        <v>6116</v>
      </c>
      <c r="H1365">
        <v>24.7927243421335</v>
      </c>
      <c r="I1365">
        <v>59.421663891871198</v>
      </c>
      <c r="J1365">
        <v>115</v>
      </c>
      <c r="K1365" t="s">
        <v>536</v>
      </c>
      <c r="L1365" t="s">
        <v>536</v>
      </c>
      <c r="M1365" t="s">
        <v>536</v>
      </c>
      <c r="N1365" t="s">
        <v>536</v>
      </c>
      <c r="O1365" t="s">
        <v>536</v>
      </c>
      <c r="P1365" t="s">
        <v>536</v>
      </c>
      <c r="Q1365" t="s">
        <v>535</v>
      </c>
      <c r="R1365" t="s">
        <v>6125</v>
      </c>
      <c r="U1365" t="s">
        <v>6126</v>
      </c>
    </row>
    <row r="1366" spans="1:21" x14ac:dyDescent="0.25">
      <c r="A1366" t="s">
        <v>6127</v>
      </c>
      <c r="B1366" t="s">
        <v>38</v>
      </c>
      <c r="C1366" t="s">
        <v>6128</v>
      </c>
      <c r="D1366">
        <f>372-6148130</f>
        <v>-6147758</v>
      </c>
      <c r="E1366" t="s">
        <v>6129</v>
      </c>
      <c r="F1366" t="s">
        <v>6115</v>
      </c>
      <c r="G1366" t="s">
        <v>6116</v>
      </c>
      <c r="H1366">
        <v>24.501161553532899</v>
      </c>
      <c r="I1366">
        <v>58.386861432351502</v>
      </c>
      <c r="J1366">
        <v>115</v>
      </c>
      <c r="K1366" t="s">
        <v>45</v>
      </c>
      <c r="L1366" t="s">
        <v>45</v>
      </c>
      <c r="M1366" t="s">
        <v>45</v>
      </c>
      <c r="N1366" t="s">
        <v>45</v>
      </c>
      <c r="O1366" t="s">
        <v>45</v>
      </c>
      <c r="P1366" t="s">
        <v>45</v>
      </c>
      <c r="Q1366" t="s">
        <v>45</v>
      </c>
      <c r="R1366" t="s">
        <v>6128</v>
      </c>
      <c r="U1366" t="s">
        <v>6130</v>
      </c>
    </row>
    <row r="1367" spans="1:21" x14ac:dyDescent="0.25">
      <c r="A1367" t="s">
        <v>6131</v>
      </c>
      <c r="B1367" t="s">
        <v>38</v>
      </c>
      <c r="C1367" t="s">
        <v>6132</v>
      </c>
      <c r="D1367">
        <f>372-6148140</f>
        <v>-6147768</v>
      </c>
      <c r="E1367" t="s">
        <v>6133</v>
      </c>
      <c r="F1367" t="s">
        <v>6115</v>
      </c>
      <c r="G1367" t="s">
        <v>6116</v>
      </c>
      <c r="H1367">
        <v>28.175840917267401</v>
      </c>
      <c r="I1367">
        <v>59.380919992614999</v>
      </c>
      <c r="J1367">
        <v>115</v>
      </c>
      <c r="K1367" t="s">
        <v>45</v>
      </c>
      <c r="L1367" t="s">
        <v>45</v>
      </c>
      <c r="M1367" t="s">
        <v>45</v>
      </c>
      <c r="N1367" t="s">
        <v>45</v>
      </c>
      <c r="O1367" t="s">
        <v>45</v>
      </c>
      <c r="P1367" t="s">
        <v>45</v>
      </c>
      <c r="Q1367" t="s">
        <v>45</v>
      </c>
      <c r="R1367" t="s">
        <v>6132</v>
      </c>
      <c r="U1367" t="s">
        <v>6134</v>
      </c>
    </row>
    <row r="1368" spans="1:21" x14ac:dyDescent="0.25">
      <c r="A1368" t="s">
        <v>6135</v>
      </c>
      <c r="B1368" t="s">
        <v>22</v>
      </c>
      <c r="C1368" t="s">
        <v>6136</v>
      </c>
      <c r="D1368">
        <f>372-6148160</f>
        <v>-6147788</v>
      </c>
      <c r="E1368" t="s">
        <v>6137</v>
      </c>
      <c r="F1368" t="s">
        <v>6115</v>
      </c>
      <c r="G1368" t="s">
        <v>6116</v>
      </c>
      <c r="H1368">
        <v>26.729301849048898</v>
      </c>
      <c r="I1368">
        <v>58.377532525313597</v>
      </c>
      <c r="J1368">
        <v>115</v>
      </c>
      <c r="K1368" t="s">
        <v>536</v>
      </c>
      <c r="L1368" t="s">
        <v>536</v>
      </c>
      <c r="M1368" t="s">
        <v>536</v>
      </c>
      <c r="N1368" t="s">
        <v>536</v>
      </c>
      <c r="O1368" t="s">
        <v>536</v>
      </c>
      <c r="P1368" t="s">
        <v>536</v>
      </c>
      <c r="Q1368" t="s">
        <v>535</v>
      </c>
      <c r="R1368" t="s">
        <v>6136</v>
      </c>
      <c r="S1368" t="s">
        <v>6138</v>
      </c>
      <c r="U1368" t="s">
        <v>6139</v>
      </c>
    </row>
    <row r="1369" spans="1:21" x14ac:dyDescent="0.25">
      <c r="A1369" t="s">
        <v>6140</v>
      </c>
      <c r="B1369" t="s">
        <v>38</v>
      </c>
      <c r="C1369" t="s">
        <v>6141</v>
      </c>
      <c r="D1369">
        <f>372-6148170</f>
        <v>-6147798</v>
      </c>
      <c r="E1369" t="s">
        <v>6142</v>
      </c>
      <c r="F1369" t="s">
        <v>6115</v>
      </c>
      <c r="G1369" t="s">
        <v>6116</v>
      </c>
      <c r="H1369">
        <v>26.3394795988082</v>
      </c>
      <c r="I1369">
        <v>59.364492705473097</v>
      </c>
      <c r="J1369">
        <v>115</v>
      </c>
      <c r="K1369" t="s">
        <v>45</v>
      </c>
      <c r="L1369" t="s">
        <v>45</v>
      </c>
      <c r="M1369" t="s">
        <v>45</v>
      </c>
      <c r="N1369" t="s">
        <v>45</v>
      </c>
      <c r="O1369" t="s">
        <v>45</v>
      </c>
      <c r="P1369" t="s">
        <v>45</v>
      </c>
      <c r="Q1369" t="s">
        <v>45</v>
      </c>
      <c r="R1369" t="s">
        <v>6141</v>
      </c>
      <c r="S1369" t="s">
        <v>6143</v>
      </c>
      <c r="U1369" t="s">
        <v>6144</v>
      </c>
    </row>
    <row r="1370" spans="1:21" x14ac:dyDescent="0.25">
      <c r="A1370" t="s">
        <v>6145</v>
      </c>
      <c r="B1370" t="s">
        <v>22</v>
      </c>
      <c r="C1370" t="s">
        <v>6146</v>
      </c>
      <c r="D1370">
        <f>372-6148180</f>
        <v>-6147808</v>
      </c>
      <c r="E1370" t="s">
        <v>6137</v>
      </c>
      <c r="F1370" t="s">
        <v>6115</v>
      </c>
      <c r="G1370" t="s">
        <v>6116</v>
      </c>
      <c r="H1370">
        <v>26.676613354492201</v>
      </c>
      <c r="I1370">
        <v>58.358222902723803</v>
      </c>
      <c r="J1370">
        <v>115</v>
      </c>
      <c r="K1370" t="s">
        <v>45</v>
      </c>
      <c r="L1370" t="s">
        <v>45</v>
      </c>
      <c r="M1370" t="s">
        <v>45</v>
      </c>
      <c r="N1370" t="s">
        <v>45</v>
      </c>
      <c r="O1370" t="s">
        <v>45</v>
      </c>
      <c r="P1370" t="s">
        <v>45</v>
      </c>
      <c r="Q1370" t="s">
        <v>45</v>
      </c>
      <c r="R1370" t="s">
        <v>6146</v>
      </c>
      <c r="S1370" t="s">
        <v>6147</v>
      </c>
      <c r="U1370" t="s">
        <v>6148</v>
      </c>
    </row>
    <row r="1371" spans="1:21" x14ac:dyDescent="0.25">
      <c r="A1371" t="s">
        <v>6149</v>
      </c>
      <c r="B1371" t="s">
        <v>38</v>
      </c>
      <c r="C1371" t="s">
        <v>6150</v>
      </c>
      <c r="D1371">
        <f>372-7358605</f>
        <v>-7358233</v>
      </c>
      <c r="E1371" t="s">
        <v>6137</v>
      </c>
      <c r="F1371" t="s">
        <v>6115</v>
      </c>
      <c r="G1371" t="s">
        <v>6116</v>
      </c>
      <c r="H1371">
        <v>26.752199999999998</v>
      </c>
      <c r="I1371">
        <v>58.373699999999999</v>
      </c>
      <c r="J1371">
        <v>115</v>
      </c>
      <c r="K1371" t="s">
        <v>536</v>
      </c>
      <c r="L1371" t="s">
        <v>536</v>
      </c>
      <c r="M1371" t="s">
        <v>536</v>
      </c>
      <c r="N1371" t="s">
        <v>536</v>
      </c>
      <c r="O1371" t="s">
        <v>536</v>
      </c>
      <c r="P1371" t="s">
        <v>536</v>
      </c>
      <c r="Q1371" t="s">
        <v>536</v>
      </c>
      <c r="R1371" t="s">
        <v>6150</v>
      </c>
      <c r="U1371" t="s">
        <v>6151</v>
      </c>
    </row>
    <row r="1372" spans="1:21" x14ac:dyDescent="0.25">
      <c r="A1372" t="s">
        <v>6152</v>
      </c>
      <c r="B1372" t="s">
        <v>38</v>
      </c>
      <c r="C1372" t="s">
        <v>6153</v>
      </c>
      <c r="D1372">
        <f>372-6103168</f>
        <v>-6102796</v>
      </c>
      <c r="E1372" t="s">
        <v>6154</v>
      </c>
      <c r="F1372" t="s">
        <v>6115</v>
      </c>
      <c r="G1372" t="s">
        <v>6116</v>
      </c>
      <c r="H1372">
        <v>22.5163075741516</v>
      </c>
      <c r="I1372">
        <v>58.265352576801902</v>
      </c>
      <c r="J1372">
        <v>115</v>
      </c>
      <c r="K1372" t="s">
        <v>45</v>
      </c>
      <c r="L1372" t="s">
        <v>45</v>
      </c>
      <c r="M1372" t="s">
        <v>45</v>
      </c>
      <c r="N1372" t="s">
        <v>45</v>
      </c>
      <c r="O1372" t="s">
        <v>45</v>
      </c>
      <c r="P1372" t="s">
        <v>45</v>
      </c>
      <c r="Q1372" t="s">
        <v>428</v>
      </c>
      <c r="R1372" t="s">
        <v>6153</v>
      </c>
      <c r="U1372" t="s">
        <v>6155</v>
      </c>
    </row>
    <row r="1373" spans="1:21" x14ac:dyDescent="0.25">
      <c r="A1373" t="s">
        <v>6156</v>
      </c>
      <c r="B1373" t="s">
        <v>38</v>
      </c>
      <c r="C1373" t="s">
        <v>6157</v>
      </c>
      <c r="D1373">
        <f>372-6631040</f>
        <v>-6630668</v>
      </c>
      <c r="E1373" t="s">
        <v>6114</v>
      </c>
      <c r="F1373" t="s">
        <v>6115</v>
      </c>
      <c r="G1373" t="s">
        <v>6116</v>
      </c>
      <c r="H1373">
        <v>24.762378795948699</v>
      </c>
      <c r="I1373">
        <v>59.4413436236132</v>
      </c>
      <c r="J1373">
        <v>115</v>
      </c>
      <c r="K1373" t="s">
        <v>192</v>
      </c>
      <c r="L1373" t="s">
        <v>192</v>
      </c>
      <c r="M1373" t="s">
        <v>192</v>
      </c>
      <c r="N1373" t="s">
        <v>192</v>
      </c>
      <c r="O1373" t="s">
        <v>192</v>
      </c>
      <c r="P1373" t="s">
        <v>192</v>
      </c>
      <c r="Q1373" t="s">
        <v>192</v>
      </c>
      <c r="R1373" t="s">
        <v>6157</v>
      </c>
      <c r="S1373" t="s">
        <v>6158</v>
      </c>
      <c r="U1373" t="s">
        <v>6159</v>
      </c>
    </row>
    <row r="1374" spans="1:21" x14ac:dyDescent="0.25">
      <c r="A1374" t="s">
        <v>6160</v>
      </c>
      <c r="B1374" t="s">
        <v>38</v>
      </c>
      <c r="C1374" t="s">
        <v>6161</v>
      </c>
      <c r="D1374">
        <f>372-3355034</f>
        <v>-3354662</v>
      </c>
      <c r="E1374" t="s">
        <v>6162</v>
      </c>
      <c r="F1374" t="s">
        <v>6115</v>
      </c>
      <c r="G1374" t="s">
        <v>6116</v>
      </c>
      <c r="H1374">
        <v>27.418832999999999</v>
      </c>
      <c r="I1374">
        <v>59.352837000000001</v>
      </c>
      <c r="J1374">
        <v>115</v>
      </c>
      <c r="K1374" t="s">
        <v>45</v>
      </c>
      <c r="L1374" t="s">
        <v>45</v>
      </c>
      <c r="M1374" t="s">
        <v>45</v>
      </c>
      <c r="N1374" t="s">
        <v>45</v>
      </c>
      <c r="O1374" t="s">
        <v>45</v>
      </c>
      <c r="P1374" t="s">
        <v>45</v>
      </c>
      <c r="Q1374" t="s">
        <v>535</v>
      </c>
      <c r="R1374" t="s">
        <v>6161</v>
      </c>
      <c r="U1374" t="s">
        <v>6163</v>
      </c>
    </row>
    <row r="1375" spans="1:21" x14ac:dyDescent="0.25">
      <c r="A1375" t="s">
        <v>6164</v>
      </c>
      <c r="B1375" t="s">
        <v>38</v>
      </c>
      <c r="C1375" t="s">
        <v>6165</v>
      </c>
      <c r="D1375">
        <f>201-1226100109</f>
        <v>-1226099908</v>
      </c>
      <c r="E1375" t="s">
        <v>6166</v>
      </c>
      <c r="F1375" t="s">
        <v>6167</v>
      </c>
      <c r="G1375" t="s">
        <v>6168</v>
      </c>
      <c r="H1375">
        <v>29.943459000000001</v>
      </c>
      <c r="I1375">
        <v>31.213885000000001</v>
      </c>
      <c r="J1375">
        <v>120</v>
      </c>
      <c r="K1375" t="s">
        <v>28</v>
      </c>
      <c r="L1375" t="s">
        <v>28</v>
      </c>
      <c r="M1375" t="s">
        <v>28</v>
      </c>
      <c r="N1375" t="s">
        <v>28</v>
      </c>
      <c r="O1375" t="s">
        <v>28</v>
      </c>
      <c r="P1375" t="s">
        <v>28</v>
      </c>
      <c r="Q1375" t="s">
        <v>28</v>
      </c>
      <c r="R1375" t="s">
        <v>6165</v>
      </c>
      <c r="S1375" t="s">
        <v>6169</v>
      </c>
      <c r="U1375" t="s">
        <v>6170</v>
      </c>
    </row>
    <row r="1376" spans="1:21" x14ac:dyDescent="0.25">
      <c r="A1376" t="s">
        <v>6171</v>
      </c>
      <c r="B1376" t="s">
        <v>22</v>
      </c>
      <c r="C1376" t="s">
        <v>6172</v>
      </c>
      <c r="D1376">
        <f>202-24802611</f>
        <v>-24802409</v>
      </c>
      <c r="E1376" t="s">
        <v>6173</v>
      </c>
      <c r="F1376" t="s">
        <v>6167</v>
      </c>
      <c r="G1376" t="s">
        <v>6168</v>
      </c>
      <c r="H1376">
        <v>31.345782</v>
      </c>
      <c r="I1376">
        <v>30.073678999999998</v>
      </c>
      <c r="J1376">
        <v>120</v>
      </c>
      <c r="K1376" t="s">
        <v>28</v>
      </c>
      <c r="L1376" t="s">
        <v>28</v>
      </c>
      <c r="M1376" t="s">
        <v>28</v>
      </c>
      <c r="N1376" t="s">
        <v>28</v>
      </c>
      <c r="O1376" t="s">
        <v>28</v>
      </c>
      <c r="P1376" t="s">
        <v>28</v>
      </c>
      <c r="Q1376" t="s">
        <v>28</v>
      </c>
      <c r="R1376" t="s">
        <v>6172</v>
      </c>
      <c r="S1376" t="s">
        <v>6174</v>
      </c>
      <c r="U1376" t="s">
        <v>6175</v>
      </c>
    </row>
    <row r="1377" spans="1:21" x14ac:dyDescent="0.25">
      <c r="A1377" t="s">
        <v>6176</v>
      </c>
      <c r="B1377" t="s">
        <v>22</v>
      </c>
      <c r="C1377" t="s">
        <v>6177</v>
      </c>
      <c r="D1377">
        <f>203-3970186</f>
        <v>-3969983</v>
      </c>
      <c r="E1377" t="s">
        <v>6166</v>
      </c>
      <c r="F1377" t="s">
        <v>6167</v>
      </c>
      <c r="G1377" t="s">
        <v>6168</v>
      </c>
      <c r="H1377">
        <v>29.932236</v>
      </c>
      <c r="I1377">
        <v>31.168638000000001</v>
      </c>
      <c r="J1377">
        <v>120</v>
      </c>
      <c r="K1377" t="s">
        <v>28</v>
      </c>
      <c r="L1377" t="s">
        <v>28</v>
      </c>
      <c r="M1377" t="s">
        <v>28</v>
      </c>
      <c r="N1377" t="s">
        <v>28</v>
      </c>
      <c r="O1377" t="s">
        <v>28</v>
      </c>
      <c r="P1377" t="s">
        <v>28</v>
      </c>
      <c r="Q1377" t="s">
        <v>28</v>
      </c>
      <c r="R1377" t="s">
        <v>6177</v>
      </c>
      <c r="S1377" t="s">
        <v>6178</v>
      </c>
      <c r="U1377" t="s">
        <v>6179</v>
      </c>
    </row>
    <row r="1378" spans="1:21" x14ac:dyDescent="0.25">
      <c r="A1378" t="s">
        <v>6180</v>
      </c>
      <c r="B1378" t="s">
        <v>22</v>
      </c>
      <c r="C1378" t="s">
        <v>6181</v>
      </c>
      <c r="D1378">
        <f>202-35394128</f>
        <v>-35393926</v>
      </c>
      <c r="E1378" t="s">
        <v>6173</v>
      </c>
      <c r="F1378" t="s">
        <v>6167</v>
      </c>
      <c r="G1378" t="s">
        <v>6168</v>
      </c>
      <c r="H1378">
        <v>31.027958000000002</v>
      </c>
      <c r="I1378">
        <v>30.063174</v>
      </c>
      <c r="J1378">
        <v>120</v>
      </c>
      <c r="K1378" t="s">
        <v>28</v>
      </c>
      <c r="L1378" t="s">
        <v>28</v>
      </c>
      <c r="M1378" t="s">
        <v>28</v>
      </c>
      <c r="N1378" t="s">
        <v>28</v>
      </c>
      <c r="O1378" t="s">
        <v>28</v>
      </c>
      <c r="P1378" t="s">
        <v>28</v>
      </c>
      <c r="Q1378" t="s">
        <v>28</v>
      </c>
      <c r="R1378" t="s">
        <v>6181</v>
      </c>
      <c r="S1378" t="s">
        <v>6182</v>
      </c>
      <c r="U1378" t="s">
        <v>6183</v>
      </c>
    </row>
    <row r="1379" spans="1:21" x14ac:dyDescent="0.25">
      <c r="A1379" t="s">
        <v>6184</v>
      </c>
      <c r="B1379" t="s">
        <v>22</v>
      </c>
      <c r="C1379" t="s">
        <v>6185</v>
      </c>
      <c r="D1379">
        <f>2-224803778</f>
        <v>-224803776</v>
      </c>
      <c r="E1379" t="s">
        <v>6173</v>
      </c>
      <c r="F1379" t="s">
        <v>6167</v>
      </c>
      <c r="G1379" t="s">
        <v>6168</v>
      </c>
      <c r="H1379">
        <v>31.195709999999998</v>
      </c>
      <c r="I1379">
        <v>30.057051999999999</v>
      </c>
      <c r="J1379">
        <v>120</v>
      </c>
      <c r="K1379" t="s">
        <v>28</v>
      </c>
      <c r="L1379" t="s">
        <v>28</v>
      </c>
      <c r="M1379" t="s">
        <v>28</v>
      </c>
      <c r="N1379" t="s">
        <v>28</v>
      </c>
      <c r="O1379" t="s">
        <v>28</v>
      </c>
      <c r="P1379" t="s">
        <v>28</v>
      </c>
      <c r="Q1379" t="s">
        <v>28</v>
      </c>
      <c r="R1379" t="s">
        <v>6185</v>
      </c>
      <c r="U1379" t="s">
        <v>6186</v>
      </c>
    </row>
    <row r="1380" spans="1:21" x14ac:dyDescent="0.25">
      <c r="A1380" t="s">
        <v>6187</v>
      </c>
      <c r="B1380" t="s">
        <v>22</v>
      </c>
      <c r="C1380" t="s">
        <v>6188</v>
      </c>
      <c r="D1380">
        <f>202-23146241</f>
        <v>-23146039</v>
      </c>
      <c r="E1380" t="s">
        <v>6173</v>
      </c>
      <c r="F1380" t="s">
        <v>6167</v>
      </c>
      <c r="G1380" t="s">
        <v>6168</v>
      </c>
      <c r="H1380">
        <v>31.37538</v>
      </c>
      <c r="I1380">
        <v>29.972049999999999</v>
      </c>
      <c r="J1380">
        <v>120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  <c r="Q1380" t="s">
        <v>34</v>
      </c>
      <c r="R1380" t="s">
        <v>6188</v>
      </c>
      <c r="U1380" t="s">
        <v>6189</v>
      </c>
    </row>
    <row r="1381" spans="1:21" x14ac:dyDescent="0.25">
      <c r="A1381" t="s">
        <v>6190</v>
      </c>
      <c r="B1381" t="s">
        <v>32</v>
      </c>
      <c r="C1381" t="s">
        <v>6191</v>
      </c>
      <c r="D1381">
        <f>2-224803825</f>
        <v>-224803823</v>
      </c>
      <c r="E1381" t="s">
        <v>6173</v>
      </c>
      <c r="F1381" t="s">
        <v>6167</v>
      </c>
      <c r="G1381" t="s">
        <v>6168</v>
      </c>
      <c r="H1381">
        <v>31.408397999999998</v>
      </c>
      <c r="I1381">
        <v>30.027308000000001</v>
      </c>
      <c r="J1381">
        <v>120</v>
      </c>
      <c r="K1381" t="s">
        <v>28</v>
      </c>
      <c r="L1381" t="s">
        <v>28</v>
      </c>
      <c r="M1381" t="s">
        <v>28</v>
      </c>
      <c r="N1381" t="s">
        <v>28</v>
      </c>
      <c r="O1381" t="s">
        <v>28</v>
      </c>
      <c r="P1381" t="s">
        <v>28</v>
      </c>
      <c r="Q1381" t="s">
        <v>28</v>
      </c>
      <c r="R1381" t="s">
        <v>6191</v>
      </c>
      <c r="U1381" t="s">
        <v>6192</v>
      </c>
    </row>
    <row r="1382" spans="1:21" x14ac:dyDescent="0.25">
      <c r="A1382" t="s">
        <v>6193</v>
      </c>
      <c r="B1382" t="s">
        <v>38</v>
      </c>
      <c r="C1382" t="s">
        <v>6194</v>
      </c>
      <c r="D1382">
        <f>202-225204467</f>
        <v>-225204265</v>
      </c>
      <c r="E1382" t="s">
        <v>6173</v>
      </c>
      <c r="F1382" t="s">
        <v>6167</v>
      </c>
      <c r="G1382" t="s">
        <v>6168</v>
      </c>
      <c r="H1382">
        <v>31.316946999999999</v>
      </c>
      <c r="I1382">
        <v>29.983302999999999</v>
      </c>
      <c r="J1382">
        <v>120</v>
      </c>
      <c r="K1382" t="s">
        <v>28</v>
      </c>
      <c r="L1382" t="s">
        <v>28</v>
      </c>
      <c r="M1382" t="s">
        <v>28</v>
      </c>
      <c r="N1382" t="s">
        <v>28</v>
      </c>
      <c r="O1382" t="s">
        <v>28</v>
      </c>
      <c r="P1382" t="s">
        <v>28</v>
      </c>
      <c r="Q1382" t="s">
        <v>28</v>
      </c>
      <c r="R1382" t="s">
        <v>6194</v>
      </c>
      <c r="U1382" t="s">
        <v>6195</v>
      </c>
    </row>
    <row r="1383" spans="1:21" x14ac:dyDescent="0.25">
      <c r="A1383" t="s">
        <v>6196</v>
      </c>
      <c r="B1383" t="s">
        <v>22</v>
      </c>
      <c r="C1383" t="s">
        <v>6197</v>
      </c>
      <c r="E1383" t="s">
        <v>6173</v>
      </c>
      <c r="F1383" t="s">
        <v>6167</v>
      </c>
      <c r="G1383" t="s">
        <v>6168</v>
      </c>
      <c r="H1383">
        <v>31.195730999999999</v>
      </c>
      <c r="I1383">
        <v>30.05705</v>
      </c>
      <c r="J1383">
        <v>120</v>
      </c>
      <c r="K1383" t="s">
        <v>28</v>
      </c>
      <c r="L1383" t="s">
        <v>28</v>
      </c>
      <c r="M1383" t="s">
        <v>28</v>
      </c>
      <c r="N1383" t="s">
        <v>28</v>
      </c>
      <c r="O1383" t="s">
        <v>28</v>
      </c>
      <c r="P1383" t="s">
        <v>28</v>
      </c>
      <c r="Q1383" t="s">
        <v>28</v>
      </c>
      <c r="R1383" t="s">
        <v>6197</v>
      </c>
      <c r="U1383" t="s">
        <v>6198</v>
      </c>
    </row>
    <row r="1384" spans="1:21" x14ac:dyDescent="0.25">
      <c r="A1384" t="s">
        <v>6199</v>
      </c>
      <c r="B1384" t="s">
        <v>22</v>
      </c>
      <c r="C1384" t="s">
        <v>6200</v>
      </c>
      <c r="D1384">
        <f>201-1001358206</f>
        <v>-1001358005</v>
      </c>
      <c r="E1384" t="s">
        <v>6173</v>
      </c>
      <c r="F1384" t="s">
        <v>6167</v>
      </c>
      <c r="G1384" t="s">
        <v>6168</v>
      </c>
      <c r="H1384">
        <v>31.494928000000002</v>
      </c>
      <c r="I1384">
        <v>30.020325</v>
      </c>
      <c r="J1384">
        <v>120</v>
      </c>
      <c r="K1384" t="s">
        <v>28</v>
      </c>
      <c r="L1384" t="s">
        <v>28</v>
      </c>
      <c r="M1384" t="s">
        <v>28</v>
      </c>
      <c r="N1384" t="s">
        <v>28</v>
      </c>
      <c r="O1384" t="s">
        <v>28</v>
      </c>
      <c r="P1384" t="s">
        <v>28</v>
      </c>
      <c r="Q1384" t="s">
        <v>28</v>
      </c>
      <c r="R1384" t="s">
        <v>6200</v>
      </c>
      <c r="U1384" t="s">
        <v>6201</v>
      </c>
    </row>
    <row r="1385" spans="1:21" x14ac:dyDescent="0.25">
      <c r="A1385" t="s">
        <v>6202</v>
      </c>
      <c r="B1385" t="s">
        <v>22</v>
      </c>
      <c r="C1385" t="s">
        <v>6203</v>
      </c>
      <c r="D1385">
        <f>20-224803690</f>
        <v>-224803670</v>
      </c>
      <c r="E1385" t="s">
        <v>6173</v>
      </c>
      <c r="F1385" t="s">
        <v>6167</v>
      </c>
      <c r="G1385" t="s">
        <v>6168</v>
      </c>
      <c r="H1385">
        <v>31.016306</v>
      </c>
      <c r="I1385">
        <v>29.971979999999999</v>
      </c>
      <c r="J1385">
        <v>120</v>
      </c>
      <c r="K1385" t="s">
        <v>28</v>
      </c>
      <c r="L1385" t="s">
        <v>28</v>
      </c>
      <c r="M1385" t="s">
        <v>28</v>
      </c>
      <c r="N1385" t="s">
        <v>28</v>
      </c>
      <c r="O1385" t="s">
        <v>28</v>
      </c>
      <c r="P1385" t="s">
        <v>28</v>
      </c>
      <c r="Q1385" t="s">
        <v>28</v>
      </c>
      <c r="R1385" t="s">
        <v>6203</v>
      </c>
      <c r="U1385" t="s">
        <v>6204</v>
      </c>
    </row>
    <row r="1386" spans="1:21" x14ac:dyDescent="0.25">
      <c r="A1386" t="s">
        <v>6205</v>
      </c>
      <c r="B1386" t="s">
        <v>38</v>
      </c>
      <c r="C1386" t="s">
        <v>6173</v>
      </c>
      <c r="D1386">
        <f>20-224803878</f>
        <v>-224803858</v>
      </c>
      <c r="E1386" t="s">
        <v>6173</v>
      </c>
      <c r="F1386" t="s">
        <v>6167</v>
      </c>
      <c r="G1386" t="s">
        <v>6168</v>
      </c>
      <c r="H1386">
        <v>31.200773999999999</v>
      </c>
      <c r="I1386">
        <v>30.040813</v>
      </c>
      <c r="J1386">
        <v>120</v>
      </c>
      <c r="K1386" t="s">
        <v>28</v>
      </c>
      <c r="L1386" t="s">
        <v>28</v>
      </c>
      <c r="M1386" t="s">
        <v>28</v>
      </c>
      <c r="N1386" t="s">
        <v>28</v>
      </c>
      <c r="O1386" t="s">
        <v>28</v>
      </c>
      <c r="P1386" t="s">
        <v>28</v>
      </c>
      <c r="Q1386" t="s">
        <v>28</v>
      </c>
      <c r="R1386" t="s">
        <v>6173</v>
      </c>
      <c r="U1386" t="s">
        <v>6206</v>
      </c>
    </row>
    <row r="1387" spans="1:21" x14ac:dyDescent="0.25">
      <c r="A1387" t="s">
        <v>6207</v>
      </c>
      <c r="B1387" t="s">
        <v>38</v>
      </c>
      <c r="C1387" t="s">
        <v>6208</v>
      </c>
      <c r="D1387">
        <f>20-24803885</f>
        <v>-24803865</v>
      </c>
      <c r="E1387" t="s">
        <v>6173</v>
      </c>
      <c r="F1387" t="s">
        <v>6167</v>
      </c>
      <c r="G1387" t="s">
        <v>6168</v>
      </c>
      <c r="H1387">
        <v>31.195730999999999</v>
      </c>
      <c r="I1387">
        <v>30.096957</v>
      </c>
      <c r="J1387">
        <v>120</v>
      </c>
      <c r="K1387" t="s">
        <v>28</v>
      </c>
      <c r="L1387" t="s">
        <v>28</v>
      </c>
      <c r="M1387" t="s">
        <v>28</v>
      </c>
      <c r="N1387" t="s">
        <v>28</v>
      </c>
      <c r="O1387" t="s">
        <v>28</v>
      </c>
      <c r="P1387" t="s">
        <v>28</v>
      </c>
      <c r="Q1387" t="s">
        <v>28</v>
      </c>
      <c r="R1387" t="s">
        <v>6208</v>
      </c>
      <c r="S1387" t="s">
        <v>6209</v>
      </c>
      <c r="U1387" t="s">
        <v>6210</v>
      </c>
    </row>
    <row r="1388" spans="1:21" x14ac:dyDescent="0.25">
      <c r="A1388" t="s">
        <v>6211</v>
      </c>
      <c r="B1388" t="s">
        <v>22</v>
      </c>
      <c r="C1388" t="s">
        <v>6212</v>
      </c>
      <c r="E1388" t="s">
        <v>6173</v>
      </c>
      <c r="F1388" t="s">
        <v>6167</v>
      </c>
      <c r="G1388" t="s">
        <v>6168</v>
      </c>
      <c r="H1388">
        <v>31.364630149307899</v>
      </c>
      <c r="I1388">
        <v>30.0810143881314</v>
      </c>
      <c r="J1388">
        <v>120</v>
      </c>
      <c r="K1388" t="s">
        <v>92</v>
      </c>
      <c r="L1388" t="s">
        <v>92</v>
      </c>
      <c r="M1388" t="s">
        <v>92</v>
      </c>
      <c r="N1388" t="s">
        <v>6213</v>
      </c>
      <c r="O1388" t="s">
        <v>6213</v>
      </c>
      <c r="P1388" t="s">
        <v>6213</v>
      </c>
      <c r="Q1388" t="s">
        <v>92</v>
      </c>
      <c r="R1388" t="s">
        <v>6214</v>
      </c>
      <c r="U1388" t="s">
        <v>6215</v>
      </c>
    </row>
    <row r="1389" spans="1:21" x14ac:dyDescent="0.25">
      <c r="A1389" t="s">
        <v>6216</v>
      </c>
      <c r="B1389" t="s">
        <v>22</v>
      </c>
      <c r="C1389" t="s">
        <v>6217</v>
      </c>
      <c r="D1389">
        <f t="shared" ref="D1389:D1420" si="40">34-901120084</f>
        <v>-901120050</v>
      </c>
      <c r="E1389" t="s">
        <v>6218</v>
      </c>
      <c r="F1389" t="s">
        <v>6219</v>
      </c>
      <c r="G1389" t="s">
        <v>6220</v>
      </c>
      <c r="H1389">
        <v>2.1979151488267199</v>
      </c>
      <c r="I1389">
        <v>41.439341109929302</v>
      </c>
      <c r="J1389">
        <v>100</v>
      </c>
      <c r="K1389" t="s">
        <v>312</v>
      </c>
      <c r="L1389" t="s">
        <v>312</v>
      </c>
      <c r="M1389" t="s">
        <v>312</v>
      </c>
      <c r="N1389" t="s">
        <v>312</v>
      </c>
      <c r="O1389" t="s">
        <v>312</v>
      </c>
      <c r="P1389" t="s">
        <v>312</v>
      </c>
      <c r="R1389" t="s">
        <v>6221</v>
      </c>
      <c r="T1389" t="s">
        <v>6222</v>
      </c>
      <c r="U1389" t="s">
        <v>6223</v>
      </c>
    </row>
    <row r="1390" spans="1:21" x14ac:dyDescent="0.25">
      <c r="A1390" t="s">
        <v>6224</v>
      </c>
      <c r="B1390" t="s">
        <v>22</v>
      </c>
      <c r="C1390" t="s">
        <v>6225</v>
      </c>
      <c r="D1390">
        <f t="shared" si="40"/>
        <v>-901120050</v>
      </c>
      <c r="E1390" t="s">
        <v>6226</v>
      </c>
      <c r="F1390" t="s">
        <v>6219</v>
      </c>
      <c r="G1390" t="s">
        <v>6220</v>
      </c>
      <c r="H1390">
        <v>2.2481632232665998</v>
      </c>
      <c r="I1390">
        <v>41.449328955189102</v>
      </c>
      <c r="J1390">
        <v>100</v>
      </c>
      <c r="K1390" t="s">
        <v>536</v>
      </c>
      <c r="L1390" t="s">
        <v>536</v>
      </c>
      <c r="M1390" t="s">
        <v>536</v>
      </c>
      <c r="N1390" t="s">
        <v>536</v>
      </c>
      <c r="O1390" t="s">
        <v>536</v>
      </c>
      <c r="P1390" t="s">
        <v>536</v>
      </c>
      <c r="R1390" t="s">
        <v>6225</v>
      </c>
      <c r="T1390" t="s">
        <v>6222</v>
      </c>
      <c r="U1390" t="s">
        <v>6227</v>
      </c>
    </row>
    <row r="1391" spans="1:21" x14ac:dyDescent="0.25">
      <c r="A1391" t="s">
        <v>6228</v>
      </c>
      <c r="B1391" t="s">
        <v>22</v>
      </c>
      <c r="C1391" t="s">
        <v>6229</v>
      </c>
      <c r="D1391">
        <f t="shared" si="40"/>
        <v>-901120050</v>
      </c>
      <c r="E1391" t="s">
        <v>6230</v>
      </c>
      <c r="F1391" t="s">
        <v>6219</v>
      </c>
      <c r="G1391" t="s">
        <v>6220</v>
      </c>
      <c r="H1391">
        <v>-0.4878830909729</v>
      </c>
      <c r="I1391">
        <v>39.470920208138097</v>
      </c>
      <c r="J1391">
        <v>100</v>
      </c>
      <c r="K1391" t="s">
        <v>27</v>
      </c>
      <c r="L1391" t="s">
        <v>27</v>
      </c>
      <c r="M1391" t="s">
        <v>27</v>
      </c>
      <c r="N1391" t="s">
        <v>27</v>
      </c>
      <c r="O1391" t="s">
        <v>27</v>
      </c>
      <c r="P1391" t="s">
        <v>27</v>
      </c>
      <c r="R1391" t="s">
        <v>6231</v>
      </c>
      <c r="T1391" t="s">
        <v>6232</v>
      </c>
      <c r="U1391" t="s">
        <v>6233</v>
      </c>
    </row>
    <row r="1392" spans="1:21" x14ac:dyDescent="0.25">
      <c r="A1392" t="s">
        <v>6234</v>
      </c>
      <c r="B1392" t="s">
        <v>22</v>
      </c>
      <c r="C1392" t="s">
        <v>6235</v>
      </c>
      <c r="D1392">
        <f t="shared" si="40"/>
        <v>-901120050</v>
      </c>
      <c r="E1392" t="s">
        <v>6236</v>
      </c>
      <c r="F1392" t="s">
        <v>6219</v>
      </c>
      <c r="G1392" t="s">
        <v>6220</v>
      </c>
      <c r="H1392">
        <v>-0.88993549346923995</v>
      </c>
      <c r="I1392">
        <v>41.670187025037997</v>
      </c>
      <c r="J1392">
        <v>100</v>
      </c>
      <c r="K1392" t="s">
        <v>27</v>
      </c>
      <c r="L1392" t="s">
        <v>27</v>
      </c>
      <c r="M1392" t="s">
        <v>27</v>
      </c>
      <c r="N1392" t="s">
        <v>27</v>
      </c>
      <c r="O1392" t="s">
        <v>27</v>
      </c>
      <c r="P1392" t="s">
        <v>27</v>
      </c>
      <c r="R1392" t="s">
        <v>6237</v>
      </c>
      <c r="T1392" t="s">
        <v>6238</v>
      </c>
      <c r="U1392" t="s">
        <v>6239</v>
      </c>
    </row>
    <row r="1393" spans="1:21" x14ac:dyDescent="0.25">
      <c r="A1393" t="s">
        <v>6240</v>
      </c>
      <c r="B1393" t="s">
        <v>22</v>
      </c>
      <c r="C1393" t="s">
        <v>6241</v>
      </c>
      <c r="D1393">
        <f t="shared" si="40"/>
        <v>-901120050</v>
      </c>
      <c r="E1393" t="s">
        <v>6242</v>
      </c>
      <c r="F1393" t="s">
        <v>6219</v>
      </c>
      <c r="G1393" t="s">
        <v>6220</v>
      </c>
      <c r="H1393">
        <v>-3.6954587000000001</v>
      </c>
      <c r="I1393">
        <v>40.448083199999999</v>
      </c>
      <c r="J1393">
        <v>100</v>
      </c>
      <c r="K1393" t="s">
        <v>2137</v>
      </c>
      <c r="L1393" t="s">
        <v>2137</v>
      </c>
      <c r="M1393" t="s">
        <v>2137</v>
      </c>
      <c r="N1393" t="s">
        <v>2137</v>
      </c>
      <c r="O1393" t="s">
        <v>2137</v>
      </c>
      <c r="P1393" t="s">
        <v>2137</v>
      </c>
      <c r="Q1393" t="s">
        <v>1501</v>
      </c>
      <c r="R1393" t="s">
        <v>6241</v>
      </c>
      <c r="T1393" t="s">
        <v>6243</v>
      </c>
      <c r="U1393" t="s">
        <v>6244</v>
      </c>
    </row>
    <row r="1394" spans="1:21" x14ac:dyDescent="0.25">
      <c r="A1394" t="s">
        <v>6245</v>
      </c>
      <c r="B1394" t="s">
        <v>22</v>
      </c>
      <c r="C1394" t="s">
        <v>6246</v>
      </c>
      <c r="D1394">
        <f t="shared" si="40"/>
        <v>-901120050</v>
      </c>
      <c r="E1394" t="s">
        <v>6247</v>
      </c>
      <c r="F1394" t="s">
        <v>6219</v>
      </c>
      <c r="G1394" t="s">
        <v>6220</v>
      </c>
      <c r="H1394">
        <v>2.1292448043823198</v>
      </c>
      <c r="I1394">
        <v>41.358289343312897</v>
      </c>
      <c r="J1394">
        <v>100</v>
      </c>
      <c r="K1394" t="s">
        <v>290</v>
      </c>
      <c r="L1394" t="s">
        <v>290</v>
      </c>
      <c r="M1394" t="s">
        <v>290</v>
      </c>
      <c r="N1394" t="s">
        <v>290</v>
      </c>
      <c r="O1394" t="s">
        <v>290</v>
      </c>
      <c r="P1394" t="s">
        <v>290</v>
      </c>
      <c r="R1394" t="s">
        <v>6248</v>
      </c>
      <c r="T1394" t="s">
        <v>6222</v>
      </c>
      <c r="U1394" t="s">
        <v>6249</v>
      </c>
    </row>
    <row r="1395" spans="1:21" x14ac:dyDescent="0.25">
      <c r="A1395" t="s">
        <v>6250</v>
      </c>
      <c r="B1395" t="s">
        <v>22</v>
      </c>
      <c r="C1395" t="s">
        <v>6251</v>
      </c>
      <c r="D1395">
        <f t="shared" si="40"/>
        <v>-901120050</v>
      </c>
      <c r="E1395" t="s">
        <v>6252</v>
      </c>
      <c r="F1395" t="s">
        <v>6219</v>
      </c>
      <c r="G1395" t="s">
        <v>6220</v>
      </c>
      <c r="H1395">
        <v>-2.98909664154053</v>
      </c>
      <c r="I1395">
        <v>43.341097631156998</v>
      </c>
      <c r="J1395">
        <v>100</v>
      </c>
      <c r="K1395" t="s">
        <v>27</v>
      </c>
      <c r="L1395" t="s">
        <v>27</v>
      </c>
      <c r="M1395" t="s">
        <v>27</v>
      </c>
      <c r="N1395" t="s">
        <v>27</v>
      </c>
      <c r="O1395" t="s">
        <v>27</v>
      </c>
      <c r="P1395" t="s">
        <v>27</v>
      </c>
      <c r="R1395" t="s">
        <v>6251</v>
      </c>
      <c r="S1395" t="s">
        <v>6253</v>
      </c>
      <c r="T1395" t="s">
        <v>6254</v>
      </c>
      <c r="U1395" t="s">
        <v>6255</v>
      </c>
    </row>
    <row r="1396" spans="1:21" x14ac:dyDescent="0.25">
      <c r="A1396" t="s">
        <v>6256</v>
      </c>
      <c r="B1396" t="s">
        <v>22</v>
      </c>
      <c r="C1396" t="s">
        <v>6257</v>
      </c>
      <c r="D1396">
        <f t="shared" si="40"/>
        <v>-901120050</v>
      </c>
      <c r="E1396" t="s">
        <v>6258</v>
      </c>
      <c r="F1396" t="s">
        <v>6219</v>
      </c>
      <c r="G1396" t="s">
        <v>6220</v>
      </c>
      <c r="H1396">
        <v>-1.6312122344970701</v>
      </c>
      <c r="I1396">
        <v>42.783433064175803</v>
      </c>
      <c r="J1396">
        <v>100</v>
      </c>
      <c r="K1396" t="s">
        <v>27</v>
      </c>
      <c r="L1396" t="s">
        <v>27</v>
      </c>
      <c r="M1396" t="s">
        <v>27</v>
      </c>
      <c r="N1396" t="s">
        <v>27</v>
      </c>
      <c r="O1396" t="s">
        <v>27</v>
      </c>
      <c r="P1396" t="s">
        <v>27</v>
      </c>
      <c r="R1396" t="s">
        <v>6257</v>
      </c>
      <c r="S1396" t="s">
        <v>6259</v>
      </c>
      <c r="T1396" t="s">
        <v>6260</v>
      </c>
      <c r="U1396" t="s">
        <v>6261</v>
      </c>
    </row>
    <row r="1397" spans="1:21" x14ac:dyDescent="0.25">
      <c r="A1397" t="s">
        <v>6262</v>
      </c>
      <c r="B1397" t="s">
        <v>22</v>
      </c>
      <c r="C1397" t="s">
        <v>6263</v>
      </c>
      <c r="D1397">
        <f t="shared" si="40"/>
        <v>-901120050</v>
      </c>
      <c r="E1397" t="s">
        <v>6264</v>
      </c>
      <c r="F1397" t="s">
        <v>6219</v>
      </c>
      <c r="G1397" t="s">
        <v>6220</v>
      </c>
      <c r="H1397">
        <v>2.0107406000000001</v>
      </c>
      <c r="I1397">
        <v>41.561792599999997</v>
      </c>
      <c r="J1397">
        <v>100</v>
      </c>
      <c r="K1397" t="s">
        <v>536</v>
      </c>
      <c r="L1397" t="s">
        <v>536</v>
      </c>
      <c r="M1397" t="s">
        <v>536</v>
      </c>
      <c r="N1397" t="s">
        <v>536</v>
      </c>
      <c r="O1397" t="s">
        <v>536</v>
      </c>
      <c r="P1397" t="s">
        <v>536</v>
      </c>
      <c r="R1397" t="s">
        <v>6263</v>
      </c>
      <c r="T1397" t="s">
        <v>6222</v>
      </c>
      <c r="U1397" t="s">
        <v>6265</v>
      </c>
    </row>
    <row r="1398" spans="1:21" x14ac:dyDescent="0.25">
      <c r="A1398" t="s">
        <v>6266</v>
      </c>
      <c r="B1398" t="s">
        <v>22</v>
      </c>
      <c r="C1398" t="s">
        <v>6267</v>
      </c>
      <c r="D1398">
        <f t="shared" si="40"/>
        <v>-901120050</v>
      </c>
      <c r="E1398" t="s">
        <v>6242</v>
      </c>
      <c r="F1398" t="s">
        <v>6219</v>
      </c>
      <c r="G1398" t="s">
        <v>6220</v>
      </c>
      <c r="H1398">
        <v>-3.9243507385253902</v>
      </c>
      <c r="I1398">
        <v>40.299886938201901</v>
      </c>
      <c r="J1398">
        <v>100</v>
      </c>
      <c r="K1398" t="s">
        <v>27</v>
      </c>
      <c r="L1398" t="s">
        <v>27</v>
      </c>
      <c r="M1398" t="s">
        <v>27</v>
      </c>
      <c r="N1398" t="s">
        <v>27</v>
      </c>
      <c r="O1398" t="s">
        <v>27</v>
      </c>
      <c r="P1398" t="s">
        <v>27</v>
      </c>
      <c r="Q1398" t="s">
        <v>27</v>
      </c>
      <c r="R1398" t="s">
        <v>6268</v>
      </c>
      <c r="T1398" t="s">
        <v>6243</v>
      </c>
      <c r="U1398" t="s">
        <v>6269</v>
      </c>
    </row>
    <row r="1399" spans="1:21" x14ac:dyDescent="0.25">
      <c r="A1399" t="s">
        <v>6270</v>
      </c>
      <c r="B1399" t="s">
        <v>22</v>
      </c>
      <c r="C1399" t="s">
        <v>6271</v>
      </c>
      <c r="D1399">
        <f t="shared" si="40"/>
        <v>-901120050</v>
      </c>
      <c r="E1399" t="s">
        <v>6272</v>
      </c>
      <c r="F1399" t="s">
        <v>6219</v>
      </c>
      <c r="G1399" t="s">
        <v>6220</v>
      </c>
      <c r="H1399">
        <v>-0.47245502471924</v>
      </c>
      <c r="I1399">
        <v>38.353839943715101</v>
      </c>
      <c r="J1399">
        <v>100</v>
      </c>
      <c r="K1399" t="s">
        <v>27</v>
      </c>
      <c r="L1399" t="s">
        <v>27</v>
      </c>
      <c r="M1399" t="s">
        <v>27</v>
      </c>
      <c r="N1399" t="s">
        <v>27</v>
      </c>
      <c r="O1399" t="s">
        <v>27</v>
      </c>
      <c r="P1399" t="s">
        <v>27</v>
      </c>
      <c r="Q1399" t="s">
        <v>27</v>
      </c>
      <c r="R1399" t="s">
        <v>6273</v>
      </c>
      <c r="T1399" t="s">
        <v>6232</v>
      </c>
      <c r="U1399" t="s">
        <v>6274</v>
      </c>
    </row>
    <row r="1400" spans="1:21" x14ac:dyDescent="0.25">
      <c r="A1400" t="s">
        <v>6275</v>
      </c>
      <c r="B1400" t="s">
        <v>22</v>
      </c>
      <c r="C1400" t="s">
        <v>6276</v>
      </c>
      <c r="D1400">
        <f t="shared" si="40"/>
        <v>-901120050</v>
      </c>
      <c r="E1400" t="s">
        <v>6277</v>
      </c>
      <c r="F1400" t="s">
        <v>6219</v>
      </c>
      <c r="G1400" t="s">
        <v>6220</v>
      </c>
      <c r="H1400">
        <v>-0.71994781494141002</v>
      </c>
      <c r="I1400">
        <v>38.262007506179899</v>
      </c>
      <c r="J1400">
        <v>100</v>
      </c>
      <c r="K1400" t="s">
        <v>27</v>
      </c>
      <c r="L1400" t="s">
        <v>27</v>
      </c>
      <c r="M1400" t="s">
        <v>27</v>
      </c>
      <c r="N1400" t="s">
        <v>27</v>
      </c>
      <c r="O1400" t="s">
        <v>27</v>
      </c>
      <c r="P1400" t="s">
        <v>27</v>
      </c>
      <c r="R1400" t="s">
        <v>6278</v>
      </c>
      <c r="T1400" t="s">
        <v>6232</v>
      </c>
      <c r="U1400" t="s">
        <v>6279</v>
      </c>
    </row>
    <row r="1401" spans="1:21" x14ac:dyDescent="0.25">
      <c r="A1401" t="s">
        <v>6280</v>
      </c>
      <c r="B1401" t="s">
        <v>22</v>
      </c>
      <c r="C1401" t="s">
        <v>6281</v>
      </c>
      <c r="D1401">
        <f t="shared" si="40"/>
        <v>-901120050</v>
      </c>
      <c r="E1401" t="s">
        <v>6282</v>
      </c>
      <c r="F1401" t="s">
        <v>6219</v>
      </c>
      <c r="G1401" t="s">
        <v>6220</v>
      </c>
      <c r="H1401">
        <v>-2.6673603057861301</v>
      </c>
      <c r="I1401">
        <v>42.861495598432803</v>
      </c>
      <c r="J1401">
        <v>100</v>
      </c>
      <c r="K1401" t="s">
        <v>27</v>
      </c>
      <c r="L1401" t="s">
        <v>27</v>
      </c>
      <c r="M1401" t="s">
        <v>27</v>
      </c>
      <c r="N1401" t="s">
        <v>27</v>
      </c>
      <c r="O1401" t="s">
        <v>27</v>
      </c>
      <c r="P1401" t="s">
        <v>27</v>
      </c>
      <c r="R1401" t="s">
        <v>6281</v>
      </c>
      <c r="S1401" t="s">
        <v>6283</v>
      </c>
      <c r="T1401" t="s">
        <v>6254</v>
      </c>
      <c r="U1401" t="s">
        <v>6284</v>
      </c>
    </row>
    <row r="1402" spans="1:21" x14ac:dyDescent="0.25">
      <c r="A1402" t="s">
        <v>6285</v>
      </c>
      <c r="B1402" t="s">
        <v>32</v>
      </c>
      <c r="C1402" t="s">
        <v>6286</v>
      </c>
      <c r="D1402">
        <f t="shared" si="40"/>
        <v>-901120050</v>
      </c>
      <c r="E1402" t="s">
        <v>6242</v>
      </c>
      <c r="F1402" t="s">
        <v>6219</v>
      </c>
      <c r="G1402" t="s">
        <v>6220</v>
      </c>
      <c r="H1402">
        <v>-3.7032663000000001</v>
      </c>
      <c r="I1402">
        <v>40.420085700000001</v>
      </c>
      <c r="J1402">
        <v>100</v>
      </c>
      <c r="K1402" t="s">
        <v>27</v>
      </c>
      <c r="L1402" t="s">
        <v>27</v>
      </c>
      <c r="M1402" t="s">
        <v>27</v>
      </c>
      <c r="N1402" t="s">
        <v>27</v>
      </c>
      <c r="O1402" t="s">
        <v>27</v>
      </c>
      <c r="P1402" t="s">
        <v>27</v>
      </c>
      <c r="Q1402" t="s">
        <v>27</v>
      </c>
      <c r="R1402" t="s">
        <v>6286</v>
      </c>
      <c r="T1402" t="s">
        <v>6243</v>
      </c>
      <c r="U1402" t="s">
        <v>6287</v>
      </c>
    </row>
    <row r="1403" spans="1:21" x14ac:dyDescent="0.25">
      <c r="A1403" t="s">
        <v>6288</v>
      </c>
      <c r="B1403" t="s">
        <v>22</v>
      </c>
      <c r="C1403" t="s">
        <v>6289</v>
      </c>
      <c r="D1403">
        <f t="shared" si="40"/>
        <v>-901120050</v>
      </c>
      <c r="E1403" t="s">
        <v>6242</v>
      </c>
      <c r="F1403" t="s">
        <v>6219</v>
      </c>
      <c r="G1403" t="s">
        <v>6220</v>
      </c>
      <c r="H1403">
        <v>-3.6131286621093799</v>
      </c>
      <c r="I1403">
        <v>40.540824654011999</v>
      </c>
      <c r="J1403">
        <v>100</v>
      </c>
      <c r="K1403" t="s">
        <v>27</v>
      </c>
      <c r="L1403" t="s">
        <v>27</v>
      </c>
      <c r="M1403" t="s">
        <v>27</v>
      </c>
      <c r="N1403" t="s">
        <v>27</v>
      </c>
      <c r="O1403" t="s">
        <v>27</v>
      </c>
      <c r="P1403" t="s">
        <v>27</v>
      </c>
      <c r="Q1403" t="s">
        <v>27</v>
      </c>
      <c r="R1403" t="s">
        <v>6290</v>
      </c>
      <c r="T1403" t="s">
        <v>6243</v>
      </c>
      <c r="U1403" t="s">
        <v>6291</v>
      </c>
    </row>
    <row r="1404" spans="1:21" x14ac:dyDescent="0.25">
      <c r="A1404" t="s">
        <v>6292</v>
      </c>
      <c r="B1404" t="s">
        <v>22</v>
      </c>
      <c r="C1404" t="s">
        <v>6293</v>
      </c>
      <c r="D1404">
        <f t="shared" si="40"/>
        <v>-901120050</v>
      </c>
      <c r="E1404" t="s">
        <v>6294</v>
      </c>
      <c r="F1404" t="s">
        <v>6219</v>
      </c>
      <c r="G1404" t="s">
        <v>6220</v>
      </c>
      <c r="H1404">
        <v>-4.8781442642211896</v>
      </c>
      <c r="I1404">
        <v>36.521776917070802</v>
      </c>
      <c r="J1404">
        <v>100</v>
      </c>
      <c r="K1404" t="s">
        <v>27</v>
      </c>
      <c r="L1404" t="s">
        <v>27</v>
      </c>
      <c r="M1404" t="s">
        <v>27</v>
      </c>
      <c r="N1404" t="s">
        <v>27</v>
      </c>
      <c r="O1404" t="s">
        <v>27</v>
      </c>
      <c r="P1404" t="s">
        <v>27</v>
      </c>
      <c r="R1404" t="s">
        <v>6295</v>
      </c>
      <c r="T1404" t="s">
        <v>6296</v>
      </c>
      <c r="U1404" t="s">
        <v>6297</v>
      </c>
    </row>
    <row r="1405" spans="1:21" x14ac:dyDescent="0.25">
      <c r="A1405" t="s">
        <v>6298</v>
      </c>
      <c r="B1405" t="s">
        <v>32</v>
      </c>
      <c r="C1405" t="s">
        <v>6299</v>
      </c>
      <c r="D1405">
        <f t="shared" si="40"/>
        <v>-901120050</v>
      </c>
      <c r="E1405" t="s">
        <v>6300</v>
      </c>
      <c r="F1405" t="s">
        <v>6219</v>
      </c>
      <c r="G1405" t="s">
        <v>6220</v>
      </c>
      <c r="H1405">
        <v>-5.9954841999999999</v>
      </c>
      <c r="I1405">
        <v>37.392142499999999</v>
      </c>
      <c r="J1405">
        <v>100</v>
      </c>
      <c r="K1405" t="s">
        <v>27</v>
      </c>
      <c r="L1405" t="s">
        <v>27</v>
      </c>
      <c r="M1405" t="s">
        <v>27</v>
      </c>
      <c r="N1405" t="s">
        <v>27</v>
      </c>
      <c r="O1405" t="s">
        <v>27</v>
      </c>
      <c r="P1405" t="s">
        <v>27</v>
      </c>
      <c r="R1405" t="s">
        <v>6299</v>
      </c>
      <c r="T1405" t="s">
        <v>6296</v>
      </c>
      <c r="U1405" t="s">
        <v>6301</v>
      </c>
    </row>
    <row r="1406" spans="1:21" x14ac:dyDescent="0.25">
      <c r="A1406" t="s">
        <v>6302</v>
      </c>
      <c r="B1406" t="s">
        <v>22</v>
      </c>
      <c r="C1406" t="s">
        <v>6303</v>
      </c>
      <c r="D1406">
        <f t="shared" si="40"/>
        <v>-901120050</v>
      </c>
      <c r="E1406" t="s">
        <v>6304</v>
      </c>
      <c r="F1406" t="s">
        <v>6219</v>
      </c>
      <c r="G1406" t="s">
        <v>6220</v>
      </c>
      <c r="H1406">
        <v>1.2384939193725599</v>
      </c>
      <c r="I1406">
        <v>41.116413332319098</v>
      </c>
      <c r="J1406">
        <v>100</v>
      </c>
      <c r="K1406" t="s">
        <v>312</v>
      </c>
      <c r="L1406" t="s">
        <v>312</v>
      </c>
      <c r="M1406" t="s">
        <v>312</v>
      </c>
      <c r="N1406" t="s">
        <v>312</v>
      </c>
      <c r="O1406" t="s">
        <v>312</v>
      </c>
      <c r="P1406" t="s">
        <v>312</v>
      </c>
      <c r="R1406" t="s">
        <v>6305</v>
      </c>
      <c r="T1406" t="s">
        <v>6222</v>
      </c>
      <c r="U1406" t="s">
        <v>6306</v>
      </c>
    </row>
    <row r="1407" spans="1:21" x14ac:dyDescent="0.25">
      <c r="A1407" t="s">
        <v>6307</v>
      </c>
      <c r="B1407" t="s">
        <v>22</v>
      </c>
      <c r="C1407" t="s">
        <v>6308</v>
      </c>
      <c r="D1407">
        <f t="shared" si="40"/>
        <v>-901120050</v>
      </c>
      <c r="E1407" t="s">
        <v>6242</v>
      </c>
      <c r="F1407" t="s">
        <v>6219</v>
      </c>
      <c r="G1407" t="s">
        <v>6220</v>
      </c>
      <c r="H1407">
        <v>-3.7203848361968999</v>
      </c>
      <c r="I1407">
        <v>40.421419301233797</v>
      </c>
      <c r="J1407">
        <v>100</v>
      </c>
      <c r="K1407" t="s">
        <v>27</v>
      </c>
      <c r="L1407" t="s">
        <v>27</v>
      </c>
      <c r="M1407" t="s">
        <v>27</v>
      </c>
      <c r="N1407" t="s">
        <v>27</v>
      </c>
      <c r="O1407" t="s">
        <v>27</v>
      </c>
      <c r="P1407" t="s">
        <v>27</v>
      </c>
      <c r="Q1407" t="s">
        <v>2229</v>
      </c>
      <c r="R1407" t="s">
        <v>6309</v>
      </c>
      <c r="T1407" t="s">
        <v>6243</v>
      </c>
      <c r="U1407" t="s">
        <v>6310</v>
      </c>
    </row>
    <row r="1408" spans="1:21" x14ac:dyDescent="0.25">
      <c r="A1408" t="s">
        <v>6311</v>
      </c>
      <c r="B1408" t="s">
        <v>22</v>
      </c>
      <c r="C1408" t="s">
        <v>6312</v>
      </c>
      <c r="D1408">
        <f t="shared" si="40"/>
        <v>-901120050</v>
      </c>
      <c r="E1408" t="s">
        <v>6258</v>
      </c>
      <c r="F1408" t="s">
        <v>6219</v>
      </c>
      <c r="G1408" t="s">
        <v>6220</v>
      </c>
      <c r="H1408">
        <v>-1.58445596694946</v>
      </c>
      <c r="I1408">
        <v>42.8288189074906</v>
      </c>
      <c r="J1408">
        <v>100</v>
      </c>
      <c r="K1408" t="s">
        <v>27</v>
      </c>
      <c r="L1408" t="s">
        <v>27</v>
      </c>
      <c r="M1408" t="s">
        <v>27</v>
      </c>
      <c r="N1408" t="s">
        <v>27</v>
      </c>
      <c r="O1408" t="s">
        <v>27</v>
      </c>
      <c r="P1408" t="s">
        <v>27</v>
      </c>
      <c r="R1408" t="s">
        <v>6312</v>
      </c>
      <c r="S1408" t="s">
        <v>6313</v>
      </c>
      <c r="T1408" t="s">
        <v>6260</v>
      </c>
      <c r="U1408" t="s">
        <v>6314</v>
      </c>
    </row>
    <row r="1409" spans="1:21" x14ac:dyDescent="0.25">
      <c r="A1409" t="s">
        <v>6315</v>
      </c>
      <c r="B1409" t="s">
        <v>22</v>
      </c>
      <c r="C1409" t="s">
        <v>6316</v>
      </c>
      <c r="D1409">
        <f t="shared" si="40"/>
        <v>-901120050</v>
      </c>
      <c r="E1409" t="s">
        <v>6317</v>
      </c>
      <c r="F1409" t="s">
        <v>6219</v>
      </c>
      <c r="G1409" t="s">
        <v>6220</v>
      </c>
      <c r="H1409">
        <v>-5.5962913432838404</v>
      </c>
      <c r="I1409">
        <v>42.612801992774997</v>
      </c>
      <c r="J1409">
        <v>100</v>
      </c>
      <c r="K1409" t="s">
        <v>27</v>
      </c>
      <c r="L1409" t="s">
        <v>27</v>
      </c>
      <c r="M1409" t="s">
        <v>27</v>
      </c>
      <c r="N1409" t="s">
        <v>27</v>
      </c>
      <c r="O1409" t="s">
        <v>27</v>
      </c>
      <c r="P1409" t="s">
        <v>27</v>
      </c>
      <c r="R1409" t="s">
        <v>6316</v>
      </c>
      <c r="S1409" t="s">
        <v>6318</v>
      </c>
      <c r="T1409" t="s">
        <v>6319</v>
      </c>
      <c r="U1409" t="s">
        <v>6320</v>
      </c>
    </row>
    <row r="1410" spans="1:21" x14ac:dyDescent="0.25">
      <c r="A1410" t="s">
        <v>6321</v>
      </c>
      <c r="B1410" t="s">
        <v>22</v>
      </c>
      <c r="C1410" t="s">
        <v>6322</v>
      </c>
      <c r="D1410">
        <f t="shared" si="40"/>
        <v>-901120050</v>
      </c>
      <c r="E1410" t="s">
        <v>6242</v>
      </c>
      <c r="F1410" t="s">
        <v>6219</v>
      </c>
      <c r="G1410" t="s">
        <v>6220</v>
      </c>
      <c r="H1410">
        <v>-3.5873365402221702</v>
      </c>
      <c r="I1410">
        <v>40.4469144007154</v>
      </c>
      <c r="J1410">
        <v>100</v>
      </c>
      <c r="K1410" t="s">
        <v>27</v>
      </c>
      <c r="L1410" t="s">
        <v>27</v>
      </c>
      <c r="M1410" t="s">
        <v>27</v>
      </c>
      <c r="N1410" t="s">
        <v>27</v>
      </c>
      <c r="O1410" t="s">
        <v>27</v>
      </c>
      <c r="P1410" t="s">
        <v>27</v>
      </c>
      <c r="Q1410" t="s">
        <v>27</v>
      </c>
      <c r="R1410" t="s">
        <v>6323</v>
      </c>
      <c r="T1410" t="s">
        <v>6243</v>
      </c>
      <c r="U1410" t="s">
        <v>6324</v>
      </c>
    </row>
    <row r="1411" spans="1:21" x14ac:dyDescent="0.25">
      <c r="A1411" t="s">
        <v>6325</v>
      </c>
      <c r="B1411" t="s">
        <v>22</v>
      </c>
      <c r="C1411" t="s">
        <v>6326</v>
      </c>
      <c r="D1411">
        <f t="shared" si="40"/>
        <v>-901120050</v>
      </c>
      <c r="E1411" t="s">
        <v>6327</v>
      </c>
      <c r="F1411" t="s">
        <v>6219</v>
      </c>
      <c r="G1411" t="s">
        <v>6220</v>
      </c>
      <c r="H1411">
        <v>-0.68677425384520996</v>
      </c>
      <c r="I1411">
        <v>37.990311669029602</v>
      </c>
      <c r="J1411">
        <v>100</v>
      </c>
      <c r="K1411" t="s">
        <v>27</v>
      </c>
      <c r="L1411" t="s">
        <v>27</v>
      </c>
      <c r="M1411" t="s">
        <v>27</v>
      </c>
      <c r="N1411" t="s">
        <v>27</v>
      </c>
      <c r="O1411" t="s">
        <v>27</v>
      </c>
      <c r="P1411" t="s">
        <v>27</v>
      </c>
      <c r="R1411" t="s">
        <v>6328</v>
      </c>
      <c r="T1411" t="s">
        <v>6232</v>
      </c>
      <c r="U1411" t="s">
        <v>6329</v>
      </c>
    </row>
    <row r="1412" spans="1:21" x14ac:dyDescent="0.25">
      <c r="A1412" t="s">
        <v>6330</v>
      </c>
      <c r="B1412" t="s">
        <v>22</v>
      </c>
      <c r="C1412" t="s">
        <v>6331</v>
      </c>
      <c r="D1412">
        <f t="shared" si="40"/>
        <v>-901120050</v>
      </c>
      <c r="E1412" t="s">
        <v>6332</v>
      </c>
      <c r="F1412" t="s">
        <v>6219</v>
      </c>
      <c r="G1412" t="s">
        <v>6220</v>
      </c>
      <c r="H1412">
        <v>-1.7000913619995099</v>
      </c>
      <c r="I1412">
        <v>37.638465812792496</v>
      </c>
      <c r="J1412">
        <v>100</v>
      </c>
      <c r="K1412" t="s">
        <v>27</v>
      </c>
      <c r="L1412" t="s">
        <v>27</v>
      </c>
      <c r="M1412" t="s">
        <v>27</v>
      </c>
      <c r="N1412" t="s">
        <v>27</v>
      </c>
      <c r="O1412" t="s">
        <v>27</v>
      </c>
      <c r="P1412" t="s">
        <v>27</v>
      </c>
      <c r="R1412" t="s">
        <v>6333</v>
      </c>
      <c r="T1412" t="s">
        <v>6334</v>
      </c>
      <c r="U1412" t="s">
        <v>6335</v>
      </c>
    </row>
    <row r="1413" spans="1:21" x14ac:dyDescent="0.25">
      <c r="A1413" t="s">
        <v>6336</v>
      </c>
      <c r="B1413" t="s">
        <v>22</v>
      </c>
      <c r="C1413" t="s">
        <v>6337</v>
      </c>
      <c r="D1413">
        <f t="shared" si="40"/>
        <v>-901120050</v>
      </c>
      <c r="E1413" t="s">
        <v>6338</v>
      </c>
      <c r="F1413" t="s">
        <v>6219</v>
      </c>
      <c r="G1413" t="s">
        <v>6220</v>
      </c>
      <c r="H1413">
        <v>-5.8000595213161397</v>
      </c>
      <c r="I1413">
        <v>43.390400269616997</v>
      </c>
      <c r="J1413">
        <v>100</v>
      </c>
      <c r="K1413" t="s">
        <v>27</v>
      </c>
      <c r="L1413" t="s">
        <v>27</v>
      </c>
      <c r="M1413" t="s">
        <v>27</v>
      </c>
      <c r="N1413" t="s">
        <v>27</v>
      </c>
      <c r="O1413" t="s">
        <v>27</v>
      </c>
      <c r="P1413" t="s">
        <v>27</v>
      </c>
      <c r="R1413" t="s">
        <v>6339</v>
      </c>
      <c r="T1413" t="s">
        <v>6340</v>
      </c>
      <c r="U1413" t="s">
        <v>6341</v>
      </c>
    </row>
    <row r="1414" spans="1:21" x14ac:dyDescent="0.25">
      <c r="A1414" t="s">
        <v>6342</v>
      </c>
      <c r="B1414" t="s">
        <v>22</v>
      </c>
      <c r="C1414" t="s">
        <v>6343</v>
      </c>
      <c r="D1414">
        <f t="shared" si="40"/>
        <v>-901120050</v>
      </c>
      <c r="E1414" t="s">
        <v>6344</v>
      </c>
      <c r="F1414" t="s">
        <v>6219</v>
      </c>
      <c r="G1414" t="s">
        <v>6220</v>
      </c>
      <c r="H1414">
        <v>2.6467771999999998</v>
      </c>
      <c r="I1414">
        <v>39.571271000000003</v>
      </c>
      <c r="J1414">
        <v>100</v>
      </c>
      <c r="K1414" t="s">
        <v>536</v>
      </c>
      <c r="L1414" t="s">
        <v>536</v>
      </c>
      <c r="M1414" t="s">
        <v>536</v>
      </c>
      <c r="N1414" t="s">
        <v>536</v>
      </c>
      <c r="O1414" t="s">
        <v>536</v>
      </c>
      <c r="P1414" t="s">
        <v>536</v>
      </c>
      <c r="Q1414" t="s">
        <v>536</v>
      </c>
      <c r="R1414" t="s">
        <v>6343</v>
      </c>
      <c r="T1414" t="s">
        <v>6345</v>
      </c>
      <c r="U1414" t="s">
        <v>6346</v>
      </c>
    </row>
    <row r="1415" spans="1:21" x14ac:dyDescent="0.25">
      <c r="A1415" t="s">
        <v>6347</v>
      </c>
      <c r="B1415" t="s">
        <v>22</v>
      </c>
      <c r="C1415" t="s">
        <v>6348</v>
      </c>
      <c r="D1415">
        <f t="shared" si="40"/>
        <v>-901120050</v>
      </c>
      <c r="E1415" t="s">
        <v>6349</v>
      </c>
      <c r="F1415" t="s">
        <v>6219</v>
      </c>
      <c r="G1415" t="s">
        <v>6220</v>
      </c>
      <c r="H1415">
        <v>-2.4466037750244101</v>
      </c>
      <c r="I1415">
        <v>36.854711649075597</v>
      </c>
      <c r="J1415">
        <v>100</v>
      </c>
      <c r="K1415" t="s">
        <v>27</v>
      </c>
      <c r="L1415" t="s">
        <v>27</v>
      </c>
      <c r="M1415" t="s">
        <v>27</v>
      </c>
      <c r="N1415" t="s">
        <v>27</v>
      </c>
      <c r="O1415" t="s">
        <v>27</v>
      </c>
      <c r="P1415" t="s">
        <v>27</v>
      </c>
      <c r="R1415" t="s">
        <v>6350</v>
      </c>
      <c r="T1415" t="s">
        <v>6296</v>
      </c>
      <c r="U1415" t="s">
        <v>6351</v>
      </c>
    </row>
    <row r="1416" spans="1:21" x14ac:dyDescent="0.25">
      <c r="A1416" t="s">
        <v>6352</v>
      </c>
      <c r="B1416" t="s">
        <v>22</v>
      </c>
      <c r="C1416" t="s">
        <v>6353</v>
      </c>
      <c r="D1416">
        <f t="shared" si="40"/>
        <v>-901120050</v>
      </c>
      <c r="E1416" t="s">
        <v>6242</v>
      </c>
      <c r="F1416" t="s">
        <v>6219</v>
      </c>
      <c r="G1416" t="s">
        <v>6220</v>
      </c>
      <c r="H1416">
        <v>-3.92134666442871</v>
      </c>
      <c r="I1416">
        <v>40.5674480523978</v>
      </c>
      <c r="J1416">
        <v>100</v>
      </c>
      <c r="K1416" t="s">
        <v>27</v>
      </c>
      <c r="L1416" t="s">
        <v>27</v>
      </c>
      <c r="M1416" t="s">
        <v>27</v>
      </c>
      <c r="N1416" t="s">
        <v>27</v>
      </c>
      <c r="O1416" t="s">
        <v>27</v>
      </c>
      <c r="P1416" t="s">
        <v>27</v>
      </c>
      <c r="Q1416" t="s">
        <v>27</v>
      </c>
      <c r="R1416" t="s">
        <v>6354</v>
      </c>
      <c r="S1416" t="s">
        <v>6354</v>
      </c>
      <c r="T1416" t="s">
        <v>6243</v>
      </c>
      <c r="U1416" t="s">
        <v>6355</v>
      </c>
    </row>
    <row r="1417" spans="1:21" x14ac:dyDescent="0.25">
      <c r="A1417" t="s">
        <v>6356</v>
      </c>
      <c r="B1417" t="s">
        <v>22</v>
      </c>
      <c r="C1417" t="s">
        <v>6357</v>
      </c>
      <c r="D1417">
        <f t="shared" si="40"/>
        <v>-901120050</v>
      </c>
      <c r="E1417" t="s">
        <v>6358</v>
      </c>
      <c r="F1417" t="s">
        <v>6219</v>
      </c>
      <c r="G1417" t="s">
        <v>6220</v>
      </c>
      <c r="H1417">
        <v>2.7819878999999998</v>
      </c>
      <c r="I1417">
        <v>41.966235400000002</v>
      </c>
      <c r="J1417">
        <v>100</v>
      </c>
      <c r="K1417" t="s">
        <v>290</v>
      </c>
      <c r="L1417" t="s">
        <v>290</v>
      </c>
      <c r="M1417" t="s">
        <v>290</v>
      </c>
      <c r="N1417" t="s">
        <v>290</v>
      </c>
      <c r="O1417" t="s">
        <v>290</v>
      </c>
      <c r="P1417" t="s">
        <v>290</v>
      </c>
      <c r="R1417" t="s">
        <v>6359</v>
      </c>
      <c r="T1417" t="s">
        <v>6222</v>
      </c>
      <c r="U1417" t="s">
        <v>6360</v>
      </c>
    </row>
    <row r="1418" spans="1:21" x14ac:dyDescent="0.25">
      <c r="A1418" t="s">
        <v>6361</v>
      </c>
      <c r="B1418" t="s">
        <v>22</v>
      </c>
      <c r="C1418" t="s">
        <v>6362</v>
      </c>
      <c r="D1418">
        <f t="shared" si="40"/>
        <v>-901120050</v>
      </c>
      <c r="E1418" t="s">
        <v>6363</v>
      </c>
      <c r="F1418" t="s">
        <v>6219</v>
      </c>
      <c r="G1418" t="s">
        <v>6220</v>
      </c>
      <c r="H1418">
        <v>-2.4207316695628802</v>
      </c>
      <c r="I1418">
        <v>42.463179007356302</v>
      </c>
      <c r="J1418">
        <v>100</v>
      </c>
      <c r="K1418" t="s">
        <v>27</v>
      </c>
      <c r="L1418" t="s">
        <v>27</v>
      </c>
      <c r="M1418" t="s">
        <v>27</v>
      </c>
      <c r="N1418" t="s">
        <v>27</v>
      </c>
      <c r="O1418" t="s">
        <v>27</v>
      </c>
      <c r="P1418" t="s">
        <v>27</v>
      </c>
      <c r="R1418" t="s">
        <v>6362</v>
      </c>
      <c r="S1418" t="s">
        <v>6364</v>
      </c>
      <c r="T1418" t="s">
        <v>6365</v>
      </c>
      <c r="U1418" t="s">
        <v>6366</v>
      </c>
    </row>
    <row r="1419" spans="1:21" x14ac:dyDescent="0.25">
      <c r="A1419" t="s">
        <v>6367</v>
      </c>
      <c r="B1419" t="s">
        <v>22</v>
      </c>
      <c r="C1419" t="s">
        <v>6368</v>
      </c>
      <c r="D1419">
        <f t="shared" si="40"/>
        <v>-901120050</v>
      </c>
      <c r="E1419" t="s">
        <v>6369</v>
      </c>
      <c r="F1419" t="s">
        <v>6219</v>
      </c>
      <c r="G1419" t="s">
        <v>6220</v>
      </c>
      <c r="H1419">
        <v>-7.5690221786498997</v>
      </c>
      <c r="I1419">
        <v>43.037654141418102</v>
      </c>
      <c r="J1419">
        <v>100</v>
      </c>
      <c r="K1419" t="s">
        <v>27</v>
      </c>
      <c r="L1419" t="s">
        <v>27</v>
      </c>
      <c r="M1419" t="s">
        <v>27</v>
      </c>
      <c r="N1419" t="s">
        <v>27</v>
      </c>
      <c r="O1419" t="s">
        <v>27</v>
      </c>
      <c r="P1419" t="s">
        <v>27</v>
      </c>
      <c r="R1419" t="s">
        <v>6368</v>
      </c>
      <c r="S1419" t="s">
        <v>6370</v>
      </c>
      <c r="T1419" t="s">
        <v>6371</v>
      </c>
      <c r="U1419" t="s">
        <v>6372</v>
      </c>
    </row>
    <row r="1420" spans="1:21" x14ac:dyDescent="0.25">
      <c r="A1420" t="s">
        <v>6373</v>
      </c>
      <c r="B1420" t="s">
        <v>22</v>
      </c>
      <c r="C1420" t="s">
        <v>6374</v>
      </c>
      <c r="D1420">
        <f t="shared" si="40"/>
        <v>-901120050</v>
      </c>
      <c r="E1420" t="s">
        <v>6375</v>
      </c>
      <c r="F1420" t="s">
        <v>6219</v>
      </c>
      <c r="G1420" t="s">
        <v>6220</v>
      </c>
      <c r="H1420">
        <v>0.62295022102478004</v>
      </c>
      <c r="I1420">
        <v>41.6125978698526</v>
      </c>
      <c r="J1420">
        <v>100</v>
      </c>
      <c r="K1420" t="s">
        <v>1189</v>
      </c>
      <c r="L1420" t="s">
        <v>1189</v>
      </c>
      <c r="M1420" t="s">
        <v>1189</v>
      </c>
      <c r="N1420" t="s">
        <v>1189</v>
      </c>
      <c r="O1420" t="s">
        <v>536</v>
      </c>
      <c r="P1420" t="s">
        <v>536</v>
      </c>
      <c r="R1420" t="s">
        <v>6374</v>
      </c>
      <c r="T1420" t="s">
        <v>6222</v>
      </c>
      <c r="U1420" t="s">
        <v>6376</v>
      </c>
    </row>
    <row r="1421" spans="1:21" x14ac:dyDescent="0.25">
      <c r="A1421" t="s">
        <v>6377</v>
      </c>
      <c r="B1421" t="s">
        <v>22</v>
      </c>
      <c r="C1421" t="s">
        <v>6378</v>
      </c>
      <c r="D1421">
        <f t="shared" ref="D1421:D1452" si="41">34-901120084</f>
        <v>-901120050</v>
      </c>
      <c r="E1421" t="s">
        <v>6334</v>
      </c>
      <c r="F1421" t="s">
        <v>6219</v>
      </c>
      <c r="G1421" t="s">
        <v>6220</v>
      </c>
      <c r="H1421">
        <v>-1.14905834197998</v>
      </c>
      <c r="I1421">
        <v>38.0395402904253</v>
      </c>
      <c r="J1421">
        <v>100</v>
      </c>
      <c r="K1421" t="s">
        <v>27</v>
      </c>
      <c r="L1421" t="s">
        <v>27</v>
      </c>
      <c r="M1421" t="s">
        <v>27</v>
      </c>
      <c r="N1421" t="s">
        <v>27</v>
      </c>
      <c r="O1421" t="s">
        <v>27</v>
      </c>
      <c r="P1421" t="s">
        <v>27</v>
      </c>
      <c r="R1421" t="s">
        <v>6379</v>
      </c>
      <c r="T1421" t="s">
        <v>6334</v>
      </c>
      <c r="U1421" t="s">
        <v>6380</v>
      </c>
    </row>
    <row r="1422" spans="1:21" x14ac:dyDescent="0.25">
      <c r="A1422" t="s">
        <v>6381</v>
      </c>
      <c r="B1422" t="s">
        <v>22</v>
      </c>
      <c r="C1422" t="s">
        <v>6382</v>
      </c>
      <c r="D1422">
        <f t="shared" si="41"/>
        <v>-901120050</v>
      </c>
      <c r="E1422" t="s">
        <v>6383</v>
      </c>
      <c r="F1422" t="s">
        <v>6219</v>
      </c>
      <c r="G1422" t="s">
        <v>6220</v>
      </c>
      <c r="H1422">
        <v>-5.6492793560028103</v>
      </c>
      <c r="I1422">
        <v>40.950441260966699</v>
      </c>
      <c r="J1422">
        <v>100</v>
      </c>
      <c r="K1422" t="s">
        <v>27</v>
      </c>
      <c r="L1422" t="s">
        <v>27</v>
      </c>
      <c r="M1422" t="s">
        <v>27</v>
      </c>
      <c r="N1422" t="s">
        <v>27</v>
      </c>
      <c r="O1422" t="s">
        <v>27</v>
      </c>
      <c r="P1422" t="s">
        <v>27</v>
      </c>
      <c r="R1422" t="s">
        <v>6382</v>
      </c>
      <c r="S1422" t="s">
        <v>6384</v>
      </c>
      <c r="T1422" t="s">
        <v>6319</v>
      </c>
      <c r="U1422" t="s">
        <v>6385</v>
      </c>
    </row>
    <row r="1423" spans="1:21" x14ac:dyDescent="0.25">
      <c r="A1423" t="s">
        <v>6386</v>
      </c>
      <c r="B1423" t="s">
        <v>22</v>
      </c>
      <c r="C1423" t="s">
        <v>6387</v>
      </c>
      <c r="D1423">
        <f t="shared" si="41"/>
        <v>-901120050</v>
      </c>
      <c r="E1423" t="s">
        <v>6388</v>
      </c>
      <c r="F1423" t="s">
        <v>6219</v>
      </c>
      <c r="G1423" t="s">
        <v>6220</v>
      </c>
      <c r="H1423">
        <v>-4.4767999649047896</v>
      </c>
      <c r="I1423">
        <v>36.659020972893501</v>
      </c>
      <c r="J1423">
        <v>100</v>
      </c>
      <c r="K1423" t="s">
        <v>27</v>
      </c>
      <c r="L1423" t="s">
        <v>27</v>
      </c>
      <c r="M1423" t="s">
        <v>27</v>
      </c>
      <c r="N1423" t="s">
        <v>27</v>
      </c>
      <c r="O1423" t="s">
        <v>27</v>
      </c>
      <c r="P1423" t="s">
        <v>27</v>
      </c>
      <c r="R1423" t="s">
        <v>6389</v>
      </c>
      <c r="T1423" t="s">
        <v>6296</v>
      </c>
      <c r="U1423" t="s">
        <v>6390</v>
      </c>
    </row>
    <row r="1424" spans="1:21" x14ac:dyDescent="0.25">
      <c r="A1424" t="s">
        <v>6391</v>
      </c>
      <c r="B1424" t="s">
        <v>22</v>
      </c>
      <c r="C1424" t="s">
        <v>6392</v>
      </c>
      <c r="D1424">
        <f t="shared" si="41"/>
        <v>-901120050</v>
      </c>
      <c r="E1424" t="s">
        <v>6393</v>
      </c>
      <c r="F1424" t="s">
        <v>6219</v>
      </c>
      <c r="G1424" t="s">
        <v>6220</v>
      </c>
      <c r="H1424">
        <v>-6.3149929046629999E-2</v>
      </c>
      <c r="I1424">
        <v>39.979964684638198</v>
      </c>
      <c r="J1424">
        <v>100</v>
      </c>
      <c r="K1424" t="s">
        <v>27</v>
      </c>
      <c r="L1424" t="s">
        <v>27</v>
      </c>
      <c r="M1424" t="s">
        <v>27</v>
      </c>
      <c r="N1424" t="s">
        <v>27</v>
      </c>
      <c r="O1424" t="s">
        <v>27</v>
      </c>
      <c r="P1424" t="s">
        <v>27</v>
      </c>
      <c r="R1424" t="s">
        <v>6394</v>
      </c>
      <c r="T1424" t="s">
        <v>6232</v>
      </c>
      <c r="U1424" t="s">
        <v>6395</v>
      </c>
    </row>
    <row r="1425" spans="1:21" x14ac:dyDescent="0.25">
      <c r="A1425" t="s">
        <v>6396</v>
      </c>
      <c r="B1425" t="s">
        <v>22</v>
      </c>
      <c r="C1425" t="s">
        <v>6397</v>
      </c>
      <c r="D1425">
        <f t="shared" si="41"/>
        <v>-901120050</v>
      </c>
      <c r="E1425" t="s">
        <v>6398</v>
      </c>
      <c r="F1425" t="s">
        <v>6219</v>
      </c>
      <c r="G1425" t="s">
        <v>6220</v>
      </c>
      <c r="H1425">
        <v>-13.8635230064392</v>
      </c>
      <c r="I1425">
        <v>28.496831087053899</v>
      </c>
      <c r="J1425">
        <v>85</v>
      </c>
      <c r="K1425" t="s">
        <v>27</v>
      </c>
      <c r="L1425" t="s">
        <v>27</v>
      </c>
      <c r="M1425" t="s">
        <v>27</v>
      </c>
      <c r="N1425" t="s">
        <v>27</v>
      </c>
      <c r="O1425" t="s">
        <v>27</v>
      </c>
      <c r="P1425" t="s">
        <v>27</v>
      </c>
      <c r="R1425" t="s">
        <v>6397</v>
      </c>
      <c r="S1425" t="s">
        <v>6399</v>
      </c>
      <c r="T1425" t="s">
        <v>6400</v>
      </c>
      <c r="U1425" t="s">
        <v>6401</v>
      </c>
    </row>
    <row r="1426" spans="1:21" x14ac:dyDescent="0.25">
      <c r="A1426" t="s">
        <v>6402</v>
      </c>
      <c r="B1426" t="s">
        <v>22</v>
      </c>
      <c r="C1426" t="s">
        <v>6403</v>
      </c>
      <c r="D1426">
        <f t="shared" si="41"/>
        <v>-901120050</v>
      </c>
      <c r="E1426" t="s">
        <v>6404</v>
      </c>
      <c r="F1426" t="s">
        <v>6219</v>
      </c>
      <c r="G1426" t="s">
        <v>6220</v>
      </c>
      <c r="H1426">
        <v>-0.17612457275391</v>
      </c>
      <c r="I1426">
        <v>38.539169861645398</v>
      </c>
      <c r="J1426">
        <v>100</v>
      </c>
      <c r="K1426" t="s">
        <v>27</v>
      </c>
      <c r="L1426" t="s">
        <v>27</v>
      </c>
      <c r="M1426" t="s">
        <v>27</v>
      </c>
      <c r="N1426" t="s">
        <v>27</v>
      </c>
      <c r="O1426" t="s">
        <v>27</v>
      </c>
      <c r="P1426" t="s">
        <v>27</v>
      </c>
      <c r="Q1426" t="s">
        <v>27</v>
      </c>
      <c r="R1426" t="s">
        <v>6405</v>
      </c>
      <c r="T1426" t="s">
        <v>6232</v>
      </c>
      <c r="U1426" t="s">
        <v>6406</v>
      </c>
    </row>
    <row r="1427" spans="1:21" x14ac:dyDescent="0.25">
      <c r="A1427" t="s">
        <v>6407</v>
      </c>
      <c r="B1427" t="s">
        <v>22</v>
      </c>
      <c r="C1427" t="s">
        <v>6408</v>
      </c>
      <c r="D1427">
        <f t="shared" si="41"/>
        <v>-901120050</v>
      </c>
      <c r="E1427" t="s">
        <v>6409</v>
      </c>
      <c r="F1427" t="s">
        <v>6219</v>
      </c>
      <c r="G1427" t="s">
        <v>6220</v>
      </c>
      <c r="H1427">
        <v>-6.6040277481079102</v>
      </c>
      <c r="I1427">
        <v>42.556431244523999</v>
      </c>
      <c r="J1427">
        <v>100</v>
      </c>
      <c r="K1427" t="s">
        <v>27</v>
      </c>
      <c r="L1427" t="s">
        <v>27</v>
      </c>
      <c r="M1427" t="s">
        <v>27</v>
      </c>
      <c r="N1427" t="s">
        <v>27</v>
      </c>
      <c r="O1427" t="s">
        <v>27</v>
      </c>
      <c r="P1427" t="s">
        <v>27</v>
      </c>
      <c r="R1427" t="s">
        <v>6408</v>
      </c>
      <c r="S1427" t="s">
        <v>6410</v>
      </c>
      <c r="T1427" t="s">
        <v>6319</v>
      </c>
      <c r="U1427" t="s">
        <v>6411</v>
      </c>
    </row>
    <row r="1428" spans="1:21" x14ac:dyDescent="0.25">
      <c r="A1428" t="s">
        <v>6412</v>
      </c>
      <c r="B1428" t="s">
        <v>22</v>
      </c>
      <c r="C1428" t="s">
        <v>6413</v>
      </c>
      <c r="D1428">
        <f t="shared" si="41"/>
        <v>-901120050</v>
      </c>
      <c r="E1428" t="s">
        <v>6414</v>
      </c>
      <c r="F1428" t="s">
        <v>6219</v>
      </c>
      <c r="G1428" t="s">
        <v>6220</v>
      </c>
      <c r="H1428">
        <v>-2.61199951171875</v>
      </c>
      <c r="I1428">
        <v>36.774642497197199</v>
      </c>
      <c r="J1428">
        <v>100</v>
      </c>
      <c r="K1428" t="s">
        <v>27</v>
      </c>
      <c r="L1428" t="s">
        <v>27</v>
      </c>
      <c r="M1428" t="s">
        <v>27</v>
      </c>
      <c r="N1428" t="s">
        <v>27</v>
      </c>
      <c r="O1428" t="s">
        <v>27</v>
      </c>
      <c r="P1428" t="s">
        <v>27</v>
      </c>
      <c r="R1428" t="s">
        <v>6415</v>
      </c>
      <c r="T1428" t="s">
        <v>6296</v>
      </c>
      <c r="U1428" t="s">
        <v>6416</v>
      </c>
    </row>
    <row r="1429" spans="1:21" x14ac:dyDescent="0.25">
      <c r="A1429" t="s">
        <v>6417</v>
      </c>
      <c r="B1429" t="s">
        <v>22</v>
      </c>
      <c r="C1429" t="s">
        <v>6418</v>
      </c>
      <c r="D1429">
        <f t="shared" si="41"/>
        <v>-901120050</v>
      </c>
      <c r="E1429" t="s">
        <v>6419</v>
      </c>
      <c r="F1429" t="s">
        <v>6219</v>
      </c>
      <c r="G1429" t="s">
        <v>6220</v>
      </c>
      <c r="H1429">
        <v>-8.7238311767578107</v>
      </c>
      <c r="I1429">
        <v>42.220643981603899</v>
      </c>
      <c r="J1429">
        <v>100</v>
      </c>
      <c r="K1429" t="s">
        <v>27</v>
      </c>
      <c r="L1429" t="s">
        <v>27</v>
      </c>
      <c r="M1429" t="s">
        <v>27</v>
      </c>
      <c r="N1429" t="s">
        <v>27</v>
      </c>
      <c r="O1429" t="s">
        <v>27</v>
      </c>
      <c r="P1429" t="s">
        <v>27</v>
      </c>
      <c r="R1429" t="s">
        <v>6418</v>
      </c>
      <c r="S1429" t="s">
        <v>6420</v>
      </c>
      <c r="T1429" t="s">
        <v>6371</v>
      </c>
      <c r="U1429" t="s">
        <v>6421</v>
      </c>
    </row>
    <row r="1430" spans="1:21" x14ac:dyDescent="0.25">
      <c r="A1430" t="s">
        <v>6422</v>
      </c>
      <c r="B1430" t="s">
        <v>22</v>
      </c>
      <c r="C1430" t="s">
        <v>6423</v>
      </c>
      <c r="D1430">
        <f t="shared" si="41"/>
        <v>-901120050</v>
      </c>
      <c r="E1430" t="s">
        <v>6424</v>
      </c>
      <c r="F1430" t="s">
        <v>6219</v>
      </c>
      <c r="G1430" t="s">
        <v>6220</v>
      </c>
      <c r="H1430">
        <v>2.0984617212714101</v>
      </c>
      <c r="I1430">
        <v>41.552137137107898</v>
      </c>
      <c r="J1430">
        <v>100</v>
      </c>
      <c r="K1430" t="s">
        <v>536</v>
      </c>
      <c r="L1430" t="s">
        <v>536</v>
      </c>
      <c r="M1430" t="s">
        <v>536</v>
      </c>
      <c r="N1430" t="s">
        <v>536</v>
      </c>
      <c r="O1430" t="s">
        <v>536</v>
      </c>
      <c r="P1430" t="s">
        <v>536</v>
      </c>
      <c r="R1430" t="s">
        <v>6423</v>
      </c>
      <c r="T1430" t="s">
        <v>6222</v>
      </c>
      <c r="U1430" t="s">
        <v>6425</v>
      </c>
    </row>
    <row r="1431" spans="1:21" x14ac:dyDescent="0.25">
      <c r="A1431" t="s">
        <v>6426</v>
      </c>
      <c r="B1431" t="s">
        <v>22</v>
      </c>
      <c r="C1431" t="s">
        <v>6427</v>
      </c>
      <c r="D1431">
        <f t="shared" si="41"/>
        <v>-901120050</v>
      </c>
      <c r="E1431" t="s">
        <v>6428</v>
      </c>
      <c r="F1431" t="s">
        <v>6219</v>
      </c>
      <c r="G1431" t="s">
        <v>6220</v>
      </c>
      <c r="H1431">
        <v>-3.6167532059570302</v>
      </c>
      <c r="I1431">
        <v>37.1332820866498</v>
      </c>
      <c r="J1431">
        <v>100</v>
      </c>
      <c r="K1431" t="s">
        <v>27</v>
      </c>
      <c r="L1431" t="s">
        <v>27</v>
      </c>
      <c r="M1431" t="s">
        <v>27</v>
      </c>
      <c r="N1431" t="s">
        <v>27</v>
      </c>
      <c r="O1431" t="s">
        <v>27</v>
      </c>
      <c r="P1431" t="s">
        <v>27</v>
      </c>
      <c r="R1431" t="s">
        <v>6429</v>
      </c>
      <c r="T1431" t="s">
        <v>6296</v>
      </c>
      <c r="U1431" t="s">
        <v>6430</v>
      </c>
    </row>
    <row r="1432" spans="1:21" x14ac:dyDescent="0.25">
      <c r="A1432" t="s">
        <v>6431</v>
      </c>
      <c r="B1432" t="s">
        <v>22</v>
      </c>
      <c r="C1432" t="s">
        <v>6432</v>
      </c>
      <c r="D1432">
        <f t="shared" si="41"/>
        <v>-901120050</v>
      </c>
      <c r="E1432" t="s">
        <v>6433</v>
      </c>
      <c r="F1432" t="s">
        <v>6219</v>
      </c>
      <c r="G1432" t="s">
        <v>6220</v>
      </c>
      <c r="H1432">
        <v>-16.306800842285099</v>
      </c>
      <c r="I1432">
        <v>28.460740259970201</v>
      </c>
      <c r="J1432">
        <v>85</v>
      </c>
      <c r="K1432" t="s">
        <v>27</v>
      </c>
      <c r="L1432" t="s">
        <v>27</v>
      </c>
      <c r="M1432" t="s">
        <v>27</v>
      </c>
      <c r="N1432" t="s">
        <v>27</v>
      </c>
      <c r="O1432" t="s">
        <v>27</v>
      </c>
      <c r="P1432" t="s">
        <v>27</v>
      </c>
      <c r="R1432" t="s">
        <v>6432</v>
      </c>
      <c r="S1432" t="s">
        <v>6434</v>
      </c>
      <c r="T1432" t="s">
        <v>6400</v>
      </c>
      <c r="U1432" t="s">
        <v>6435</v>
      </c>
    </row>
    <row r="1433" spans="1:21" x14ac:dyDescent="0.25">
      <c r="A1433" t="s">
        <v>6436</v>
      </c>
      <c r="B1433" t="s">
        <v>22</v>
      </c>
      <c r="C1433" t="s">
        <v>6437</v>
      </c>
      <c r="D1433">
        <f t="shared" si="41"/>
        <v>-901120050</v>
      </c>
      <c r="E1433" t="s">
        <v>6300</v>
      </c>
      <c r="F1433" t="s">
        <v>6219</v>
      </c>
      <c r="G1433" t="s">
        <v>6220</v>
      </c>
      <c r="H1433">
        <v>-6.0465252399444598</v>
      </c>
      <c r="I1433">
        <v>37.383431827757299</v>
      </c>
      <c r="J1433">
        <v>100</v>
      </c>
      <c r="K1433" t="s">
        <v>27</v>
      </c>
      <c r="L1433" t="s">
        <v>27</v>
      </c>
      <c r="M1433" t="s">
        <v>27</v>
      </c>
      <c r="N1433" t="s">
        <v>27</v>
      </c>
      <c r="O1433" t="s">
        <v>27</v>
      </c>
      <c r="P1433" t="s">
        <v>27</v>
      </c>
      <c r="R1433" t="s">
        <v>6438</v>
      </c>
      <c r="T1433" t="s">
        <v>6296</v>
      </c>
      <c r="U1433" t="s">
        <v>6439</v>
      </c>
    </row>
    <row r="1434" spans="1:21" x14ac:dyDescent="0.25">
      <c r="A1434" t="s">
        <v>6440</v>
      </c>
      <c r="B1434" t="s">
        <v>22</v>
      </c>
      <c r="C1434" t="s">
        <v>6441</v>
      </c>
      <c r="D1434">
        <f t="shared" si="41"/>
        <v>-901120050</v>
      </c>
      <c r="E1434" t="s">
        <v>6358</v>
      </c>
      <c r="F1434" t="s">
        <v>6219</v>
      </c>
      <c r="G1434" t="s">
        <v>6220</v>
      </c>
      <c r="H1434">
        <v>2.8213488</v>
      </c>
      <c r="I1434">
        <v>41.978316200000002</v>
      </c>
      <c r="J1434">
        <v>100</v>
      </c>
      <c r="K1434" t="s">
        <v>536</v>
      </c>
      <c r="L1434" t="s">
        <v>536</v>
      </c>
      <c r="M1434" t="s">
        <v>536</v>
      </c>
      <c r="N1434" t="s">
        <v>536</v>
      </c>
      <c r="O1434" t="s">
        <v>536</v>
      </c>
      <c r="P1434" t="s">
        <v>536</v>
      </c>
      <c r="R1434" t="s">
        <v>6441</v>
      </c>
      <c r="T1434" t="s">
        <v>6222</v>
      </c>
      <c r="U1434" t="s">
        <v>6442</v>
      </c>
    </row>
    <row r="1435" spans="1:21" x14ac:dyDescent="0.25">
      <c r="A1435" t="s">
        <v>6443</v>
      </c>
      <c r="B1435" t="s">
        <v>22</v>
      </c>
      <c r="C1435" t="s">
        <v>6444</v>
      </c>
      <c r="D1435">
        <f t="shared" si="41"/>
        <v>-901120050</v>
      </c>
      <c r="E1435" t="s">
        <v>6242</v>
      </c>
      <c r="F1435" t="s">
        <v>6219</v>
      </c>
      <c r="G1435" t="s">
        <v>6220</v>
      </c>
      <c r="H1435">
        <v>-3.5327482223510698</v>
      </c>
      <c r="I1435">
        <v>40.336731123090701</v>
      </c>
      <c r="J1435">
        <v>100</v>
      </c>
      <c r="K1435" t="s">
        <v>27</v>
      </c>
      <c r="L1435" t="s">
        <v>27</v>
      </c>
      <c r="M1435" t="s">
        <v>27</v>
      </c>
      <c r="N1435" t="s">
        <v>27</v>
      </c>
      <c r="O1435" t="s">
        <v>27</v>
      </c>
      <c r="P1435" t="s">
        <v>27</v>
      </c>
      <c r="Q1435" t="s">
        <v>3736</v>
      </c>
      <c r="R1435" t="s">
        <v>6445</v>
      </c>
      <c r="S1435" t="s">
        <v>6445</v>
      </c>
      <c r="T1435" t="s">
        <v>6243</v>
      </c>
      <c r="U1435" t="s">
        <v>6446</v>
      </c>
    </row>
    <row r="1436" spans="1:21" x14ac:dyDescent="0.25">
      <c r="A1436" t="s">
        <v>6447</v>
      </c>
      <c r="B1436" t="s">
        <v>22</v>
      </c>
      <c r="C1436" t="s">
        <v>6448</v>
      </c>
      <c r="D1436">
        <f t="shared" si="41"/>
        <v>-901120050</v>
      </c>
      <c r="E1436" t="s">
        <v>6449</v>
      </c>
      <c r="F1436" t="s">
        <v>6219</v>
      </c>
      <c r="G1436" t="s">
        <v>6220</v>
      </c>
      <c r="H1436">
        <v>-0.94825744628905995</v>
      </c>
      <c r="I1436">
        <v>37.625516858356697</v>
      </c>
      <c r="J1436">
        <v>100</v>
      </c>
      <c r="K1436" t="s">
        <v>27</v>
      </c>
      <c r="L1436" t="s">
        <v>27</v>
      </c>
      <c r="M1436" t="s">
        <v>27</v>
      </c>
      <c r="N1436" t="s">
        <v>27</v>
      </c>
      <c r="O1436" t="s">
        <v>27</v>
      </c>
      <c r="P1436" t="s">
        <v>27</v>
      </c>
      <c r="Q1436" t="s">
        <v>27</v>
      </c>
      <c r="R1436" t="s">
        <v>6450</v>
      </c>
      <c r="T1436" t="s">
        <v>6334</v>
      </c>
      <c r="U1436" t="s">
        <v>6451</v>
      </c>
    </row>
    <row r="1437" spans="1:21" x14ac:dyDescent="0.25">
      <c r="A1437" t="s">
        <v>6452</v>
      </c>
      <c r="B1437" t="s">
        <v>22</v>
      </c>
      <c r="C1437" t="s">
        <v>6453</v>
      </c>
      <c r="D1437">
        <f t="shared" si="41"/>
        <v>-901120050</v>
      </c>
      <c r="E1437" t="s">
        <v>6218</v>
      </c>
      <c r="F1437" t="s">
        <v>6219</v>
      </c>
      <c r="G1437" t="s">
        <v>6220</v>
      </c>
      <c r="H1437">
        <v>2.0252609252929701</v>
      </c>
      <c r="I1437">
        <v>41.311242939869302</v>
      </c>
      <c r="J1437">
        <v>100</v>
      </c>
      <c r="K1437" t="s">
        <v>312</v>
      </c>
      <c r="L1437" t="s">
        <v>312</v>
      </c>
      <c r="M1437" t="s">
        <v>312</v>
      </c>
      <c r="N1437" t="s">
        <v>312</v>
      </c>
      <c r="O1437" t="s">
        <v>312</v>
      </c>
      <c r="P1437" t="s">
        <v>312</v>
      </c>
      <c r="R1437" t="s">
        <v>6454</v>
      </c>
      <c r="T1437" t="s">
        <v>6222</v>
      </c>
      <c r="U1437" t="s">
        <v>6455</v>
      </c>
    </row>
    <row r="1438" spans="1:21" x14ac:dyDescent="0.25">
      <c r="A1438" t="s">
        <v>6456</v>
      </c>
      <c r="B1438" t="s">
        <v>22</v>
      </c>
      <c r="C1438" t="s">
        <v>6457</v>
      </c>
      <c r="D1438">
        <f t="shared" si="41"/>
        <v>-901120050</v>
      </c>
      <c r="E1438" t="s">
        <v>6458</v>
      </c>
      <c r="F1438" t="s">
        <v>6219</v>
      </c>
      <c r="G1438" t="s">
        <v>6220</v>
      </c>
      <c r="H1438">
        <v>-6.1552619934081996</v>
      </c>
      <c r="I1438">
        <v>36.690256964855699</v>
      </c>
      <c r="J1438">
        <v>100</v>
      </c>
      <c r="K1438" t="s">
        <v>27</v>
      </c>
      <c r="L1438" t="s">
        <v>27</v>
      </c>
      <c r="M1438" t="s">
        <v>27</v>
      </c>
      <c r="N1438" t="s">
        <v>27</v>
      </c>
      <c r="O1438" t="s">
        <v>27</v>
      </c>
      <c r="P1438" t="s">
        <v>27</v>
      </c>
      <c r="R1438" t="s">
        <v>6459</v>
      </c>
      <c r="T1438" t="s">
        <v>6296</v>
      </c>
      <c r="U1438" t="s">
        <v>6460</v>
      </c>
    </row>
    <row r="1439" spans="1:21" x14ac:dyDescent="0.25">
      <c r="A1439" t="s">
        <v>6461</v>
      </c>
      <c r="B1439" t="s">
        <v>38</v>
      </c>
      <c r="C1439" t="s">
        <v>6462</v>
      </c>
      <c r="D1439">
        <f t="shared" si="41"/>
        <v>-901120050</v>
      </c>
      <c r="E1439" t="s">
        <v>6463</v>
      </c>
      <c r="F1439" t="s">
        <v>6219</v>
      </c>
      <c r="G1439" t="s">
        <v>6220</v>
      </c>
      <c r="H1439">
        <v>-6.33795261383057</v>
      </c>
      <c r="I1439">
        <v>36.749441454950102</v>
      </c>
      <c r="J1439">
        <v>100</v>
      </c>
      <c r="K1439" t="s">
        <v>27</v>
      </c>
      <c r="L1439" t="s">
        <v>27</v>
      </c>
      <c r="M1439" t="s">
        <v>27</v>
      </c>
      <c r="N1439" t="s">
        <v>27</v>
      </c>
      <c r="O1439" t="s">
        <v>27</v>
      </c>
      <c r="P1439" t="s">
        <v>27</v>
      </c>
      <c r="R1439" t="s">
        <v>6464</v>
      </c>
      <c r="T1439" t="s">
        <v>6296</v>
      </c>
      <c r="U1439" t="s">
        <v>6465</v>
      </c>
    </row>
    <row r="1440" spans="1:21" x14ac:dyDescent="0.25">
      <c r="A1440" t="s">
        <v>6466</v>
      </c>
      <c r="B1440" t="s">
        <v>22</v>
      </c>
      <c r="C1440" t="s">
        <v>6467</v>
      </c>
      <c r="D1440">
        <f t="shared" si="41"/>
        <v>-901120050</v>
      </c>
      <c r="E1440" t="s">
        <v>6468</v>
      </c>
      <c r="F1440" t="s">
        <v>6219</v>
      </c>
      <c r="G1440" t="s">
        <v>6220</v>
      </c>
      <c r="H1440">
        <v>-8.4286379814148003</v>
      </c>
      <c r="I1440">
        <v>43.3446868474485</v>
      </c>
      <c r="J1440">
        <v>100</v>
      </c>
      <c r="K1440" t="s">
        <v>27</v>
      </c>
      <c r="L1440" t="s">
        <v>27</v>
      </c>
      <c r="M1440" t="s">
        <v>27</v>
      </c>
      <c r="N1440" t="s">
        <v>27</v>
      </c>
      <c r="O1440" t="s">
        <v>27</v>
      </c>
      <c r="P1440" t="s">
        <v>27</v>
      </c>
      <c r="R1440" t="s">
        <v>6467</v>
      </c>
      <c r="S1440" t="s">
        <v>6469</v>
      </c>
      <c r="T1440" t="s">
        <v>6371</v>
      </c>
      <c r="U1440" t="s">
        <v>6470</v>
      </c>
    </row>
    <row r="1441" spans="1:21" x14ac:dyDescent="0.25">
      <c r="A1441" t="s">
        <v>6471</v>
      </c>
      <c r="B1441" t="s">
        <v>22</v>
      </c>
      <c r="C1441" t="s">
        <v>6472</v>
      </c>
      <c r="D1441">
        <f t="shared" si="41"/>
        <v>-901120050</v>
      </c>
      <c r="E1441" t="s">
        <v>6242</v>
      </c>
      <c r="F1441" t="s">
        <v>6219</v>
      </c>
      <c r="G1441" t="s">
        <v>6220</v>
      </c>
      <c r="H1441">
        <v>-3.7375831604003902</v>
      </c>
      <c r="I1441">
        <v>40.364138522388501</v>
      </c>
      <c r="J1441">
        <v>100</v>
      </c>
      <c r="K1441" t="s">
        <v>27</v>
      </c>
      <c r="L1441" t="s">
        <v>27</v>
      </c>
      <c r="M1441" t="s">
        <v>27</v>
      </c>
      <c r="N1441" t="s">
        <v>27</v>
      </c>
      <c r="O1441" t="s">
        <v>27</v>
      </c>
      <c r="P1441" t="s">
        <v>27</v>
      </c>
      <c r="Q1441" t="s">
        <v>27</v>
      </c>
      <c r="R1441" t="s">
        <v>6473</v>
      </c>
      <c r="S1441" t="s">
        <v>6473</v>
      </c>
      <c r="T1441" t="s">
        <v>6243</v>
      </c>
      <c r="U1441" t="s">
        <v>6474</v>
      </c>
    </row>
    <row r="1442" spans="1:21" x14ac:dyDescent="0.25">
      <c r="A1442" t="s">
        <v>6475</v>
      </c>
      <c r="B1442" t="s">
        <v>22</v>
      </c>
      <c r="C1442" t="s">
        <v>6476</v>
      </c>
      <c r="D1442">
        <f t="shared" si="41"/>
        <v>-901120050</v>
      </c>
      <c r="E1442" t="s">
        <v>6477</v>
      </c>
      <c r="F1442" t="s">
        <v>6219</v>
      </c>
      <c r="G1442" t="s">
        <v>6220</v>
      </c>
      <c r="H1442">
        <v>-3.7568092346191402</v>
      </c>
      <c r="I1442">
        <v>40.659089719692901</v>
      </c>
      <c r="J1442">
        <v>100</v>
      </c>
      <c r="K1442" t="s">
        <v>2137</v>
      </c>
      <c r="L1442" t="s">
        <v>2137</v>
      </c>
      <c r="M1442" t="s">
        <v>2137</v>
      </c>
      <c r="N1442" t="s">
        <v>2137</v>
      </c>
      <c r="O1442" t="s">
        <v>2137</v>
      </c>
      <c r="P1442" t="s">
        <v>2137</v>
      </c>
      <c r="Q1442" t="s">
        <v>2137</v>
      </c>
      <c r="R1442" t="s">
        <v>6478</v>
      </c>
      <c r="T1442" t="s">
        <v>6243</v>
      </c>
      <c r="U1442" t="s">
        <v>6479</v>
      </c>
    </row>
    <row r="1443" spans="1:21" x14ac:dyDescent="0.25">
      <c r="A1443" t="s">
        <v>6480</v>
      </c>
      <c r="B1443" t="s">
        <v>22</v>
      </c>
      <c r="C1443" t="s">
        <v>6481</v>
      </c>
      <c r="D1443">
        <f t="shared" si="41"/>
        <v>-901120050</v>
      </c>
      <c r="E1443" t="s">
        <v>6482</v>
      </c>
      <c r="F1443" t="s">
        <v>6219</v>
      </c>
      <c r="G1443" t="s">
        <v>6220</v>
      </c>
      <c r="H1443">
        <v>2.0778780877753902</v>
      </c>
      <c r="I1443">
        <v>41.347444012876302</v>
      </c>
      <c r="J1443">
        <v>100</v>
      </c>
      <c r="K1443" t="s">
        <v>312</v>
      </c>
      <c r="L1443" t="s">
        <v>312</v>
      </c>
      <c r="M1443" t="s">
        <v>312</v>
      </c>
      <c r="N1443" t="s">
        <v>312</v>
      </c>
      <c r="O1443" t="s">
        <v>312</v>
      </c>
      <c r="P1443" t="s">
        <v>312</v>
      </c>
      <c r="R1443" t="s">
        <v>6483</v>
      </c>
      <c r="T1443" t="s">
        <v>6222</v>
      </c>
      <c r="U1443" t="s">
        <v>6484</v>
      </c>
    </row>
    <row r="1444" spans="1:21" x14ac:dyDescent="0.25">
      <c r="A1444" t="s">
        <v>6485</v>
      </c>
      <c r="B1444" t="s">
        <v>22</v>
      </c>
      <c r="C1444" t="s">
        <v>6486</v>
      </c>
      <c r="D1444">
        <f t="shared" si="41"/>
        <v>-901120050</v>
      </c>
      <c r="E1444" t="s">
        <v>6487</v>
      </c>
      <c r="F1444" t="s">
        <v>6219</v>
      </c>
      <c r="G1444" t="s">
        <v>6220</v>
      </c>
      <c r="H1444">
        <v>-7.8649820842488198</v>
      </c>
      <c r="I1444">
        <v>42.337867372732198</v>
      </c>
      <c r="J1444">
        <v>100</v>
      </c>
      <c r="K1444" t="s">
        <v>2137</v>
      </c>
      <c r="L1444" t="s">
        <v>2137</v>
      </c>
      <c r="M1444" t="s">
        <v>2137</v>
      </c>
      <c r="N1444" t="s">
        <v>2137</v>
      </c>
      <c r="O1444" t="s">
        <v>2137</v>
      </c>
      <c r="P1444" t="s">
        <v>2137</v>
      </c>
      <c r="R1444" t="s">
        <v>6486</v>
      </c>
      <c r="T1444" t="s">
        <v>6371</v>
      </c>
      <c r="U1444" t="s">
        <v>6488</v>
      </c>
    </row>
    <row r="1445" spans="1:21" x14ac:dyDescent="0.25">
      <c r="A1445" t="s">
        <v>6489</v>
      </c>
      <c r="B1445" t="s">
        <v>22</v>
      </c>
      <c r="C1445" t="s">
        <v>6490</v>
      </c>
      <c r="D1445">
        <f t="shared" si="41"/>
        <v>-901120050</v>
      </c>
      <c r="E1445" t="s">
        <v>6252</v>
      </c>
      <c r="F1445" t="s">
        <v>6219</v>
      </c>
      <c r="G1445" t="s">
        <v>6220</v>
      </c>
      <c r="H1445">
        <v>-3.02207708358765</v>
      </c>
      <c r="I1445">
        <v>43.312407488107297</v>
      </c>
      <c r="J1445">
        <v>100</v>
      </c>
      <c r="K1445" t="s">
        <v>27</v>
      </c>
      <c r="L1445" t="s">
        <v>27</v>
      </c>
      <c r="M1445" t="s">
        <v>27</v>
      </c>
      <c r="N1445" t="s">
        <v>27</v>
      </c>
      <c r="O1445" t="s">
        <v>27</v>
      </c>
      <c r="P1445" t="s">
        <v>27</v>
      </c>
      <c r="R1445" t="s">
        <v>6490</v>
      </c>
      <c r="S1445" t="s">
        <v>6491</v>
      </c>
      <c r="T1445" t="s">
        <v>6254</v>
      </c>
      <c r="U1445" t="s">
        <v>6492</v>
      </c>
    </row>
    <row r="1446" spans="1:21" x14ac:dyDescent="0.25">
      <c r="A1446" t="s">
        <v>6493</v>
      </c>
      <c r="B1446" t="s">
        <v>22</v>
      </c>
      <c r="C1446" t="s">
        <v>6494</v>
      </c>
      <c r="D1446">
        <f t="shared" si="41"/>
        <v>-901120050</v>
      </c>
      <c r="E1446" t="s">
        <v>6495</v>
      </c>
      <c r="F1446" t="s">
        <v>6219</v>
      </c>
      <c r="G1446" t="s">
        <v>6220</v>
      </c>
      <c r="H1446">
        <v>-4.5323878000000004</v>
      </c>
      <c r="I1446">
        <v>42.007777599999997</v>
      </c>
      <c r="J1446">
        <v>100</v>
      </c>
      <c r="K1446" t="s">
        <v>1189</v>
      </c>
      <c r="L1446" t="s">
        <v>1189</v>
      </c>
      <c r="M1446" t="s">
        <v>1189</v>
      </c>
      <c r="N1446" t="s">
        <v>1189</v>
      </c>
      <c r="O1446" t="s">
        <v>1189</v>
      </c>
      <c r="P1446" t="s">
        <v>1189</v>
      </c>
      <c r="R1446" t="s">
        <v>6494</v>
      </c>
      <c r="T1446" t="s">
        <v>6319</v>
      </c>
      <c r="U1446" t="s">
        <v>6496</v>
      </c>
    </row>
    <row r="1447" spans="1:21" x14ac:dyDescent="0.25">
      <c r="A1447" t="s">
        <v>6497</v>
      </c>
      <c r="B1447" t="s">
        <v>22</v>
      </c>
      <c r="C1447" t="s">
        <v>6498</v>
      </c>
      <c r="D1447">
        <f t="shared" si="41"/>
        <v>-901120050</v>
      </c>
      <c r="E1447" t="s">
        <v>6230</v>
      </c>
      <c r="F1447" t="s">
        <v>6219</v>
      </c>
      <c r="G1447" t="s">
        <v>6220</v>
      </c>
      <c r="H1447">
        <v>-0.37253201007843001</v>
      </c>
      <c r="I1447">
        <v>39.46852249997</v>
      </c>
      <c r="J1447">
        <v>100</v>
      </c>
      <c r="K1447" t="s">
        <v>2137</v>
      </c>
      <c r="L1447" t="s">
        <v>2137</v>
      </c>
      <c r="M1447" t="s">
        <v>2137</v>
      </c>
      <c r="N1447" t="s">
        <v>2137</v>
      </c>
      <c r="O1447" t="s">
        <v>2137</v>
      </c>
      <c r="P1447" t="s">
        <v>2137</v>
      </c>
      <c r="Q1447" t="s">
        <v>1011</v>
      </c>
      <c r="R1447" t="s">
        <v>6498</v>
      </c>
      <c r="T1447" t="s">
        <v>6232</v>
      </c>
      <c r="U1447" t="s">
        <v>6499</v>
      </c>
    </row>
    <row r="1448" spans="1:21" x14ac:dyDescent="0.25">
      <c r="A1448" t="s">
        <v>6500</v>
      </c>
      <c r="B1448" t="s">
        <v>22</v>
      </c>
      <c r="C1448" t="s">
        <v>6501</v>
      </c>
      <c r="D1448">
        <f t="shared" si="41"/>
        <v>-901120050</v>
      </c>
      <c r="E1448" t="s">
        <v>6502</v>
      </c>
      <c r="F1448" t="s">
        <v>6219</v>
      </c>
      <c r="G1448" t="s">
        <v>6220</v>
      </c>
      <c r="H1448">
        <v>-1.8473768234252901</v>
      </c>
      <c r="I1448">
        <v>38.990503376193097</v>
      </c>
      <c r="J1448">
        <v>100</v>
      </c>
      <c r="K1448" t="s">
        <v>27</v>
      </c>
      <c r="L1448" t="s">
        <v>27</v>
      </c>
      <c r="M1448" t="s">
        <v>27</v>
      </c>
      <c r="N1448" t="s">
        <v>27</v>
      </c>
      <c r="O1448" t="s">
        <v>27</v>
      </c>
      <c r="P1448" t="s">
        <v>27</v>
      </c>
      <c r="R1448" t="s">
        <v>6501</v>
      </c>
      <c r="S1448" t="s">
        <v>6503</v>
      </c>
      <c r="T1448" t="s">
        <v>6504</v>
      </c>
      <c r="U1448" t="s">
        <v>6505</v>
      </c>
    </row>
    <row r="1449" spans="1:21" x14ac:dyDescent="0.25">
      <c r="A1449" t="s">
        <v>6506</v>
      </c>
      <c r="B1449" t="s">
        <v>22</v>
      </c>
      <c r="C1449" t="s">
        <v>6507</v>
      </c>
      <c r="D1449">
        <f t="shared" si="41"/>
        <v>-901120050</v>
      </c>
      <c r="E1449" t="s">
        <v>6433</v>
      </c>
      <c r="F1449" t="s">
        <v>6219</v>
      </c>
      <c r="G1449" t="s">
        <v>6220</v>
      </c>
      <c r="H1449">
        <v>-16.301479339599599</v>
      </c>
      <c r="I1449">
        <v>28.4268638388127</v>
      </c>
      <c r="J1449">
        <v>85</v>
      </c>
      <c r="K1449" t="s">
        <v>27</v>
      </c>
      <c r="L1449" t="s">
        <v>27</v>
      </c>
      <c r="M1449" t="s">
        <v>27</v>
      </c>
      <c r="N1449" t="s">
        <v>27</v>
      </c>
      <c r="O1449" t="s">
        <v>27</v>
      </c>
      <c r="P1449" t="s">
        <v>27</v>
      </c>
      <c r="R1449" t="s">
        <v>6508</v>
      </c>
      <c r="S1449" t="s">
        <v>6509</v>
      </c>
      <c r="T1449" t="s">
        <v>6400</v>
      </c>
      <c r="U1449" t="s">
        <v>6510</v>
      </c>
    </row>
    <row r="1450" spans="1:21" x14ac:dyDescent="0.25">
      <c r="A1450" t="s">
        <v>6511</v>
      </c>
      <c r="B1450" t="s">
        <v>22</v>
      </c>
      <c r="C1450" t="s">
        <v>6512</v>
      </c>
      <c r="D1450">
        <f t="shared" si="41"/>
        <v>-901120050</v>
      </c>
      <c r="E1450" t="s">
        <v>6242</v>
      </c>
      <c r="F1450" t="s">
        <v>6219</v>
      </c>
      <c r="G1450" t="s">
        <v>6220</v>
      </c>
      <c r="H1450">
        <v>-3.5979795455932599</v>
      </c>
      <c r="I1450">
        <v>40.368601799197897</v>
      </c>
      <c r="J1450">
        <v>100</v>
      </c>
      <c r="K1450" t="s">
        <v>27</v>
      </c>
      <c r="L1450" t="s">
        <v>27</v>
      </c>
      <c r="M1450" t="s">
        <v>27</v>
      </c>
      <c r="N1450" t="s">
        <v>27</v>
      </c>
      <c r="O1450" t="s">
        <v>27</v>
      </c>
      <c r="P1450" t="s">
        <v>27</v>
      </c>
      <c r="Q1450" t="s">
        <v>27</v>
      </c>
      <c r="R1450" t="s">
        <v>6513</v>
      </c>
      <c r="T1450" t="s">
        <v>6243</v>
      </c>
      <c r="U1450" t="s">
        <v>6514</v>
      </c>
    </row>
    <row r="1451" spans="1:21" x14ac:dyDescent="0.25">
      <c r="A1451" t="s">
        <v>6515</v>
      </c>
      <c r="B1451" t="s">
        <v>22</v>
      </c>
      <c r="C1451" t="s">
        <v>6516</v>
      </c>
      <c r="D1451">
        <f t="shared" si="41"/>
        <v>-901120050</v>
      </c>
      <c r="E1451" t="s">
        <v>6517</v>
      </c>
      <c r="F1451" t="s">
        <v>6219</v>
      </c>
      <c r="G1451" t="s">
        <v>6220</v>
      </c>
      <c r="H1451">
        <v>-3.92775177955627</v>
      </c>
      <c r="I1451">
        <v>38.985082824751998</v>
      </c>
      <c r="J1451">
        <v>100</v>
      </c>
      <c r="K1451" t="s">
        <v>536</v>
      </c>
      <c r="L1451" t="s">
        <v>536</v>
      </c>
      <c r="M1451" t="s">
        <v>536</v>
      </c>
      <c r="N1451" t="s">
        <v>536</v>
      </c>
      <c r="O1451" t="s">
        <v>536</v>
      </c>
      <c r="P1451" t="s">
        <v>536</v>
      </c>
      <c r="R1451" t="s">
        <v>6516</v>
      </c>
      <c r="T1451" t="s">
        <v>6504</v>
      </c>
      <c r="U1451" t="s">
        <v>6518</v>
      </c>
    </row>
    <row r="1452" spans="1:21" x14ac:dyDescent="0.25">
      <c r="A1452" t="s">
        <v>6519</v>
      </c>
      <c r="B1452" t="s">
        <v>22</v>
      </c>
      <c r="C1452" t="s">
        <v>6520</v>
      </c>
      <c r="D1452">
        <f t="shared" si="41"/>
        <v>-901120050</v>
      </c>
      <c r="E1452" t="s">
        <v>6521</v>
      </c>
      <c r="F1452" t="s">
        <v>6219</v>
      </c>
      <c r="G1452" t="s">
        <v>6220</v>
      </c>
      <c r="H1452">
        <v>-4.78605962995971</v>
      </c>
      <c r="I1452">
        <v>41.6274101137111</v>
      </c>
      <c r="J1452">
        <v>100</v>
      </c>
      <c r="K1452" t="s">
        <v>2137</v>
      </c>
      <c r="L1452" t="s">
        <v>2137</v>
      </c>
      <c r="M1452" t="s">
        <v>2137</v>
      </c>
      <c r="N1452" t="s">
        <v>2137</v>
      </c>
      <c r="O1452" t="s">
        <v>2137</v>
      </c>
      <c r="P1452" t="s">
        <v>2137</v>
      </c>
      <c r="R1452" t="s">
        <v>6520</v>
      </c>
      <c r="S1452" t="s">
        <v>6522</v>
      </c>
      <c r="T1452" t="s">
        <v>6319</v>
      </c>
      <c r="U1452" t="s">
        <v>6523</v>
      </c>
    </row>
    <row r="1453" spans="1:21" x14ac:dyDescent="0.25">
      <c r="A1453" t="s">
        <v>6524</v>
      </c>
      <c r="B1453" t="s">
        <v>22</v>
      </c>
      <c r="C1453" t="s">
        <v>6525</v>
      </c>
      <c r="D1453">
        <f t="shared" ref="D1453:D1479" si="42">34-901120084</f>
        <v>-901120050</v>
      </c>
      <c r="E1453" t="s">
        <v>6526</v>
      </c>
      <c r="F1453" t="s">
        <v>6219</v>
      </c>
      <c r="G1453" t="s">
        <v>6220</v>
      </c>
      <c r="H1453">
        <v>-15.4076385498046</v>
      </c>
      <c r="I1453">
        <v>28.032591760852501</v>
      </c>
      <c r="J1453">
        <v>85</v>
      </c>
      <c r="K1453" t="s">
        <v>27</v>
      </c>
      <c r="L1453" t="s">
        <v>27</v>
      </c>
      <c r="M1453" t="s">
        <v>27</v>
      </c>
      <c r="N1453" t="s">
        <v>27</v>
      </c>
      <c r="O1453" t="s">
        <v>27</v>
      </c>
      <c r="P1453" t="s">
        <v>27</v>
      </c>
      <c r="R1453" t="s">
        <v>6525</v>
      </c>
      <c r="S1453" t="s">
        <v>6527</v>
      </c>
      <c r="T1453" t="s">
        <v>6400</v>
      </c>
      <c r="U1453" t="s">
        <v>6528</v>
      </c>
    </row>
    <row r="1454" spans="1:21" x14ac:dyDescent="0.25">
      <c r="A1454" t="s">
        <v>6529</v>
      </c>
      <c r="B1454" t="s">
        <v>22</v>
      </c>
      <c r="C1454" t="s">
        <v>6530</v>
      </c>
      <c r="D1454">
        <f t="shared" si="42"/>
        <v>-901120050</v>
      </c>
      <c r="E1454" t="s">
        <v>6526</v>
      </c>
      <c r="F1454" t="s">
        <v>6219</v>
      </c>
      <c r="G1454" t="s">
        <v>6220</v>
      </c>
      <c r="H1454">
        <v>-15.449180603027299</v>
      </c>
      <c r="I1454">
        <v>28.128992347540201</v>
      </c>
      <c r="J1454">
        <v>85</v>
      </c>
      <c r="K1454" t="s">
        <v>2068</v>
      </c>
      <c r="L1454" t="s">
        <v>27</v>
      </c>
      <c r="M1454" t="s">
        <v>27</v>
      </c>
      <c r="N1454" t="s">
        <v>27</v>
      </c>
      <c r="O1454" t="s">
        <v>27</v>
      </c>
      <c r="P1454" t="s">
        <v>27</v>
      </c>
      <c r="Q1454" t="s">
        <v>27</v>
      </c>
      <c r="R1454" t="s">
        <v>6530</v>
      </c>
      <c r="S1454" t="s">
        <v>6531</v>
      </c>
      <c r="T1454" t="s">
        <v>6400</v>
      </c>
      <c r="U1454" t="s">
        <v>6532</v>
      </c>
    </row>
    <row r="1455" spans="1:21" x14ac:dyDescent="0.25">
      <c r="A1455" t="s">
        <v>6533</v>
      </c>
      <c r="B1455" t="s">
        <v>22</v>
      </c>
      <c r="C1455" t="s">
        <v>6534</v>
      </c>
      <c r="D1455">
        <f t="shared" si="42"/>
        <v>-901120050</v>
      </c>
      <c r="E1455" t="s">
        <v>6218</v>
      </c>
      <c r="F1455" t="s">
        <v>6219</v>
      </c>
      <c r="G1455" t="s">
        <v>6220</v>
      </c>
      <c r="H1455">
        <v>2.1325908</v>
      </c>
      <c r="I1455">
        <v>41.389436199999999</v>
      </c>
      <c r="J1455">
        <v>100</v>
      </c>
      <c r="K1455" t="s">
        <v>536</v>
      </c>
      <c r="L1455" t="s">
        <v>536</v>
      </c>
      <c r="M1455" t="s">
        <v>536</v>
      </c>
      <c r="N1455" t="s">
        <v>536</v>
      </c>
      <c r="O1455" t="s">
        <v>536</v>
      </c>
      <c r="P1455" t="s">
        <v>536</v>
      </c>
      <c r="R1455" t="s">
        <v>6534</v>
      </c>
      <c r="T1455" t="s">
        <v>6222</v>
      </c>
      <c r="U1455" t="s">
        <v>6535</v>
      </c>
    </row>
    <row r="1456" spans="1:21" x14ac:dyDescent="0.25">
      <c r="A1456" t="s">
        <v>6536</v>
      </c>
      <c r="B1456" t="s">
        <v>22</v>
      </c>
      <c r="C1456" t="s">
        <v>6537</v>
      </c>
      <c r="D1456">
        <f t="shared" si="42"/>
        <v>-901120050</v>
      </c>
      <c r="E1456" t="s">
        <v>6538</v>
      </c>
      <c r="F1456" t="s">
        <v>6219</v>
      </c>
      <c r="G1456" t="s">
        <v>6220</v>
      </c>
      <c r="H1456">
        <v>-7.0220232009887704</v>
      </c>
      <c r="I1456">
        <v>38.883416582103898</v>
      </c>
      <c r="J1456">
        <v>100</v>
      </c>
      <c r="K1456" t="s">
        <v>27</v>
      </c>
      <c r="L1456" t="s">
        <v>27</v>
      </c>
      <c r="M1456" t="s">
        <v>27</v>
      </c>
      <c r="N1456" t="s">
        <v>27</v>
      </c>
      <c r="O1456" t="s">
        <v>27</v>
      </c>
      <c r="P1456" t="s">
        <v>27</v>
      </c>
      <c r="R1456" t="s">
        <v>6537</v>
      </c>
      <c r="S1456" t="s">
        <v>6539</v>
      </c>
      <c r="T1456" t="s">
        <v>6540</v>
      </c>
      <c r="U1456" t="s">
        <v>6541</v>
      </c>
    </row>
    <row r="1457" spans="1:21" x14ac:dyDescent="0.25">
      <c r="A1457" t="s">
        <v>6542</v>
      </c>
      <c r="B1457" t="s">
        <v>22</v>
      </c>
      <c r="C1457" t="s">
        <v>6543</v>
      </c>
      <c r="D1457">
        <f t="shared" si="42"/>
        <v>-901120050</v>
      </c>
      <c r="E1457" t="s">
        <v>6230</v>
      </c>
      <c r="F1457" t="s">
        <v>6219</v>
      </c>
      <c r="G1457" t="s">
        <v>6220</v>
      </c>
      <c r="H1457">
        <v>-0.36190509796143</v>
      </c>
      <c r="I1457">
        <v>39.495132842834003</v>
      </c>
      <c r="J1457">
        <v>100</v>
      </c>
      <c r="K1457" t="s">
        <v>27</v>
      </c>
      <c r="L1457" t="s">
        <v>27</v>
      </c>
      <c r="M1457" t="s">
        <v>27</v>
      </c>
      <c r="N1457" t="s">
        <v>27</v>
      </c>
      <c r="O1457" t="s">
        <v>27</v>
      </c>
      <c r="P1457" t="s">
        <v>27</v>
      </c>
      <c r="Q1457" t="s">
        <v>27</v>
      </c>
      <c r="R1457" t="s">
        <v>6544</v>
      </c>
      <c r="T1457" t="s">
        <v>6232</v>
      </c>
      <c r="U1457" t="s">
        <v>6545</v>
      </c>
    </row>
    <row r="1458" spans="1:21" x14ac:dyDescent="0.25">
      <c r="A1458" t="s">
        <v>6546</v>
      </c>
      <c r="B1458" t="s">
        <v>22</v>
      </c>
      <c r="C1458" t="s">
        <v>6547</v>
      </c>
      <c r="D1458">
        <f t="shared" si="42"/>
        <v>-901120050</v>
      </c>
      <c r="E1458" t="s">
        <v>6548</v>
      </c>
      <c r="F1458" t="s">
        <v>6219</v>
      </c>
      <c r="G1458" t="s">
        <v>6220</v>
      </c>
      <c r="H1458">
        <v>-1.9462537765502901</v>
      </c>
      <c r="I1458">
        <v>43.308660223295099</v>
      </c>
      <c r="J1458">
        <v>100</v>
      </c>
      <c r="K1458" t="s">
        <v>27</v>
      </c>
      <c r="L1458" t="s">
        <v>27</v>
      </c>
      <c r="M1458" t="s">
        <v>27</v>
      </c>
      <c r="N1458" t="s">
        <v>27</v>
      </c>
      <c r="O1458" t="s">
        <v>27</v>
      </c>
      <c r="P1458" t="s">
        <v>27</v>
      </c>
      <c r="R1458" t="s">
        <v>6547</v>
      </c>
      <c r="S1458" t="s">
        <v>6549</v>
      </c>
      <c r="T1458" t="s">
        <v>6254</v>
      </c>
      <c r="U1458" t="s">
        <v>6550</v>
      </c>
    </row>
    <row r="1459" spans="1:21" x14ac:dyDescent="0.25">
      <c r="A1459" t="s">
        <v>6551</v>
      </c>
      <c r="B1459" t="s">
        <v>22</v>
      </c>
      <c r="C1459" t="s">
        <v>6552</v>
      </c>
      <c r="D1459">
        <f t="shared" si="42"/>
        <v>-901120050</v>
      </c>
      <c r="E1459" t="s">
        <v>6236</v>
      </c>
      <c r="F1459" t="s">
        <v>6219</v>
      </c>
      <c r="G1459" t="s">
        <v>6220</v>
      </c>
      <c r="H1459">
        <v>-0.88512897491455</v>
      </c>
      <c r="I1459">
        <v>41.606971504864802</v>
      </c>
      <c r="J1459">
        <v>100</v>
      </c>
      <c r="K1459" t="s">
        <v>27</v>
      </c>
      <c r="L1459" t="s">
        <v>27</v>
      </c>
      <c r="M1459" t="s">
        <v>27</v>
      </c>
      <c r="N1459" t="s">
        <v>27</v>
      </c>
      <c r="O1459" t="s">
        <v>27</v>
      </c>
      <c r="P1459" t="s">
        <v>27</v>
      </c>
      <c r="R1459" t="s">
        <v>6553</v>
      </c>
      <c r="T1459" t="s">
        <v>6238</v>
      </c>
      <c r="U1459" t="s">
        <v>6554</v>
      </c>
    </row>
    <row r="1460" spans="1:21" x14ac:dyDescent="0.25">
      <c r="A1460" t="s">
        <v>6555</v>
      </c>
      <c r="B1460" t="s">
        <v>22</v>
      </c>
      <c r="C1460" t="s">
        <v>6556</v>
      </c>
      <c r="D1460">
        <f t="shared" si="42"/>
        <v>-901120050</v>
      </c>
      <c r="E1460" t="s">
        <v>6557</v>
      </c>
      <c r="F1460" t="s">
        <v>6219</v>
      </c>
      <c r="G1460" t="s">
        <v>6220</v>
      </c>
      <c r="H1460">
        <v>-0.44606208801269998</v>
      </c>
      <c r="I1460">
        <v>39.128129390208898</v>
      </c>
      <c r="J1460">
        <v>100</v>
      </c>
      <c r="K1460" t="s">
        <v>27</v>
      </c>
      <c r="L1460" t="s">
        <v>27</v>
      </c>
      <c r="M1460" t="s">
        <v>27</v>
      </c>
      <c r="N1460" t="s">
        <v>27</v>
      </c>
      <c r="O1460" t="s">
        <v>27</v>
      </c>
      <c r="P1460" t="s">
        <v>27</v>
      </c>
      <c r="R1460" t="s">
        <v>6558</v>
      </c>
      <c r="T1460" t="s">
        <v>6232</v>
      </c>
      <c r="U1460" t="s">
        <v>6559</v>
      </c>
    </row>
    <row r="1461" spans="1:21" x14ac:dyDescent="0.25">
      <c r="A1461" t="s">
        <v>6560</v>
      </c>
      <c r="B1461" t="s">
        <v>22</v>
      </c>
      <c r="C1461" t="s">
        <v>6561</v>
      </c>
      <c r="D1461">
        <f t="shared" si="42"/>
        <v>-901120050</v>
      </c>
      <c r="E1461" t="s">
        <v>6562</v>
      </c>
      <c r="F1461" t="s">
        <v>6219</v>
      </c>
      <c r="G1461" t="s">
        <v>6220</v>
      </c>
      <c r="H1461">
        <v>-0.16895771026611001</v>
      </c>
      <c r="I1461">
        <v>38.969185707017203</v>
      </c>
      <c r="J1461">
        <v>100</v>
      </c>
      <c r="K1461" t="s">
        <v>27</v>
      </c>
      <c r="L1461" t="s">
        <v>27</v>
      </c>
      <c r="M1461" t="s">
        <v>27</v>
      </c>
      <c r="N1461" t="s">
        <v>27</v>
      </c>
      <c r="O1461" t="s">
        <v>27</v>
      </c>
      <c r="P1461" t="s">
        <v>27</v>
      </c>
      <c r="R1461" t="s">
        <v>6563</v>
      </c>
      <c r="T1461" t="s">
        <v>6232</v>
      </c>
      <c r="U1461" t="s">
        <v>6564</v>
      </c>
    </row>
    <row r="1462" spans="1:21" x14ac:dyDescent="0.25">
      <c r="A1462" t="s">
        <v>6565</v>
      </c>
      <c r="B1462" t="s">
        <v>22</v>
      </c>
      <c r="C1462" t="s">
        <v>6566</v>
      </c>
      <c r="D1462">
        <f t="shared" si="42"/>
        <v>-901120050</v>
      </c>
      <c r="E1462" t="s">
        <v>6567</v>
      </c>
      <c r="F1462" t="s">
        <v>6219</v>
      </c>
      <c r="G1462" t="s">
        <v>6220</v>
      </c>
      <c r="H1462">
        <v>-8.6422538000000007</v>
      </c>
      <c r="I1462">
        <v>42.430628200000001</v>
      </c>
      <c r="J1462">
        <v>100</v>
      </c>
      <c r="K1462" t="s">
        <v>2137</v>
      </c>
      <c r="L1462" t="s">
        <v>2137</v>
      </c>
      <c r="M1462" t="s">
        <v>2137</v>
      </c>
      <c r="N1462" t="s">
        <v>2137</v>
      </c>
      <c r="O1462" t="s">
        <v>2137</v>
      </c>
      <c r="P1462" t="s">
        <v>2137</v>
      </c>
      <c r="R1462" t="s">
        <v>6566</v>
      </c>
      <c r="T1462" t="s">
        <v>6371</v>
      </c>
      <c r="U1462" t="s">
        <v>6568</v>
      </c>
    </row>
    <row r="1463" spans="1:21" x14ac:dyDescent="0.25">
      <c r="A1463" t="s">
        <v>6569</v>
      </c>
      <c r="B1463" t="s">
        <v>38</v>
      </c>
      <c r="C1463" t="s">
        <v>6570</v>
      </c>
      <c r="D1463">
        <f t="shared" si="42"/>
        <v>-901120050</v>
      </c>
      <c r="E1463" t="s">
        <v>6571</v>
      </c>
      <c r="F1463" t="s">
        <v>6219</v>
      </c>
      <c r="G1463" t="s">
        <v>6220</v>
      </c>
      <c r="H1463">
        <v>-4.7975492477417001</v>
      </c>
      <c r="I1463">
        <v>39.963043409283799</v>
      </c>
      <c r="J1463">
        <v>100</v>
      </c>
      <c r="K1463" t="s">
        <v>27</v>
      </c>
      <c r="L1463" t="s">
        <v>27</v>
      </c>
      <c r="M1463" t="s">
        <v>27</v>
      </c>
      <c r="N1463" t="s">
        <v>27</v>
      </c>
      <c r="O1463" t="s">
        <v>27</v>
      </c>
      <c r="P1463" t="s">
        <v>27</v>
      </c>
      <c r="R1463" t="s">
        <v>6572</v>
      </c>
      <c r="T1463" t="s">
        <v>6504</v>
      </c>
      <c r="U1463" t="s">
        <v>6573</v>
      </c>
    </row>
    <row r="1464" spans="1:21" x14ac:dyDescent="0.25">
      <c r="A1464" t="s">
        <v>6574</v>
      </c>
      <c r="B1464" t="s">
        <v>22</v>
      </c>
      <c r="C1464" t="s">
        <v>6575</v>
      </c>
      <c r="D1464">
        <f t="shared" si="42"/>
        <v>-901120050</v>
      </c>
      <c r="E1464" t="s">
        <v>6242</v>
      </c>
      <c r="F1464" t="s">
        <v>6219</v>
      </c>
      <c r="G1464" t="s">
        <v>6220</v>
      </c>
      <c r="H1464">
        <v>-3.6841037999999999</v>
      </c>
      <c r="I1464">
        <v>40.425518799999999</v>
      </c>
      <c r="J1464">
        <v>100</v>
      </c>
      <c r="K1464" t="s">
        <v>2137</v>
      </c>
      <c r="L1464" t="s">
        <v>2137</v>
      </c>
      <c r="M1464" t="s">
        <v>2137</v>
      </c>
      <c r="N1464" t="s">
        <v>2137</v>
      </c>
      <c r="O1464" t="s">
        <v>2137</v>
      </c>
      <c r="P1464" t="s">
        <v>2137</v>
      </c>
      <c r="Q1464" t="s">
        <v>1501</v>
      </c>
      <c r="R1464" t="s">
        <v>6575</v>
      </c>
      <c r="T1464" t="s">
        <v>6243</v>
      </c>
      <c r="U1464" t="s">
        <v>6576</v>
      </c>
    </row>
    <row r="1465" spans="1:21" x14ac:dyDescent="0.25">
      <c r="A1465" t="s">
        <v>6577</v>
      </c>
      <c r="B1465" t="s">
        <v>22</v>
      </c>
      <c r="C1465" t="s">
        <v>6578</v>
      </c>
      <c r="D1465">
        <f t="shared" si="42"/>
        <v>-901120050</v>
      </c>
      <c r="E1465" t="s">
        <v>6230</v>
      </c>
      <c r="F1465" t="s">
        <v>6219</v>
      </c>
      <c r="G1465" t="s">
        <v>6220</v>
      </c>
      <c r="H1465">
        <v>-0.35473823547362998</v>
      </c>
      <c r="I1465">
        <v>39.453724452058999</v>
      </c>
      <c r="J1465">
        <v>100</v>
      </c>
      <c r="K1465" t="s">
        <v>27</v>
      </c>
      <c r="L1465" t="s">
        <v>27</v>
      </c>
      <c r="M1465" t="s">
        <v>27</v>
      </c>
      <c r="N1465" t="s">
        <v>27</v>
      </c>
      <c r="O1465" t="s">
        <v>27</v>
      </c>
      <c r="P1465" t="s">
        <v>27</v>
      </c>
      <c r="Q1465" t="s">
        <v>27</v>
      </c>
      <c r="R1465" t="s">
        <v>6579</v>
      </c>
      <c r="T1465" t="s">
        <v>6232</v>
      </c>
      <c r="U1465" t="s">
        <v>6580</v>
      </c>
    </row>
    <row r="1466" spans="1:21" x14ac:dyDescent="0.25">
      <c r="A1466" t="s">
        <v>6581</v>
      </c>
      <c r="B1466" t="s">
        <v>22</v>
      </c>
      <c r="C1466" t="s">
        <v>6582</v>
      </c>
      <c r="D1466">
        <f t="shared" si="42"/>
        <v>-901120050</v>
      </c>
      <c r="E1466" t="s">
        <v>6583</v>
      </c>
      <c r="F1466" t="s">
        <v>6219</v>
      </c>
      <c r="G1466" t="s">
        <v>6220</v>
      </c>
      <c r="H1466">
        <v>-3.89920234680176</v>
      </c>
      <c r="I1466">
        <v>40.490369329270003</v>
      </c>
      <c r="J1466">
        <v>100</v>
      </c>
      <c r="K1466" t="s">
        <v>27</v>
      </c>
      <c r="L1466" t="s">
        <v>27</v>
      </c>
      <c r="M1466" t="s">
        <v>27</v>
      </c>
      <c r="N1466" t="s">
        <v>27</v>
      </c>
      <c r="O1466" t="s">
        <v>27</v>
      </c>
      <c r="P1466" t="s">
        <v>27</v>
      </c>
      <c r="Q1466" t="s">
        <v>27</v>
      </c>
      <c r="R1466" t="s">
        <v>6584</v>
      </c>
      <c r="T1466" t="s">
        <v>6243</v>
      </c>
      <c r="U1466" t="s">
        <v>6585</v>
      </c>
    </row>
    <row r="1467" spans="1:21" x14ac:dyDescent="0.25">
      <c r="A1467" t="s">
        <v>6586</v>
      </c>
      <c r="B1467" t="s">
        <v>22</v>
      </c>
      <c r="C1467" t="s">
        <v>6587</v>
      </c>
      <c r="D1467">
        <f t="shared" si="42"/>
        <v>-901120050</v>
      </c>
      <c r="E1467" t="s">
        <v>6242</v>
      </c>
      <c r="F1467" t="s">
        <v>6219</v>
      </c>
      <c r="G1467" t="s">
        <v>6220</v>
      </c>
      <c r="H1467">
        <v>-3.6926078796386701</v>
      </c>
      <c r="I1467">
        <v>40.240291663863403</v>
      </c>
      <c r="J1467">
        <v>100</v>
      </c>
      <c r="K1467" t="s">
        <v>27</v>
      </c>
      <c r="L1467" t="s">
        <v>27</v>
      </c>
      <c r="M1467" t="s">
        <v>27</v>
      </c>
      <c r="N1467" t="s">
        <v>27</v>
      </c>
      <c r="O1467" t="s">
        <v>27</v>
      </c>
      <c r="P1467" t="s">
        <v>27</v>
      </c>
      <c r="Q1467" t="s">
        <v>6588</v>
      </c>
      <c r="R1467" t="s">
        <v>6589</v>
      </c>
      <c r="T1467" t="s">
        <v>6243</v>
      </c>
      <c r="U1467" t="s">
        <v>6590</v>
      </c>
    </row>
    <row r="1468" spans="1:21" x14ac:dyDescent="0.25">
      <c r="A1468" t="s">
        <v>6591</v>
      </c>
      <c r="B1468" t="s">
        <v>22</v>
      </c>
      <c r="C1468" t="s">
        <v>6592</v>
      </c>
      <c r="D1468">
        <f t="shared" si="42"/>
        <v>-901120050</v>
      </c>
      <c r="E1468" t="s">
        <v>6521</v>
      </c>
      <c r="F1468" t="s">
        <v>6219</v>
      </c>
      <c r="G1468" t="s">
        <v>6220</v>
      </c>
      <c r="H1468">
        <v>-4.7491407394409197</v>
      </c>
      <c r="I1468">
        <v>41.622981701997901</v>
      </c>
      <c r="J1468">
        <v>100</v>
      </c>
      <c r="K1468" t="s">
        <v>2137</v>
      </c>
      <c r="L1468" t="s">
        <v>2137</v>
      </c>
      <c r="M1468" t="s">
        <v>2137</v>
      </c>
      <c r="N1468" t="s">
        <v>2137</v>
      </c>
      <c r="O1468" t="s">
        <v>2137</v>
      </c>
      <c r="P1468" t="s">
        <v>2137</v>
      </c>
      <c r="R1468" t="s">
        <v>6592</v>
      </c>
      <c r="S1468" t="s">
        <v>6593</v>
      </c>
      <c r="T1468" t="s">
        <v>6319</v>
      </c>
      <c r="U1468" t="s">
        <v>6594</v>
      </c>
    </row>
    <row r="1469" spans="1:21" x14ac:dyDescent="0.25">
      <c r="A1469" t="s">
        <v>6595</v>
      </c>
      <c r="B1469" t="s">
        <v>22</v>
      </c>
      <c r="C1469" t="s">
        <v>6596</v>
      </c>
      <c r="D1469">
        <f t="shared" si="42"/>
        <v>-901120050</v>
      </c>
      <c r="E1469" t="s">
        <v>6597</v>
      </c>
      <c r="F1469" t="s">
        <v>6219</v>
      </c>
      <c r="G1469" t="s">
        <v>6220</v>
      </c>
      <c r="H1469">
        <v>-8.5257554054260307</v>
      </c>
      <c r="I1469">
        <v>42.888353994044003</v>
      </c>
      <c r="J1469">
        <v>100</v>
      </c>
      <c r="K1469" t="s">
        <v>27</v>
      </c>
      <c r="L1469" t="s">
        <v>27</v>
      </c>
      <c r="M1469" t="s">
        <v>27</v>
      </c>
      <c r="N1469" t="s">
        <v>27</v>
      </c>
      <c r="O1469" t="s">
        <v>27</v>
      </c>
      <c r="P1469" t="s">
        <v>27</v>
      </c>
      <c r="R1469" t="s">
        <v>6596</v>
      </c>
      <c r="S1469" t="s">
        <v>6598</v>
      </c>
      <c r="T1469" t="s">
        <v>6371</v>
      </c>
      <c r="U1469" t="s">
        <v>6599</v>
      </c>
    </row>
    <row r="1470" spans="1:21" x14ac:dyDescent="0.25">
      <c r="A1470" t="s">
        <v>6600</v>
      </c>
      <c r="B1470" t="s">
        <v>22</v>
      </c>
      <c r="C1470" t="s">
        <v>6601</v>
      </c>
      <c r="D1470">
        <f t="shared" si="42"/>
        <v>-901120050</v>
      </c>
      <c r="E1470" t="s">
        <v>6602</v>
      </c>
      <c r="F1470" t="s">
        <v>6219</v>
      </c>
      <c r="G1470" t="s">
        <v>6220</v>
      </c>
      <c r="H1470">
        <v>-4.6322615000000003</v>
      </c>
      <c r="I1470">
        <v>36.526631500000001</v>
      </c>
      <c r="J1470">
        <v>100</v>
      </c>
      <c r="K1470" t="s">
        <v>27</v>
      </c>
      <c r="L1470" t="s">
        <v>27</v>
      </c>
      <c r="M1470" t="s">
        <v>27</v>
      </c>
      <c r="N1470" t="s">
        <v>27</v>
      </c>
      <c r="O1470" t="s">
        <v>27</v>
      </c>
      <c r="P1470" t="s">
        <v>27</v>
      </c>
      <c r="R1470" t="s">
        <v>6603</v>
      </c>
      <c r="T1470" t="s">
        <v>6296</v>
      </c>
      <c r="U1470" t="s">
        <v>6604</v>
      </c>
    </row>
    <row r="1471" spans="1:21" x14ac:dyDescent="0.25">
      <c r="A1471" t="s">
        <v>6605</v>
      </c>
      <c r="B1471" t="s">
        <v>22</v>
      </c>
      <c r="C1471" t="s">
        <v>6606</v>
      </c>
      <c r="D1471">
        <f t="shared" si="42"/>
        <v>-901120050</v>
      </c>
      <c r="E1471" t="s">
        <v>6607</v>
      </c>
      <c r="F1471" t="s">
        <v>6219</v>
      </c>
      <c r="G1471" t="s">
        <v>6220</v>
      </c>
      <c r="H1471">
        <v>-5.4599046707153303</v>
      </c>
      <c r="I1471">
        <v>36.137424157371498</v>
      </c>
      <c r="J1471">
        <v>100</v>
      </c>
      <c r="K1471" t="s">
        <v>27</v>
      </c>
      <c r="L1471" t="s">
        <v>27</v>
      </c>
      <c r="M1471" t="s">
        <v>27</v>
      </c>
      <c r="N1471" t="s">
        <v>27</v>
      </c>
      <c r="O1471" t="s">
        <v>27</v>
      </c>
      <c r="P1471" t="s">
        <v>27</v>
      </c>
      <c r="R1471" t="s">
        <v>6608</v>
      </c>
      <c r="T1471" t="s">
        <v>6296</v>
      </c>
      <c r="U1471" t="s">
        <v>6609</v>
      </c>
    </row>
    <row r="1472" spans="1:21" x14ac:dyDescent="0.25">
      <c r="A1472" t="s">
        <v>6610</v>
      </c>
      <c r="B1472" t="s">
        <v>22</v>
      </c>
      <c r="C1472" t="s">
        <v>6611</v>
      </c>
      <c r="D1472">
        <f t="shared" si="42"/>
        <v>-901120050</v>
      </c>
      <c r="E1472" t="s">
        <v>6242</v>
      </c>
      <c r="F1472" t="s">
        <v>6219</v>
      </c>
      <c r="G1472" t="s">
        <v>6220</v>
      </c>
      <c r="H1472">
        <v>-3.7926006317138699</v>
      </c>
      <c r="I1472">
        <v>40.438912495646498</v>
      </c>
      <c r="J1472">
        <v>100</v>
      </c>
      <c r="K1472" t="s">
        <v>536</v>
      </c>
      <c r="L1472" t="s">
        <v>536</v>
      </c>
      <c r="M1472" t="s">
        <v>536</v>
      </c>
      <c r="N1472" t="s">
        <v>536</v>
      </c>
      <c r="O1472" t="s">
        <v>536</v>
      </c>
      <c r="P1472" t="s">
        <v>536</v>
      </c>
      <c r="Q1472" t="s">
        <v>6612</v>
      </c>
      <c r="R1472" t="s">
        <v>6613</v>
      </c>
      <c r="T1472" t="s">
        <v>6243</v>
      </c>
      <c r="U1472" t="s">
        <v>6614</v>
      </c>
    </row>
    <row r="1473" spans="1:21" x14ac:dyDescent="0.25">
      <c r="A1473" t="s">
        <v>6615</v>
      </c>
      <c r="B1473" t="s">
        <v>38</v>
      </c>
      <c r="C1473" t="s">
        <v>6616</v>
      </c>
      <c r="D1473">
        <f t="shared" si="42"/>
        <v>-901120050</v>
      </c>
      <c r="E1473" t="s">
        <v>6617</v>
      </c>
      <c r="F1473" t="s">
        <v>6219</v>
      </c>
      <c r="G1473" t="s">
        <v>6220</v>
      </c>
      <c r="H1473">
        <v>-5.8591246604919398</v>
      </c>
      <c r="I1473">
        <v>37.354279091952598</v>
      </c>
      <c r="J1473">
        <v>100</v>
      </c>
      <c r="K1473" t="s">
        <v>27</v>
      </c>
      <c r="L1473" t="s">
        <v>27</v>
      </c>
      <c r="M1473" t="s">
        <v>27</v>
      </c>
      <c r="N1473" t="s">
        <v>27</v>
      </c>
      <c r="O1473" t="s">
        <v>27</v>
      </c>
      <c r="P1473" t="s">
        <v>27</v>
      </c>
      <c r="R1473" t="s">
        <v>6618</v>
      </c>
      <c r="T1473" t="s">
        <v>6296</v>
      </c>
      <c r="U1473" t="s">
        <v>6619</v>
      </c>
    </row>
    <row r="1474" spans="1:21" x14ac:dyDescent="0.25">
      <c r="A1474" t="s">
        <v>6620</v>
      </c>
      <c r="B1474" t="s">
        <v>22</v>
      </c>
      <c r="C1474" t="s">
        <v>6621</v>
      </c>
      <c r="D1474">
        <f t="shared" si="42"/>
        <v>-901120050</v>
      </c>
      <c r="E1474" t="s">
        <v>6622</v>
      </c>
      <c r="F1474" t="s">
        <v>6219</v>
      </c>
      <c r="G1474" t="s">
        <v>6220</v>
      </c>
      <c r="H1474">
        <v>1.98672294616699</v>
      </c>
      <c r="I1474">
        <v>41.282837543010899</v>
      </c>
      <c r="J1474">
        <v>100</v>
      </c>
      <c r="K1474" t="s">
        <v>27</v>
      </c>
      <c r="L1474" t="s">
        <v>27</v>
      </c>
      <c r="M1474" t="s">
        <v>27</v>
      </c>
      <c r="N1474" t="s">
        <v>27</v>
      </c>
      <c r="O1474" t="s">
        <v>27</v>
      </c>
      <c r="P1474" t="s">
        <v>27</v>
      </c>
      <c r="Q1474" t="s">
        <v>27</v>
      </c>
      <c r="R1474" t="s">
        <v>6623</v>
      </c>
      <c r="T1474" t="s">
        <v>6222</v>
      </c>
      <c r="U1474" t="s">
        <v>6624</v>
      </c>
    </row>
    <row r="1475" spans="1:21" x14ac:dyDescent="0.25">
      <c r="A1475" t="s">
        <v>6625</v>
      </c>
      <c r="B1475" t="s">
        <v>22</v>
      </c>
      <c r="C1475" t="s">
        <v>6626</v>
      </c>
      <c r="D1475">
        <f t="shared" si="42"/>
        <v>-901120050</v>
      </c>
      <c r="E1475" t="s">
        <v>6627</v>
      </c>
      <c r="F1475" t="s">
        <v>6219</v>
      </c>
      <c r="G1475" t="s">
        <v>6220</v>
      </c>
      <c r="H1475">
        <v>2.24232673645E-2</v>
      </c>
      <c r="I1475">
        <v>38.817993521906203</v>
      </c>
      <c r="J1475">
        <v>100</v>
      </c>
      <c r="K1475" t="s">
        <v>27</v>
      </c>
      <c r="L1475" t="s">
        <v>27</v>
      </c>
      <c r="M1475" t="s">
        <v>27</v>
      </c>
      <c r="N1475" t="s">
        <v>27</v>
      </c>
      <c r="O1475" t="s">
        <v>27</v>
      </c>
      <c r="P1475" t="s">
        <v>27</v>
      </c>
      <c r="Q1475" t="s">
        <v>27</v>
      </c>
      <c r="R1475" t="s">
        <v>6628</v>
      </c>
      <c r="T1475" t="s">
        <v>6232</v>
      </c>
      <c r="U1475" t="s">
        <v>6629</v>
      </c>
    </row>
    <row r="1476" spans="1:21" x14ac:dyDescent="0.25">
      <c r="A1476" t="s">
        <v>6630</v>
      </c>
      <c r="B1476" t="s">
        <v>22</v>
      </c>
      <c r="C1476" t="s">
        <v>6631</v>
      </c>
      <c r="D1476">
        <f t="shared" si="42"/>
        <v>-901120050</v>
      </c>
      <c r="E1476" t="s">
        <v>6632</v>
      </c>
      <c r="F1476" t="s">
        <v>6219</v>
      </c>
      <c r="G1476" t="s">
        <v>6220</v>
      </c>
      <c r="H1476">
        <v>-0.73531150817871005</v>
      </c>
      <c r="I1476">
        <v>37.929406416354396</v>
      </c>
      <c r="J1476">
        <v>100</v>
      </c>
      <c r="K1476" t="s">
        <v>27</v>
      </c>
      <c r="L1476" t="s">
        <v>27</v>
      </c>
      <c r="M1476" t="s">
        <v>27</v>
      </c>
      <c r="N1476" t="s">
        <v>27</v>
      </c>
      <c r="O1476" t="s">
        <v>27</v>
      </c>
      <c r="P1476" t="s">
        <v>27</v>
      </c>
      <c r="Q1476" t="s">
        <v>27</v>
      </c>
      <c r="R1476" t="s">
        <v>6633</v>
      </c>
      <c r="T1476" t="s">
        <v>6232</v>
      </c>
      <c r="U1476" t="s">
        <v>6634</v>
      </c>
    </row>
    <row r="1477" spans="1:21" x14ac:dyDescent="0.25">
      <c r="A1477" t="s">
        <v>6635</v>
      </c>
      <c r="B1477" t="s">
        <v>22</v>
      </c>
      <c r="C1477" t="s">
        <v>6636</v>
      </c>
      <c r="D1477">
        <f t="shared" si="42"/>
        <v>-901120050</v>
      </c>
      <c r="E1477" t="s">
        <v>6637</v>
      </c>
      <c r="F1477" t="s">
        <v>6219</v>
      </c>
      <c r="G1477" t="s">
        <v>6220</v>
      </c>
      <c r="H1477">
        <v>-6.9200778007507298</v>
      </c>
      <c r="I1477">
        <v>37.272259924548699</v>
      </c>
      <c r="J1477">
        <v>100</v>
      </c>
      <c r="K1477" t="s">
        <v>27</v>
      </c>
      <c r="L1477" t="s">
        <v>27</v>
      </c>
      <c r="M1477" t="s">
        <v>27</v>
      </c>
      <c r="N1477" t="s">
        <v>27</v>
      </c>
      <c r="O1477" t="s">
        <v>27</v>
      </c>
      <c r="P1477" t="s">
        <v>27</v>
      </c>
      <c r="R1477" t="s">
        <v>6638</v>
      </c>
      <c r="T1477" t="s">
        <v>6296</v>
      </c>
      <c r="U1477" t="s">
        <v>6639</v>
      </c>
    </row>
    <row r="1478" spans="1:21" x14ac:dyDescent="0.25">
      <c r="A1478" t="s">
        <v>6640</v>
      </c>
      <c r="B1478" t="s">
        <v>22</v>
      </c>
      <c r="C1478" t="s">
        <v>6641</v>
      </c>
      <c r="D1478">
        <f t="shared" si="42"/>
        <v>-901120050</v>
      </c>
      <c r="E1478" t="s">
        <v>6242</v>
      </c>
      <c r="F1478" t="s">
        <v>6219</v>
      </c>
      <c r="G1478" t="s">
        <v>6220</v>
      </c>
      <c r="H1478">
        <v>-3.6563115000000002</v>
      </c>
      <c r="I1478">
        <v>40.519096400000002</v>
      </c>
      <c r="J1478">
        <v>100</v>
      </c>
      <c r="K1478" t="s">
        <v>536</v>
      </c>
      <c r="L1478" t="s">
        <v>536</v>
      </c>
      <c r="M1478" t="s">
        <v>536</v>
      </c>
      <c r="N1478" t="s">
        <v>536</v>
      </c>
      <c r="O1478" t="s">
        <v>536</v>
      </c>
      <c r="P1478" t="s">
        <v>536</v>
      </c>
      <c r="Q1478" t="s">
        <v>6588</v>
      </c>
      <c r="R1478" t="s">
        <v>6642</v>
      </c>
      <c r="T1478" t="s">
        <v>6243</v>
      </c>
      <c r="U1478" t="s">
        <v>6643</v>
      </c>
    </row>
    <row r="1479" spans="1:21" x14ac:dyDescent="0.25">
      <c r="A1479" t="s">
        <v>6644</v>
      </c>
      <c r="B1479" t="s">
        <v>22</v>
      </c>
      <c r="C1479" t="s">
        <v>6645</v>
      </c>
      <c r="D1479">
        <f t="shared" si="42"/>
        <v>-901120050</v>
      </c>
      <c r="E1479" t="s">
        <v>6583</v>
      </c>
      <c r="F1479" t="s">
        <v>6219</v>
      </c>
      <c r="G1479" t="s">
        <v>6220</v>
      </c>
      <c r="H1479">
        <v>-3.8695907592773402</v>
      </c>
      <c r="I1479">
        <v>40.452923368389698</v>
      </c>
      <c r="J1479">
        <v>100</v>
      </c>
      <c r="K1479" t="s">
        <v>27</v>
      </c>
      <c r="L1479" t="s">
        <v>27</v>
      </c>
      <c r="M1479" t="s">
        <v>27</v>
      </c>
      <c r="N1479" t="s">
        <v>27</v>
      </c>
      <c r="O1479" t="s">
        <v>27</v>
      </c>
      <c r="P1479" t="s">
        <v>27</v>
      </c>
      <c r="Q1479" t="s">
        <v>27</v>
      </c>
      <c r="R1479" t="s">
        <v>6646</v>
      </c>
      <c r="T1479" t="s">
        <v>6243</v>
      </c>
      <c r="U1479" t="s">
        <v>6647</v>
      </c>
    </row>
    <row r="1480" spans="1:21" x14ac:dyDescent="0.25">
      <c r="A1480" t="s">
        <v>6648</v>
      </c>
      <c r="B1480" t="s">
        <v>22</v>
      </c>
      <c r="C1480" t="s">
        <v>6649</v>
      </c>
      <c r="E1480" t="s">
        <v>6242</v>
      </c>
      <c r="F1480" t="s">
        <v>6219</v>
      </c>
      <c r="G1480" t="s">
        <v>6220</v>
      </c>
      <c r="H1480">
        <v>-3.6891961097717298</v>
      </c>
      <c r="I1480">
        <v>40.462270490455303</v>
      </c>
      <c r="J1480">
        <v>100</v>
      </c>
      <c r="K1480" t="s">
        <v>27</v>
      </c>
      <c r="L1480" t="s">
        <v>27</v>
      </c>
      <c r="M1480" t="s">
        <v>27</v>
      </c>
      <c r="N1480" t="s">
        <v>27</v>
      </c>
      <c r="O1480" t="s">
        <v>27</v>
      </c>
      <c r="P1480" t="s">
        <v>27</v>
      </c>
      <c r="Q1480" t="s">
        <v>1501</v>
      </c>
      <c r="R1480" t="s">
        <v>6650</v>
      </c>
      <c r="T1480" t="s">
        <v>6243</v>
      </c>
      <c r="U1480" t="s">
        <v>6651</v>
      </c>
    </row>
    <row r="1481" spans="1:21" x14ac:dyDescent="0.25">
      <c r="A1481" t="s">
        <v>6652</v>
      </c>
      <c r="B1481" t="s">
        <v>22</v>
      </c>
      <c r="C1481" t="s">
        <v>6653</v>
      </c>
      <c r="D1481">
        <f t="shared" ref="D1481:D1505" si="43">34-901120084</f>
        <v>-901120050</v>
      </c>
      <c r="E1481" t="s">
        <v>6654</v>
      </c>
      <c r="F1481" t="s">
        <v>6219</v>
      </c>
      <c r="G1481" t="s">
        <v>6220</v>
      </c>
      <c r="H1481">
        <v>-2.4981772901162498</v>
      </c>
      <c r="I1481">
        <v>41.772373652544303</v>
      </c>
      <c r="J1481">
        <v>100</v>
      </c>
      <c r="K1481" t="s">
        <v>27</v>
      </c>
      <c r="L1481" t="s">
        <v>27</v>
      </c>
      <c r="M1481" t="s">
        <v>27</v>
      </c>
      <c r="N1481" t="s">
        <v>27</v>
      </c>
      <c r="O1481" t="s">
        <v>27</v>
      </c>
      <c r="P1481" t="s">
        <v>27</v>
      </c>
      <c r="R1481" t="s">
        <v>6653</v>
      </c>
      <c r="S1481" t="s">
        <v>6655</v>
      </c>
      <c r="T1481" t="s">
        <v>6319</v>
      </c>
      <c r="U1481" t="s">
        <v>6656</v>
      </c>
    </row>
    <row r="1482" spans="1:21" x14ac:dyDescent="0.25">
      <c r="A1482" t="s">
        <v>6657</v>
      </c>
      <c r="B1482" t="s">
        <v>22</v>
      </c>
      <c r="C1482" t="s">
        <v>6658</v>
      </c>
      <c r="D1482">
        <f t="shared" si="43"/>
        <v>-901120050</v>
      </c>
      <c r="E1482" t="s">
        <v>6659</v>
      </c>
      <c r="F1482" t="s">
        <v>6219</v>
      </c>
      <c r="G1482" t="s">
        <v>6220</v>
      </c>
      <c r="H1482">
        <v>-3.7667870521545401</v>
      </c>
      <c r="I1482">
        <v>37.781162350224598</v>
      </c>
      <c r="J1482">
        <v>100</v>
      </c>
      <c r="K1482" t="s">
        <v>27</v>
      </c>
      <c r="L1482" t="s">
        <v>27</v>
      </c>
      <c r="M1482" t="s">
        <v>27</v>
      </c>
      <c r="N1482" t="s">
        <v>27</v>
      </c>
      <c r="O1482" t="s">
        <v>27</v>
      </c>
      <c r="P1482" t="s">
        <v>27</v>
      </c>
      <c r="R1482" t="s">
        <v>6660</v>
      </c>
      <c r="T1482" t="s">
        <v>6296</v>
      </c>
      <c r="U1482" t="s">
        <v>6661</v>
      </c>
    </row>
    <row r="1483" spans="1:21" x14ac:dyDescent="0.25">
      <c r="A1483" t="s">
        <v>6662</v>
      </c>
      <c r="B1483" t="s">
        <v>22</v>
      </c>
      <c r="C1483" t="s">
        <v>6663</v>
      </c>
      <c r="D1483">
        <f t="shared" si="43"/>
        <v>-901120050</v>
      </c>
      <c r="E1483" t="s">
        <v>6664</v>
      </c>
      <c r="F1483" t="s">
        <v>6219</v>
      </c>
      <c r="G1483" t="s">
        <v>6220</v>
      </c>
      <c r="H1483">
        <v>-3.8319325447082502</v>
      </c>
      <c r="I1483">
        <v>40.302996238374803</v>
      </c>
      <c r="J1483">
        <v>100</v>
      </c>
      <c r="K1483" t="s">
        <v>27</v>
      </c>
      <c r="L1483" t="s">
        <v>27</v>
      </c>
      <c r="M1483" t="s">
        <v>27</v>
      </c>
      <c r="N1483" t="s">
        <v>27</v>
      </c>
      <c r="O1483" t="s">
        <v>27</v>
      </c>
      <c r="P1483" t="s">
        <v>27</v>
      </c>
      <c r="Q1483" t="s">
        <v>2229</v>
      </c>
      <c r="R1483" t="s">
        <v>6665</v>
      </c>
      <c r="T1483" t="s">
        <v>6243</v>
      </c>
      <c r="U1483" t="s">
        <v>6666</v>
      </c>
    </row>
    <row r="1484" spans="1:21" x14ac:dyDescent="0.25">
      <c r="A1484" t="s">
        <v>6667</v>
      </c>
      <c r="B1484" t="s">
        <v>22</v>
      </c>
      <c r="C1484" t="s">
        <v>6668</v>
      </c>
      <c r="D1484">
        <f t="shared" si="43"/>
        <v>-901120050</v>
      </c>
      <c r="E1484" t="s">
        <v>6294</v>
      </c>
      <c r="F1484" t="s">
        <v>6219</v>
      </c>
      <c r="G1484" t="s">
        <v>6220</v>
      </c>
      <c r="H1484">
        <v>-4.9525594711303702</v>
      </c>
      <c r="I1484">
        <v>36.489523834614801</v>
      </c>
      <c r="J1484">
        <v>100</v>
      </c>
      <c r="K1484" t="s">
        <v>27</v>
      </c>
      <c r="L1484" t="s">
        <v>27</v>
      </c>
      <c r="M1484" t="s">
        <v>27</v>
      </c>
      <c r="N1484" t="s">
        <v>27</v>
      </c>
      <c r="O1484" t="s">
        <v>27</v>
      </c>
      <c r="P1484" t="s">
        <v>27</v>
      </c>
      <c r="R1484" t="s">
        <v>6669</v>
      </c>
      <c r="T1484" t="s">
        <v>6296</v>
      </c>
      <c r="U1484" t="s">
        <v>6670</v>
      </c>
    </row>
    <row r="1485" spans="1:21" x14ac:dyDescent="0.25">
      <c r="A1485" t="s">
        <v>6671</v>
      </c>
      <c r="B1485" t="s">
        <v>22</v>
      </c>
      <c r="C1485" t="s">
        <v>6672</v>
      </c>
      <c r="D1485">
        <f t="shared" si="43"/>
        <v>-901120050</v>
      </c>
      <c r="E1485" t="s">
        <v>6673</v>
      </c>
      <c r="F1485" t="s">
        <v>6219</v>
      </c>
      <c r="G1485" t="s">
        <v>6220</v>
      </c>
      <c r="H1485">
        <v>-3.8317823410034202</v>
      </c>
      <c r="I1485">
        <v>40.358677554640501</v>
      </c>
      <c r="J1485">
        <v>100</v>
      </c>
      <c r="K1485" t="s">
        <v>27</v>
      </c>
      <c r="L1485" t="s">
        <v>27</v>
      </c>
      <c r="M1485" t="s">
        <v>27</v>
      </c>
      <c r="N1485" t="s">
        <v>27</v>
      </c>
      <c r="O1485" t="s">
        <v>27</v>
      </c>
      <c r="P1485" t="s">
        <v>27</v>
      </c>
      <c r="Q1485" t="s">
        <v>1501</v>
      </c>
      <c r="R1485" t="s">
        <v>6674</v>
      </c>
      <c r="S1485" t="s">
        <v>6674</v>
      </c>
      <c r="T1485" t="s">
        <v>6243</v>
      </c>
      <c r="U1485" t="s">
        <v>6675</v>
      </c>
    </row>
    <row r="1486" spans="1:21" x14ac:dyDescent="0.25">
      <c r="A1486" t="s">
        <v>6676</v>
      </c>
      <c r="B1486" t="s">
        <v>22</v>
      </c>
      <c r="C1486" t="s">
        <v>6677</v>
      </c>
      <c r="D1486">
        <f t="shared" si="43"/>
        <v>-901120050</v>
      </c>
      <c r="E1486" t="s">
        <v>6272</v>
      </c>
      <c r="F1486" t="s">
        <v>6219</v>
      </c>
      <c r="G1486" t="s">
        <v>6220</v>
      </c>
      <c r="H1486">
        <v>-0.46947240829468001</v>
      </c>
      <c r="I1486">
        <v>38.366896494820303</v>
      </c>
      <c r="J1486">
        <v>100</v>
      </c>
      <c r="K1486" t="s">
        <v>27</v>
      </c>
      <c r="L1486" t="s">
        <v>27</v>
      </c>
      <c r="M1486" t="s">
        <v>27</v>
      </c>
      <c r="N1486" t="s">
        <v>27</v>
      </c>
      <c r="O1486" t="s">
        <v>27</v>
      </c>
      <c r="P1486" t="s">
        <v>27</v>
      </c>
      <c r="Q1486" t="s">
        <v>27</v>
      </c>
      <c r="R1486" t="s">
        <v>6678</v>
      </c>
      <c r="T1486" t="s">
        <v>6232</v>
      </c>
      <c r="U1486" t="s">
        <v>6679</v>
      </c>
    </row>
    <row r="1487" spans="1:21" x14ac:dyDescent="0.25">
      <c r="A1487" t="s">
        <v>6680</v>
      </c>
      <c r="B1487" t="s">
        <v>22</v>
      </c>
      <c r="C1487" t="s">
        <v>6681</v>
      </c>
      <c r="D1487">
        <f t="shared" si="43"/>
        <v>-901120050</v>
      </c>
      <c r="E1487" t="s">
        <v>6344</v>
      </c>
      <c r="F1487" t="s">
        <v>6219</v>
      </c>
      <c r="G1487" t="s">
        <v>6220</v>
      </c>
      <c r="H1487">
        <v>2.62120485305786</v>
      </c>
      <c r="I1487">
        <v>39.5509537045399</v>
      </c>
      <c r="J1487">
        <v>100</v>
      </c>
      <c r="K1487" t="s">
        <v>27</v>
      </c>
      <c r="L1487" t="s">
        <v>27</v>
      </c>
      <c r="M1487" t="s">
        <v>27</v>
      </c>
      <c r="N1487" t="s">
        <v>27</v>
      </c>
      <c r="O1487" t="s">
        <v>27</v>
      </c>
      <c r="P1487" t="s">
        <v>27</v>
      </c>
      <c r="R1487" t="s">
        <v>6681</v>
      </c>
      <c r="S1487" t="s">
        <v>6682</v>
      </c>
      <c r="T1487" t="s">
        <v>6345</v>
      </c>
      <c r="U1487" t="s">
        <v>6683</v>
      </c>
    </row>
    <row r="1488" spans="1:21" x14ac:dyDescent="0.25">
      <c r="A1488" t="s">
        <v>6684</v>
      </c>
      <c r="B1488" t="s">
        <v>22</v>
      </c>
      <c r="C1488" t="s">
        <v>6685</v>
      </c>
      <c r="D1488">
        <f t="shared" si="43"/>
        <v>-901120050</v>
      </c>
      <c r="E1488" t="s">
        <v>6334</v>
      </c>
      <c r="F1488" t="s">
        <v>6219</v>
      </c>
      <c r="G1488" t="s">
        <v>6220</v>
      </c>
      <c r="H1488">
        <v>-1.14858627319336</v>
      </c>
      <c r="I1488">
        <v>38.0322730349842</v>
      </c>
      <c r="J1488">
        <v>100</v>
      </c>
      <c r="K1488" t="s">
        <v>27</v>
      </c>
      <c r="L1488" t="s">
        <v>27</v>
      </c>
      <c r="M1488" t="s">
        <v>27</v>
      </c>
      <c r="N1488" t="s">
        <v>27</v>
      </c>
      <c r="O1488" t="s">
        <v>27</v>
      </c>
      <c r="P1488" t="s">
        <v>27</v>
      </c>
      <c r="R1488" t="s">
        <v>6686</v>
      </c>
      <c r="T1488" t="s">
        <v>6334</v>
      </c>
      <c r="U1488" t="s">
        <v>6687</v>
      </c>
    </row>
    <row r="1489" spans="1:21" x14ac:dyDescent="0.25">
      <c r="A1489" t="s">
        <v>6688</v>
      </c>
      <c r="B1489" t="s">
        <v>22</v>
      </c>
      <c r="C1489" t="s">
        <v>6689</v>
      </c>
      <c r="D1489">
        <f t="shared" si="43"/>
        <v>-901120050</v>
      </c>
      <c r="E1489" t="s">
        <v>6690</v>
      </c>
      <c r="F1489" t="s">
        <v>6219</v>
      </c>
      <c r="G1489" t="s">
        <v>6220</v>
      </c>
      <c r="H1489">
        <v>-4.0997672080993697</v>
      </c>
      <c r="I1489">
        <v>36.755063414500299</v>
      </c>
      <c r="J1489">
        <v>100</v>
      </c>
      <c r="K1489" t="s">
        <v>27</v>
      </c>
      <c r="L1489" t="s">
        <v>27</v>
      </c>
      <c r="M1489" t="s">
        <v>27</v>
      </c>
      <c r="N1489" t="s">
        <v>27</v>
      </c>
      <c r="O1489" t="s">
        <v>27</v>
      </c>
      <c r="P1489" t="s">
        <v>27</v>
      </c>
      <c r="R1489" t="s">
        <v>6691</v>
      </c>
      <c r="T1489" t="s">
        <v>6296</v>
      </c>
      <c r="U1489" t="s">
        <v>6692</v>
      </c>
    </row>
    <row r="1490" spans="1:21" x14ac:dyDescent="0.25">
      <c r="A1490" t="s">
        <v>6693</v>
      </c>
      <c r="B1490" t="s">
        <v>22</v>
      </c>
      <c r="C1490" t="s">
        <v>6694</v>
      </c>
      <c r="D1490">
        <f t="shared" si="43"/>
        <v>-901120050</v>
      </c>
      <c r="E1490" t="s">
        <v>6695</v>
      </c>
      <c r="F1490" t="s">
        <v>6219</v>
      </c>
      <c r="G1490" t="s">
        <v>6220</v>
      </c>
      <c r="H1490">
        <v>-2.12214231491089</v>
      </c>
      <c r="I1490">
        <v>40.053898781018297</v>
      </c>
      <c r="J1490">
        <v>100</v>
      </c>
      <c r="K1490" t="s">
        <v>27</v>
      </c>
      <c r="L1490" t="s">
        <v>27</v>
      </c>
      <c r="M1490" t="s">
        <v>27</v>
      </c>
      <c r="N1490" t="s">
        <v>27</v>
      </c>
      <c r="O1490" t="s">
        <v>27</v>
      </c>
      <c r="P1490" t="s">
        <v>27</v>
      </c>
      <c r="R1490" t="s">
        <v>6696</v>
      </c>
      <c r="S1490" t="s">
        <v>6696</v>
      </c>
      <c r="T1490" t="s">
        <v>6504</v>
      </c>
      <c r="U1490" t="s">
        <v>6697</v>
      </c>
    </row>
    <row r="1491" spans="1:21" x14ac:dyDescent="0.25">
      <c r="A1491" t="s">
        <v>6698</v>
      </c>
      <c r="B1491" t="s">
        <v>38</v>
      </c>
      <c r="C1491" t="s">
        <v>6699</v>
      </c>
      <c r="D1491">
        <f t="shared" si="43"/>
        <v>-901120050</v>
      </c>
      <c r="E1491" t="s">
        <v>6226</v>
      </c>
      <c r="F1491" t="s">
        <v>6219</v>
      </c>
      <c r="G1491" t="s">
        <v>6220</v>
      </c>
      <c r="H1491">
        <v>2.2294950485229501</v>
      </c>
      <c r="I1491">
        <v>41.443377818969402</v>
      </c>
      <c r="J1491">
        <v>100</v>
      </c>
      <c r="K1491" t="s">
        <v>312</v>
      </c>
      <c r="L1491" t="s">
        <v>312</v>
      </c>
      <c r="M1491" t="s">
        <v>312</v>
      </c>
      <c r="N1491" t="s">
        <v>312</v>
      </c>
      <c r="O1491" t="s">
        <v>312</v>
      </c>
      <c r="P1491" t="s">
        <v>312</v>
      </c>
      <c r="R1491" t="s">
        <v>6700</v>
      </c>
      <c r="T1491" t="s">
        <v>6222</v>
      </c>
      <c r="U1491" t="s">
        <v>6701</v>
      </c>
    </row>
    <row r="1492" spans="1:21" x14ac:dyDescent="0.25">
      <c r="A1492" t="s">
        <v>6702</v>
      </c>
      <c r="B1492" t="s">
        <v>22</v>
      </c>
      <c r="C1492" t="s">
        <v>6703</v>
      </c>
      <c r="D1492">
        <f t="shared" si="43"/>
        <v>-901120050</v>
      </c>
      <c r="E1492" t="s">
        <v>6704</v>
      </c>
      <c r="F1492" t="s">
        <v>6219</v>
      </c>
      <c r="G1492" t="s">
        <v>6220</v>
      </c>
      <c r="H1492">
        <v>-3.8385623793457202</v>
      </c>
      <c r="I1492">
        <v>43.428524396734801</v>
      </c>
      <c r="J1492">
        <v>100</v>
      </c>
      <c r="K1492" t="s">
        <v>27</v>
      </c>
      <c r="L1492" t="s">
        <v>27</v>
      </c>
      <c r="M1492" t="s">
        <v>27</v>
      </c>
      <c r="N1492" t="s">
        <v>27</v>
      </c>
      <c r="O1492" t="s">
        <v>27</v>
      </c>
      <c r="P1492" t="s">
        <v>27</v>
      </c>
      <c r="R1492" t="s">
        <v>6703</v>
      </c>
      <c r="S1492" t="s">
        <v>6705</v>
      </c>
      <c r="T1492" t="s">
        <v>6706</v>
      </c>
      <c r="U1492" t="s">
        <v>6707</v>
      </c>
    </row>
    <row r="1493" spans="1:21" x14ac:dyDescent="0.25">
      <c r="A1493" t="s">
        <v>6708</v>
      </c>
      <c r="B1493" t="s">
        <v>22</v>
      </c>
      <c r="C1493" t="s">
        <v>6709</v>
      </c>
      <c r="D1493">
        <f t="shared" si="43"/>
        <v>-901120050</v>
      </c>
      <c r="E1493" t="s">
        <v>6252</v>
      </c>
      <c r="F1493" t="s">
        <v>6219</v>
      </c>
      <c r="G1493" t="s">
        <v>6220</v>
      </c>
      <c r="H1493">
        <v>-2.9403662681579599</v>
      </c>
      <c r="I1493">
        <v>43.267628182863</v>
      </c>
      <c r="J1493">
        <v>100</v>
      </c>
      <c r="K1493" t="s">
        <v>27</v>
      </c>
      <c r="L1493" t="s">
        <v>27</v>
      </c>
      <c r="M1493" t="s">
        <v>27</v>
      </c>
      <c r="N1493" t="s">
        <v>27</v>
      </c>
      <c r="O1493" t="s">
        <v>27</v>
      </c>
      <c r="P1493" t="s">
        <v>27</v>
      </c>
      <c r="R1493" t="s">
        <v>6709</v>
      </c>
      <c r="S1493" t="s">
        <v>6710</v>
      </c>
      <c r="T1493" t="s">
        <v>6254</v>
      </c>
      <c r="U1493" t="s">
        <v>6711</v>
      </c>
    </row>
    <row r="1494" spans="1:21" x14ac:dyDescent="0.25">
      <c r="A1494" t="s">
        <v>6712</v>
      </c>
      <c r="B1494" t="s">
        <v>22</v>
      </c>
      <c r="C1494" t="s">
        <v>6713</v>
      </c>
      <c r="D1494">
        <f t="shared" si="43"/>
        <v>-901120050</v>
      </c>
      <c r="E1494" t="s">
        <v>6714</v>
      </c>
      <c r="F1494" t="s">
        <v>6219</v>
      </c>
      <c r="G1494" t="s">
        <v>6220</v>
      </c>
      <c r="H1494">
        <v>2.4348556995391801</v>
      </c>
      <c r="I1494">
        <v>41.555673633681501</v>
      </c>
      <c r="J1494">
        <v>100</v>
      </c>
      <c r="K1494" t="s">
        <v>312</v>
      </c>
      <c r="L1494" t="s">
        <v>312</v>
      </c>
      <c r="M1494" t="s">
        <v>312</v>
      </c>
      <c r="N1494" t="s">
        <v>312</v>
      </c>
      <c r="O1494" t="s">
        <v>312</v>
      </c>
      <c r="P1494" t="s">
        <v>312</v>
      </c>
      <c r="R1494" t="s">
        <v>6715</v>
      </c>
      <c r="T1494" t="s">
        <v>6222</v>
      </c>
      <c r="U1494" t="s">
        <v>6716</v>
      </c>
    </row>
    <row r="1495" spans="1:21" x14ac:dyDescent="0.25">
      <c r="A1495" t="s">
        <v>6717</v>
      </c>
      <c r="B1495" t="s">
        <v>38</v>
      </c>
      <c r="C1495" t="s">
        <v>6718</v>
      </c>
      <c r="D1495">
        <f t="shared" si="43"/>
        <v>-901120050</v>
      </c>
      <c r="E1495" t="s">
        <v>6719</v>
      </c>
      <c r="F1495" t="s">
        <v>6219</v>
      </c>
      <c r="G1495" t="s">
        <v>6220</v>
      </c>
      <c r="H1495">
        <v>-6.3894640144347896</v>
      </c>
      <c r="I1495">
        <v>39.467937499250802</v>
      </c>
      <c r="J1495">
        <v>100</v>
      </c>
      <c r="K1495" t="s">
        <v>27</v>
      </c>
      <c r="L1495" t="s">
        <v>27</v>
      </c>
      <c r="M1495" t="s">
        <v>27</v>
      </c>
      <c r="N1495" t="s">
        <v>27</v>
      </c>
      <c r="O1495" t="s">
        <v>27</v>
      </c>
      <c r="P1495" t="s">
        <v>27</v>
      </c>
      <c r="R1495" t="s">
        <v>6718</v>
      </c>
      <c r="S1495" t="s">
        <v>6720</v>
      </c>
      <c r="T1495" t="s">
        <v>6540</v>
      </c>
      <c r="U1495" t="s">
        <v>6721</v>
      </c>
    </row>
    <row r="1496" spans="1:21" x14ac:dyDescent="0.25">
      <c r="A1496" t="s">
        <v>6722</v>
      </c>
      <c r="B1496" t="s">
        <v>22</v>
      </c>
      <c r="C1496" t="s">
        <v>6289</v>
      </c>
      <c r="D1496">
        <f t="shared" si="43"/>
        <v>-901120050</v>
      </c>
      <c r="E1496" t="s">
        <v>6242</v>
      </c>
      <c r="F1496" t="s">
        <v>6219</v>
      </c>
      <c r="G1496" t="s">
        <v>6220</v>
      </c>
      <c r="H1496">
        <v>-3.61171609999997</v>
      </c>
      <c r="I1496">
        <v>40.541379200000002</v>
      </c>
      <c r="J1496">
        <v>100</v>
      </c>
      <c r="K1496" t="s">
        <v>27</v>
      </c>
      <c r="L1496" t="s">
        <v>27</v>
      </c>
      <c r="M1496" t="s">
        <v>27</v>
      </c>
      <c r="N1496" t="s">
        <v>27</v>
      </c>
      <c r="O1496" t="s">
        <v>27</v>
      </c>
      <c r="P1496" t="s">
        <v>27</v>
      </c>
      <c r="Q1496" t="s">
        <v>27</v>
      </c>
      <c r="R1496" t="s">
        <v>6290</v>
      </c>
      <c r="T1496" t="s">
        <v>6243</v>
      </c>
      <c r="U1496" t="s">
        <v>6291</v>
      </c>
    </row>
    <row r="1497" spans="1:21" x14ac:dyDescent="0.25">
      <c r="A1497" t="s">
        <v>6723</v>
      </c>
      <c r="B1497" t="s">
        <v>22</v>
      </c>
      <c r="C1497" t="s">
        <v>6724</v>
      </c>
      <c r="D1497">
        <f t="shared" si="43"/>
        <v>-901120050</v>
      </c>
      <c r="E1497" t="s">
        <v>6300</v>
      </c>
      <c r="F1497" t="s">
        <v>6219</v>
      </c>
      <c r="G1497" t="s">
        <v>6220</v>
      </c>
      <c r="H1497">
        <v>-5.97224461586916</v>
      </c>
      <c r="I1497">
        <v>37.3841854482977</v>
      </c>
      <c r="J1497">
        <v>100</v>
      </c>
      <c r="K1497" t="s">
        <v>27</v>
      </c>
      <c r="L1497" t="s">
        <v>27</v>
      </c>
      <c r="M1497" t="s">
        <v>27</v>
      </c>
      <c r="N1497" t="s">
        <v>27</v>
      </c>
      <c r="O1497" t="s">
        <v>27</v>
      </c>
      <c r="P1497" t="s">
        <v>27</v>
      </c>
      <c r="R1497" t="s">
        <v>6725</v>
      </c>
      <c r="T1497" t="s">
        <v>6296</v>
      </c>
      <c r="U1497" t="s">
        <v>6726</v>
      </c>
    </row>
    <row r="1498" spans="1:21" x14ac:dyDescent="0.25">
      <c r="A1498" t="s">
        <v>6727</v>
      </c>
      <c r="B1498" t="s">
        <v>22</v>
      </c>
      <c r="C1498" t="s">
        <v>6728</v>
      </c>
      <c r="D1498">
        <f t="shared" si="43"/>
        <v>-901120050</v>
      </c>
      <c r="E1498" t="s">
        <v>6729</v>
      </c>
      <c r="F1498" t="s">
        <v>6219</v>
      </c>
      <c r="G1498" t="s">
        <v>6220</v>
      </c>
      <c r="H1498">
        <v>-13.587332113461301</v>
      </c>
      <c r="I1498">
        <v>28.9565949339855</v>
      </c>
      <c r="J1498">
        <v>85</v>
      </c>
      <c r="K1498" t="s">
        <v>27</v>
      </c>
      <c r="L1498" t="s">
        <v>27</v>
      </c>
      <c r="M1498" t="s">
        <v>27</v>
      </c>
      <c r="N1498" t="s">
        <v>27</v>
      </c>
      <c r="O1498" t="s">
        <v>27</v>
      </c>
      <c r="P1498" t="s">
        <v>27</v>
      </c>
      <c r="Q1498" t="s">
        <v>27</v>
      </c>
      <c r="R1498" t="s">
        <v>6728</v>
      </c>
      <c r="S1498" t="s">
        <v>6730</v>
      </c>
      <c r="T1498" t="s">
        <v>6400</v>
      </c>
      <c r="U1498" t="s">
        <v>6731</v>
      </c>
    </row>
    <row r="1499" spans="1:21" x14ac:dyDescent="0.25">
      <c r="A1499" t="s">
        <v>6732</v>
      </c>
      <c r="B1499" t="s">
        <v>22</v>
      </c>
      <c r="C1499" t="s">
        <v>6733</v>
      </c>
      <c r="D1499">
        <f t="shared" si="43"/>
        <v>-901120050</v>
      </c>
      <c r="E1499" t="s">
        <v>6734</v>
      </c>
      <c r="F1499" t="s">
        <v>6219</v>
      </c>
      <c r="G1499" t="s">
        <v>6220</v>
      </c>
      <c r="H1499">
        <v>-16.720327420037801</v>
      </c>
      <c r="I1499">
        <v>28.0582022625841</v>
      </c>
      <c r="J1499">
        <v>85</v>
      </c>
      <c r="K1499" t="s">
        <v>2068</v>
      </c>
      <c r="L1499" t="s">
        <v>2068</v>
      </c>
      <c r="M1499" t="s">
        <v>2068</v>
      </c>
      <c r="N1499" t="s">
        <v>2068</v>
      </c>
      <c r="O1499" t="s">
        <v>2068</v>
      </c>
      <c r="P1499" t="s">
        <v>2068</v>
      </c>
      <c r="Q1499" t="s">
        <v>2068</v>
      </c>
      <c r="R1499" t="s">
        <v>6733</v>
      </c>
      <c r="S1499" t="s">
        <v>6735</v>
      </c>
      <c r="T1499" t="s">
        <v>6400</v>
      </c>
      <c r="U1499" t="s">
        <v>6736</v>
      </c>
    </row>
    <row r="1500" spans="1:21" x14ac:dyDescent="0.25">
      <c r="A1500" t="s">
        <v>6737</v>
      </c>
      <c r="B1500" t="s">
        <v>22</v>
      </c>
      <c r="C1500" t="s">
        <v>6738</v>
      </c>
      <c r="D1500">
        <f t="shared" si="43"/>
        <v>-901120050</v>
      </c>
      <c r="E1500" t="s">
        <v>6734</v>
      </c>
      <c r="F1500" t="s">
        <v>6219</v>
      </c>
      <c r="G1500" t="s">
        <v>6220</v>
      </c>
      <c r="H1500">
        <v>-16.722237152856401</v>
      </c>
      <c r="I1500">
        <v>28.068730027864</v>
      </c>
      <c r="J1500">
        <v>85</v>
      </c>
      <c r="K1500" t="s">
        <v>27</v>
      </c>
      <c r="L1500" t="s">
        <v>27</v>
      </c>
      <c r="M1500" t="s">
        <v>27</v>
      </c>
      <c r="N1500" t="s">
        <v>27</v>
      </c>
      <c r="O1500" t="s">
        <v>27</v>
      </c>
      <c r="P1500" t="s">
        <v>27</v>
      </c>
      <c r="Q1500" t="s">
        <v>27</v>
      </c>
      <c r="R1500" t="s">
        <v>6738</v>
      </c>
      <c r="S1500" t="s">
        <v>6739</v>
      </c>
      <c r="T1500" t="s">
        <v>6400</v>
      </c>
      <c r="U1500" t="s">
        <v>6740</v>
      </c>
    </row>
    <row r="1501" spans="1:21" x14ac:dyDescent="0.25">
      <c r="A1501" t="s">
        <v>6741</v>
      </c>
      <c r="B1501" t="s">
        <v>22</v>
      </c>
      <c r="C1501" t="s">
        <v>6742</v>
      </c>
      <c r="D1501">
        <f t="shared" si="43"/>
        <v>-901120050</v>
      </c>
      <c r="E1501" t="s">
        <v>6743</v>
      </c>
      <c r="F1501" t="s">
        <v>6219</v>
      </c>
      <c r="G1501" t="s">
        <v>6220</v>
      </c>
      <c r="H1501">
        <v>-0.24577750000003001</v>
      </c>
      <c r="I1501">
        <v>39.671323299999997</v>
      </c>
      <c r="J1501">
        <v>100</v>
      </c>
      <c r="K1501" t="s">
        <v>27</v>
      </c>
      <c r="L1501" t="s">
        <v>27</v>
      </c>
      <c r="M1501" t="s">
        <v>27</v>
      </c>
      <c r="N1501" t="s">
        <v>27</v>
      </c>
      <c r="O1501" t="s">
        <v>27</v>
      </c>
      <c r="P1501" t="s">
        <v>27</v>
      </c>
      <c r="Q1501" t="s">
        <v>27</v>
      </c>
      <c r="R1501" t="s">
        <v>6744</v>
      </c>
      <c r="T1501" t="s">
        <v>6232</v>
      </c>
      <c r="U1501" t="s">
        <v>6745</v>
      </c>
    </row>
    <row r="1502" spans="1:21" x14ac:dyDescent="0.25">
      <c r="A1502" t="s">
        <v>6746</v>
      </c>
      <c r="B1502" t="s">
        <v>22</v>
      </c>
      <c r="C1502" t="s">
        <v>6747</v>
      </c>
      <c r="D1502">
        <f t="shared" si="43"/>
        <v>-901120050</v>
      </c>
      <c r="E1502" t="s">
        <v>6433</v>
      </c>
      <c r="F1502" t="s">
        <v>6219</v>
      </c>
      <c r="G1502" t="s">
        <v>6220</v>
      </c>
      <c r="H1502">
        <v>-16.2586499999999</v>
      </c>
      <c r="I1502">
        <v>28.45692</v>
      </c>
      <c r="J1502">
        <v>85</v>
      </c>
      <c r="K1502" t="s">
        <v>27</v>
      </c>
      <c r="L1502" t="s">
        <v>27</v>
      </c>
      <c r="M1502" t="s">
        <v>27</v>
      </c>
      <c r="N1502" t="s">
        <v>27</v>
      </c>
      <c r="O1502" t="s">
        <v>27</v>
      </c>
      <c r="P1502" t="s">
        <v>27</v>
      </c>
      <c r="R1502" t="s">
        <v>6748</v>
      </c>
      <c r="T1502" t="s">
        <v>6400</v>
      </c>
      <c r="U1502" t="s">
        <v>6749</v>
      </c>
    </row>
    <row r="1503" spans="1:21" x14ac:dyDescent="0.25">
      <c r="A1503" t="s">
        <v>6750</v>
      </c>
      <c r="B1503" t="s">
        <v>32</v>
      </c>
      <c r="C1503" t="s">
        <v>6751</v>
      </c>
      <c r="D1503">
        <f t="shared" si="43"/>
        <v>-901120050</v>
      </c>
      <c r="E1503" t="s">
        <v>6218</v>
      </c>
      <c r="F1503" t="s">
        <v>6219</v>
      </c>
      <c r="G1503" t="s">
        <v>6220</v>
      </c>
      <c r="H1503">
        <v>2.16833948937983</v>
      </c>
      <c r="I1503">
        <v>41.389000068507201</v>
      </c>
      <c r="J1503">
        <v>100</v>
      </c>
      <c r="K1503" t="s">
        <v>536</v>
      </c>
      <c r="L1503" t="s">
        <v>536</v>
      </c>
      <c r="M1503" t="s">
        <v>536</v>
      </c>
      <c r="N1503" t="s">
        <v>536</v>
      </c>
      <c r="O1503" t="s">
        <v>536</v>
      </c>
      <c r="P1503" t="s">
        <v>536</v>
      </c>
      <c r="R1503" t="s">
        <v>6751</v>
      </c>
      <c r="T1503" t="s">
        <v>6222</v>
      </c>
      <c r="U1503" t="s">
        <v>6752</v>
      </c>
    </row>
    <row r="1504" spans="1:21" x14ac:dyDescent="0.25">
      <c r="A1504" t="s">
        <v>6753</v>
      </c>
      <c r="B1504" t="s">
        <v>22</v>
      </c>
      <c r="C1504" t="s">
        <v>6754</v>
      </c>
      <c r="D1504">
        <f t="shared" si="43"/>
        <v>-901120050</v>
      </c>
      <c r="E1504" t="s">
        <v>6344</v>
      </c>
      <c r="F1504" t="s">
        <v>6219</v>
      </c>
      <c r="G1504" t="s">
        <v>6220</v>
      </c>
      <c r="H1504">
        <v>2.7063364856080598</v>
      </c>
      <c r="I1504">
        <v>39.552726958676303</v>
      </c>
      <c r="J1504">
        <v>100</v>
      </c>
      <c r="K1504" t="s">
        <v>27</v>
      </c>
      <c r="L1504" t="s">
        <v>27</v>
      </c>
      <c r="M1504" t="s">
        <v>27</v>
      </c>
      <c r="N1504" t="s">
        <v>27</v>
      </c>
      <c r="O1504" t="s">
        <v>27</v>
      </c>
      <c r="P1504" t="s">
        <v>27</v>
      </c>
      <c r="R1504" t="s">
        <v>6755</v>
      </c>
      <c r="T1504" t="s">
        <v>6345</v>
      </c>
      <c r="U1504" t="s">
        <v>6756</v>
      </c>
    </row>
    <row r="1505" spans="1:21" x14ac:dyDescent="0.25">
      <c r="A1505" t="s">
        <v>6757</v>
      </c>
      <c r="B1505" t="s">
        <v>22</v>
      </c>
      <c r="C1505" t="s">
        <v>6758</v>
      </c>
      <c r="D1505">
        <f t="shared" si="43"/>
        <v>-901120050</v>
      </c>
      <c r="E1505" t="s">
        <v>6759</v>
      </c>
      <c r="F1505" t="s">
        <v>6219</v>
      </c>
      <c r="G1505" t="s">
        <v>6220</v>
      </c>
      <c r="H1505">
        <v>1.1108525195192001</v>
      </c>
      <c r="I1505">
        <v>41.162630720575699</v>
      </c>
      <c r="J1505">
        <v>100</v>
      </c>
      <c r="R1505" t="s">
        <v>6760</v>
      </c>
      <c r="T1505" t="s">
        <v>6222</v>
      </c>
      <c r="U1505" t="s">
        <v>6761</v>
      </c>
    </row>
    <row r="1506" spans="1:21" x14ac:dyDescent="0.25">
      <c r="A1506" t="s">
        <v>6762</v>
      </c>
      <c r="B1506" t="s">
        <v>22</v>
      </c>
      <c r="C1506" t="s">
        <v>6763</v>
      </c>
      <c r="D1506">
        <f>34-901150084</f>
        <v>-901150050</v>
      </c>
      <c r="E1506" t="s">
        <v>6764</v>
      </c>
      <c r="F1506" t="s">
        <v>6219</v>
      </c>
      <c r="G1506" t="s">
        <v>6220</v>
      </c>
      <c r="H1506">
        <v>-4.7885673836669902</v>
      </c>
      <c r="I1506">
        <v>37.896167810349397</v>
      </c>
      <c r="J1506">
        <v>100</v>
      </c>
      <c r="K1506" t="s">
        <v>27</v>
      </c>
      <c r="L1506" t="s">
        <v>27</v>
      </c>
      <c r="M1506" t="s">
        <v>27</v>
      </c>
      <c r="N1506" t="s">
        <v>27</v>
      </c>
      <c r="O1506" t="s">
        <v>27</v>
      </c>
      <c r="P1506" t="s">
        <v>27</v>
      </c>
      <c r="R1506" t="s">
        <v>6765</v>
      </c>
      <c r="T1506" t="s">
        <v>6296</v>
      </c>
      <c r="U1506" t="s">
        <v>6766</v>
      </c>
    </row>
    <row r="1507" spans="1:21" x14ac:dyDescent="0.25">
      <c r="A1507" t="s">
        <v>6767</v>
      </c>
      <c r="B1507" t="s">
        <v>22</v>
      </c>
      <c r="C1507" t="s">
        <v>6768</v>
      </c>
      <c r="D1507">
        <f t="shared" ref="D1507:D1520" si="44">34-901120084</f>
        <v>-901120050</v>
      </c>
      <c r="E1507" t="s">
        <v>6218</v>
      </c>
      <c r="F1507" t="s">
        <v>6219</v>
      </c>
      <c r="G1507" t="s">
        <v>6220</v>
      </c>
      <c r="H1507">
        <v>2.1907037481460101</v>
      </c>
      <c r="I1507">
        <v>41.405044130042903</v>
      </c>
      <c r="J1507">
        <v>100</v>
      </c>
      <c r="K1507" t="s">
        <v>312</v>
      </c>
      <c r="L1507" t="s">
        <v>312</v>
      </c>
      <c r="M1507" t="s">
        <v>312</v>
      </c>
      <c r="N1507" t="s">
        <v>312</v>
      </c>
      <c r="O1507" t="s">
        <v>312</v>
      </c>
      <c r="P1507" t="s">
        <v>312</v>
      </c>
      <c r="R1507" t="s">
        <v>6769</v>
      </c>
      <c r="T1507" t="s">
        <v>6222</v>
      </c>
      <c r="U1507" t="s">
        <v>6770</v>
      </c>
    </row>
    <row r="1508" spans="1:21" x14ac:dyDescent="0.25">
      <c r="A1508" t="s">
        <v>6771</v>
      </c>
      <c r="B1508" t="s">
        <v>22</v>
      </c>
      <c r="C1508" t="s">
        <v>6772</v>
      </c>
      <c r="D1508">
        <f t="shared" si="44"/>
        <v>-901120050</v>
      </c>
      <c r="E1508" t="s">
        <v>6300</v>
      </c>
      <c r="F1508" t="s">
        <v>6219</v>
      </c>
      <c r="G1508" t="s">
        <v>6220</v>
      </c>
      <c r="H1508">
        <v>-6.0098647837890002</v>
      </c>
      <c r="I1508">
        <v>37.391138224396002</v>
      </c>
      <c r="J1508">
        <v>100</v>
      </c>
      <c r="K1508" t="s">
        <v>27</v>
      </c>
      <c r="L1508" t="s">
        <v>27</v>
      </c>
      <c r="M1508" t="s">
        <v>27</v>
      </c>
      <c r="N1508" t="s">
        <v>27</v>
      </c>
      <c r="O1508" t="s">
        <v>27</v>
      </c>
      <c r="P1508" t="s">
        <v>27</v>
      </c>
      <c r="R1508" t="s">
        <v>6773</v>
      </c>
      <c r="T1508" t="s">
        <v>6296</v>
      </c>
      <c r="U1508" t="s">
        <v>6774</v>
      </c>
    </row>
    <row r="1509" spans="1:21" x14ac:dyDescent="0.25">
      <c r="A1509" t="s">
        <v>6775</v>
      </c>
      <c r="B1509" t="s">
        <v>22</v>
      </c>
      <c r="C1509" t="s">
        <v>6776</v>
      </c>
      <c r="D1509">
        <f t="shared" si="44"/>
        <v>-901120050</v>
      </c>
      <c r="E1509" t="s">
        <v>6777</v>
      </c>
      <c r="F1509" t="s">
        <v>6219</v>
      </c>
      <c r="G1509" t="s">
        <v>6220</v>
      </c>
      <c r="H1509">
        <v>-2.93736773914793</v>
      </c>
      <c r="I1509">
        <v>35.271398020025899</v>
      </c>
      <c r="J1509">
        <v>100</v>
      </c>
      <c r="K1509" t="s">
        <v>27</v>
      </c>
      <c r="L1509" t="s">
        <v>27</v>
      </c>
      <c r="M1509" t="s">
        <v>27</v>
      </c>
      <c r="N1509" t="s">
        <v>27</v>
      </c>
      <c r="O1509" t="s">
        <v>27</v>
      </c>
      <c r="P1509" t="s">
        <v>27</v>
      </c>
      <c r="R1509" t="s">
        <v>6778</v>
      </c>
      <c r="T1509" t="s">
        <v>6777</v>
      </c>
      <c r="U1509" t="s">
        <v>6779</v>
      </c>
    </row>
    <row r="1510" spans="1:21" x14ac:dyDescent="0.25">
      <c r="A1510" t="s">
        <v>6780</v>
      </c>
      <c r="B1510" t="s">
        <v>22</v>
      </c>
      <c r="C1510" t="s">
        <v>6781</v>
      </c>
      <c r="D1510">
        <f t="shared" si="44"/>
        <v>-901120050</v>
      </c>
      <c r="E1510" t="s">
        <v>6242</v>
      </c>
      <c r="F1510" t="s">
        <v>6219</v>
      </c>
      <c r="G1510" t="s">
        <v>6220</v>
      </c>
      <c r="H1510">
        <v>-3.701435</v>
      </c>
      <c r="I1510">
        <v>40.390925000000003</v>
      </c>
      <c r="J1510">
        <v>100</v>
      </c>
      <c r="K1510" t="s">
        <v>27</v>
      </c>
      <c r="L1510" t="s">
        <v>27</v>
      </c>
      <c r="M1510" t="s">
        <v>27</v>
      </c>
      <c r="N1510" t="s">
        <v>27</v>
      </c>
      <c r="O1510" t="s">
        <v>27</v>
      </c>
      <c r="P1510" t="s">
        <v>27</v>
      </c>
      <c r="Q1510" t="s">
        <v>27</v>
      </c>
      <c r="R1510" t="s">
        <v>6782</v>
      </c>
      <c r="S1510" t="s">
        <v>6782</v>
      </c>
      <c r="T1510" t="s">
        <v>6243</v>
      </c>
      <c r="U1510" t="s">
        <v>6783</v>
      </c>
    </row>
    <row r="1511" spans="1:21" x14ac:dyDescent="0.25">
      <c r="A1511" t="s">
        <v>6784</v>
      </c>
      <c r="B1511" t="s">
        <v>22</v>
      </c>
      <c r="C1511" t="s">
        <v>6785</v>
      </c>
      <c r="D1511">
        <f t="shared" si="44"/>
        <v>-901120050</v>
      </c>
      <c r="E1511" t="s">
        <v>6786</v>
      </c>
      <c r="F1511" t="s">
        <v>6219</v>
      </c>
      <c r="G1511" t="s">
        <v>6220</v>
      </c>
      <c r="H1511">
        <v>-3.1660064868164</v>
      </c>
      <c r="I1511">
        <v>40.622098824969797</v>
      </c>
      <c r="J1511">
        <v>100</v>
      </c>
      <c r="K1511" t="s">
        <v>27</v>
      </c>
      <c r="L1511" t="s">
        <v>27</v>
      </c>
      <c r="M1511" t="s">
        <v>27</v>
      </c>
      <c r="N1511" t="s">
        <v>27</v>
      </c>
      <c r="O1511" t="s">
        <v>27</v>
      </c>
      <c r="P1511" t="s">
        <v>27</v>
      </c>
      <c r="R1511" t="s">
        <v>6787</v>
      </c>
      <c r="T1511" t="s">
        <v>6504</v>
      </c>
      <c r="U1511" t="s">
        <v>6788</v>
      </c>
    </row>
    <row r="1512" spans="1:21" x14ac:dyDescent="0.25">
      <c r="A1512" t="s">
        <v>6789</v>
      </c>
      <c r="B1512" t="s">
        <v>38</v>
      </c>
      <c r="C1512" t="s">
        <v>6790</v>
      </c>
      <c r="D1512">
        <f t="shared" si="44"/>
        <v>-901120050</v>
      </c>
      <c r="E1512" t="s">
        <v>6791</v>
      </c>
      <c r="F1512" t="s">
        <v>6219</v>
      </c>
      <c r="G1512" t="s">
        <v>6220</v>
      </c>
      <c r="H1512">
        <v>-1.83669329590998</v>
      </c>
      <c r="I1512">
        <v>43.3194399217724</v>
      </c>
      <c r="J1512">
        <v>100</v>
      </c>
      <c r="K1512" t="s">
        <v>27</v>
      </c>
      <c r="L1512" t="s">
        <v>27</v>
      </c>
      <c r="M1512" t="s">
        <v>27</v>
      </c>
      <c r="N1512" t="s">
        <v>27</v>
      </c>
      <c r="O1512" t="s">
        <v>27</v>
      </c>
      <c r="P1512" t="s">
        <v>27</v>
      </c>
      <c r="R1512" t="s">
        <v>6790</v>
      </c>
      <c r="T1512" t="s">
        <v>6254</v>
      </c>
      <c r="U1512" t="s">
        <v>6792</v>
      </c>
    </row>
    <row r="1513" spans="1:21" x14ac:dyDescent="0.25">
      <c r="A1513" t="s">
        <v>6793</v>
      </c>
      <c r="B1513" t="s">
        <v>22</v>
      </c>
      <c r="C1513" t="s">
        <v>6794</v>
      </c>
      <c r="D1513">
        <f t="shared" si="44"/>
        <v>-901120050</v>
      </c>
      <c r="E1513" t="s">
        <v>6795</v>
      </c>
      <c r="F1513" t="s">
        <v>6219</v>
      </c>
      <c r="G1513" t="s">
        <v>6220</v>
      </c>
      <c r="H1513">
        <v>-8.2037594823929094</v>
      </c>
      <c r="I1513">
        <v>43.489841605808003</v>
      </c>
      <c r="J1513">
        <v>100</v>
      </c>
      <c r="K1513" t="s">
        <v>27</v>
      </c>
      <c r="L1513" t="s">
        <v>27</v>
      </c>
      <c r="M1513" t="s">
        <v>27</v>
      </c>
      <c r="N1513" t="s">
        <v>27</v>
      </c>
      <c r="O1513" t="s">
        <v>27</v>
      </c>
      <c r="P1513" t="s">
        <v>27</v>
      </c>
      <c r="R1513" t="s">
        <v>6794</v>
      </c>
      <c r="T1513" t="s">
        <v>6371</v>
      </c>
      <c r="U1513" t="s">
        <v>6796</v>
      </c>
    </row>
    <row r="1514" spans="1:21" x14ac:dyDescent="0.25">
      <c r="A1514" t="s">
        <v>6797</v>
      </c>
      <c r="B1514" t="s">
        <v>22</v>
      </c>
      <c r="C1514" t="s">
        <v>6798</v>
      </c>
      <c r="D1514">
        <f t="shared" si="44"/>
        <v>-901120050</v>
      </c>
      <c r="E1514" t="s">
        <v>6799</v>
      </c>
      <c r="F1514" t="s">
        <v>6219</v>
      </c>
      <c r="G1514" t="s">
        <v>6220</v>
      </c>
      <c r="H1514">
        <v>-0.95249779999994999</v>
      </c>
      <c r="I1514">
        <v>38.086777099999999</v>
      </c>
      <c r="J1514">
        <v>100</v>
      </c>
      <c r="K1514" t="s">
        <v>27</v>
      </c>
      <c r="L1514" t="s">
        <v>27</v>
      </c>
      <c r="M1514" t="s">
        <v>27</v>
      </c>
      <c r="N1514" t="s">
        <v>27</v>
      </c>
      <c r="O1514" t="s">
        <v>27</v>
      </c>
      <c r="P1514" t="s">
        <v>27</v>
      </c>
      <c r="R1514" t="s">
        <v>6800</v>
      </c>
      <c r="T1514" t="s">
        <v>6232</v>
      </c>
      <c r="U1514" t="s">
        <v>6801</v>
      </c>
    </row>
    <row r="1515" spans="1:21" x14ac:dyDescent="0.25">
      <c r="A1515" t="s">
        <v>6802</v>
      </c>
      <c r="B1515" t="s">
        <v>38</v>
      </c>
      <c r="C1515" t="s">
        <v>6387</v>
      </c>
      <c r="D1515">
        <f t="shared" si="44"/>
        <v>-901120050</v>
      </c>
      <c r="E1515" t="s">
        <v>6803</v>
      </c>
      <c r="F1515" t="s">
        <v>6219</v>
      </c>
      <c r="G1515" t="s">
        <v>6220</v>
      </c>
      <c r="H1515">
        <v>-0.52775310373534001</v>
      </c>
      <c r="I1515">
        <v>39.003864776993197</v>
      </c>
      <c r="J1515">
        <v>100</v>
      </c>
      <c r="K1515" t="s">
        <v>27</v>
      </c>
      <c r="L1515" t="s">
        <v>27</v>
      </c>
      <c r="M1515" t="s">
        <v>27</v>
      </c>
      <c r="N1515" t="s">
        <v>27</v>
      </c>
      <c r="O1515" t="s">
        <v>27</v>
      </c>
      <c r="P1515" t="s">
        <v>27</v>
      </c>
      <c r="R1515" t="s">
        <v>6804</v>
      </c>
      <c r="T1515" t="s">
        <v>6232</v>
      </c>
      <c r="U1515" t="s">
        <v>6805</v>
      </c>
    </row>
    <row r="1516" spans="1:21" x14ac:dyDescent="0.25">
      <c r="A1516" t="s">
        <v>6806</v>
      </c>
      <c r="B1516" t="s">
        <v>38</v>
      </c>
      <c r="C1516" t="s">
        <v>6807</v>
      </c>
      <c r="D1516">
        <f t="shared" si="44"/>
        <v>-901120050</v>
      </c>
      <c r="E1516" t="s">
        <v>6808</v>
      </c>
      <c r="F1516" t="s">
        <v>6219</v>
      </c>
      <c r="G1516" t="s">
        <v>6220</v>
      </c>
      <c r="H1516">
        <v>-2.8103551000000402</v>
      </c>
      <c r="I1516">
        <v>36.773114800000002</v>
      </c>
      <c r="J1516">
        <v>100</v>
      </c>
      <c r="K1516" t="s">
        <v>27</v>
      </c>
      <c r="L1516" t="s">
        <v>27</v>
      </c>
      <c r="M1516" t="s">
        <v>27</v>
      </c>
      <c r="N1516" t="s">
        <v>27</v>
      </c>
      <c r="O1516" t="s">
        <v>27</v>
      </c>
      <c r="P1516" t="s">
        <v>27</v>
      </c>
      <c r="R1516" t="s">
        <v>6809</v>
      </c>
      <c r="T1516" t="s">
        <v>6296</v>
      </c>
      <c r="U1516" t="s">
        <v>6810</v>
      </c>
    </row>
    <row r="1517" spans="1:21" x14ac:dyDescent="0.25">
      <c r="A1517" t="s">
        <v>6811</v>
      </c>
      <c r="B1517" t="s">
        <v>22</v>
      </c>
      <c r="C1517" t="s">
        <v>6812</v>
      </c>
      <c r="D1517">
        <f t="shared" si="44"/>
        <v>-901120050</v>
      </c>
      <c r="E1517" t="s">
        <v>6349</v>
      </c>
      <c r="F1517" t="s">
        <v>6219</v>
      </c>
      <c r="G1517" t="s">
        <v>6220</v>
      </c>
      <c r="H1517">
        <v>-2.4416551130615298</v>
      </c>
      <c r="I1517">
        <v>36.861864127821804</v>
      </c>
      <c r="J1517">
        <v>100</v>
      </c>
      <c r="K1517" t="s">
        <v>27</v>
      </c>
      <c r="L1517" t="s">
        <v>27</v>
      </c>
      <c r="M1517" t="s">
        <v>27</v>
      </c>
      <c r="N1517" t="s">
        <v>27</v>
      </c>
      <c r="O1517" t="s">
        <v>27</v>
      </c>
      <c r="P1517" t="s">
        <v>27</v>
      </c>
      <c r="R1517" t="s">
        <v>6813</v>
      </c>
      <c r="T1517" t="s">
        <v>6296</v>
      </c>
      <c r="U1517" t="s">
        <v>6814</v>
      </c>
    </row>
    <row r="1518" spans="1:21" x14ac:dyDescent="0.25">
      <c r="A1518" t="s">
        <v>6815</v>
      </c>
      <c r="B1518" t="s">
        <v>22</v>
      </c>
      <c r="C1518" t="s">
        <v>6816</v>
      </c>
      <c r="D1518">
        <f t="shared" si="44"/>
        <v>-901120050</v>
      </c>
      <c r="E1518" t="s">
        <v>6526</v>
      </c>
      <c r="F1518" t="s">
        <v>6219</v>
      </c>
      <c r="G1518" t="s">
        <v>6220</v>
      </c>
      <c r="H1518">
        <v>-15.475873999999999</v>
      </c>
      <c r="I1518">
        <v>28.094425999999999</v>
      </c>
      <c r="J1518">
        <v>85</v>
      </c>
      <c r="K1518" t="s">
        <v>27</v>
      </c>
      <c r="L1518" t="s">
        <v>27</v>
      </c>
      <c r="M1518" t="s">
        <v>27</v>
      </c>
      <c r="N1518" t="s">
        <v>27</v>
      </c>
      <c r="O1518" t="s">
        <v>27</v>
      </c>
      <c r="P1518" t="s">
        <v>27</v>
      </c>
      <c r="R1518" t="s">
        <v>6817</v>
      </c>
      <c r="T1518" t="s">
        <v>6400</v>
      </c>
      <c r="U1518" t="s">
        <v>6818</v>
      </c>
    </row>
    <row r="1519" spans="1:21" x14ac:dyDescent="0.25">
      <c r="A1519" t="s">
        <v>6819</v>
      </c>
      <c r="B1519" t="s">
        <v>22</v>
      </c>
      <c r="C1519" t="s">
        <v>6820</v>
      </c>
      <c r="D1519">
        <f t="shared" si="44"/>
        <v>-901120050</v>
      </c>
      <c r="E1519" t="s">
        <v>6821</v>
      </c>
      <c r="F1519" t="s">
        <v>6219</v>
      </c>
      <c r="G1519" t="s">
        <v>6220</v>
      </c>
      <c r="H1519">
        <v>-3.7001949999999999</v>
      </c>
      <c r="I1519">
        <v>42.341495999999999</v>
      </c>
      <c r="J1519">
        <v>100</v>
      </c>
      <c r="K1519" t="s">
        <v>536</v>
      </c>
      <c r="L1519" t="s">
        <v>536</v>
      </c>
      <c r="M1519" t="s">
        <v>536</v>
      </c>
      <c r="N1519" t="s">
        <v>536</v>
      </c>
      <c r="O1519" t="s">
        <v>536</v>
      </c>
      <c r="P1519" t="s">
        <v>536</v>
      </c>
      <c r="Q1519" t="s">
        <v>6588</v>
      </c>
      <c r="R1519" t="s">
        <v>6820</v>
      </c>
      <c r="T1519" t="s">
        <v>6319</v>
      </c>
      <c r="U1519" t="s">
        <v>6822</v>
      </c>
    </row>
    <row r="1520" spans="1:21" x14ac:dyDescent="0.25">
      <c r="A1520" t="s">
        <v>6823</v>
      </c>
      <c r="B1520" t="s">
        <v>22</v>
      </c>
      <c r="C1520" t="s">
        <v>6824</v>
      </c>
      <c r="D1520">
        <f t="shared" si="44"/>
        <v>-901120050</v>
      </c>
      <c r="E1520" t="s">
        <v>6825</v>
      </c>
      <c r="F1520" t="s">
        <v>6219</v>
      </c>
      <c r="G1520" t="s">
        <v>6220</v>
      </c>
      <c r="H1520">
        <v>2.0910377000000202</v>
      </c>
      <c r="I1520">
        <v>41.377256099999997</v>
      </c>
      <c r="J1520">
        <v>100</v>
      </c>
      <c r="K1520" t="s">
        <v>312</v>
      </c>
      <c r="L1520" t="s">
        <v>312</v>
      </c>
      <c r="M1520" t="s">
        <v>312</v>
      </c>
      <c r="N1520" t="s">
        <v>312</v>
      </c>
      <c r="O1520" t="s">
        <v>312</v>
      </c>
      <c r="P1520" t="s">
        <v>312</v>
      </c>
      <c r="R1520" t="s">
        <v>6826</v>
      </c>
      <c r="T1520" t="s">
        <v>6222</v>
      </c>
      <c r="U1520" t="s">
        <v>6827</v>
      </c>
    </row>
    <row r="1521" spans="1:21" x14ac:dyDescent="0.25">
      <c r="A1521" t="s">
        <v>6828</v>
      </c>
      <c r="B1521" t="s">
        <v>38</v>
      </c>
      <c r="C1521" t="s">
        <v>6829</v>
      </c>
      <c r="E1521" t="s">
        <v>6830</v>
      </c>
      <c r="F1521" t="s">
        <v>6219</v>
      </c>
      <c r="G1521" t="s">
        <v>6220</v>
      </c>
      <c r="H1521">
        <v>-3.4754967000000101</v>
      </c>
      <c r="I1521">
        <v>40.456755200000003</v>
      </c>
      <c r="J1521">
        <v>100</v>
      </c>
      <c r="K1521" t="s">
        <v>27</v>
      </c>
      <c r="L1521" t="s">
        <v>27</v>
      </c>
      <c r="M1521" t="s">
        <v>27</v>
      </c>
      <c r="N1521" t="s">
        <v>27</v>
      </c>
      <c r="O1521" t="s">
        <v>27</v>
      </c>
      <c r="P1521" t="s">
        <v>27</v>
      </c>
      <c r="Q1521" t="s">
        <v>27</v>
      </c>
      <c r="R1521" t="s">
        <v>6831</v>
      </c>
      <c r="T1521" t="s">
        <v>6242</v>
      </c>
      <c r="U1521" t="s">
        <v>6832</v>
      </c>
    </row>
    <row r="1522" spans="1:21" x14ac:dyDescent="0.25">
      <c r="A1522" t="s">
        <v>6833</v>
      </c>
      <c r="B1522" t="s">
        <v>22</v>
      </c>
      <c r="C1522" t="s">
        <v>6834</v>
      </c>
      <c r="D1522">
        <f>34-901120084</f>
        <v>-901120050</v>
      </c>
      <c r="E1522" t="s">
        <v>6300</v>
      </c>
      <c r="F1522" t="s">
        <v>6219</v>
      </c>
      <c r="G1522" t="s">
        <v>6220</v>
      </c>
      <c r="H1522">
        <v>-5.9856605296386096</v>
      </c>
      <c r="I1522">
        <v>37.341545365497801</v>
      </c>
      <c r="J1522">
        <v>100</v>
      </c>
      <c r="K1522" t="s">
        <v>27</v>
      </c>
      <c r="L1522" t="s">
        <v>27</v>
      </c>
      <c r="M1522" t="s">
        <v>27</v>
      </c>
      <c r="N1522" t="s">
        <v>27</v>
      </c>
      <c r="O1522" t="s">
        <v>27</v>
      </c>
      <c r="P1522" t="s">
        <v>27</v>
      </c>
      <c r="R1522" t="s">
        <v>6835</v>
      </c>
      <c r="T1522" t="s">
        <v>6296</v>
      </c>
      <c r="U1522" t="s">
        <v>6836</v>
      </c>
    </row>
    <row r="1523" spans="1:21" x14ac:dyDescent="0.25">
      <c r="A1523" t="s">
        <v>6837</v>
      </c>
      <c r="B1523" t="s">
        <v>38</v>
      </c>
      <c r="C1523" t="s">
        <v>6838</v>
      </c>
      <c r="D1523">
        <f>34-901120084</f>
        <v>-901120050</v>
      </c>
      <c r="E1523" t="s">
        <v>6272</v>
      </c>
      <c r="F1523" t="s">
        <v>6219</v>
      </c>
      <c r="G1523" t="s">
        <v>6220</v>
      </c>
      <c r="H1523">
        <v>-0.48121000000000003</v>
      </c>
      <c r="I1523">
        <v>38.697744</v>
      </c>
      <c r="J1523">
        <v>100</v>
      </c>
      <c r="K1523" t="s">
        <v>27</v>
      </c>
      <c r="L1523" t="s">
        <v>27</v>
      </c>
      <c r="M1523" t="s">
        <v>27</v>
      </c>
      <c r="N1523" t="s">
        <v>27</v>
      </c>
      <c r="O1523" t="s">
        <v>27</v>
      </c>
      <c r="P1523" t="s">
        <v>27</v>
      </c>
      <c r="R1523" t="s">
        <v>6839</v>
      </c>
      <c r="T1523" t="s">
        <v>6232</v>
      </c>
      <c r="U1523" t="s">
        <v>6840</v>
      </c>
    </row>
    <row r="1524" spans="1:21" x14ac:dyDescent="0.25">
      <c r="A1524" t="s">
        <v>6841</v>
      </c>
      <c r="B1524" t="s">
        <v>22</v>
      </c>
      <c r="C1524" t="s">
        <v>6842</v>
      </c>
      <c r="D1524">
        <f>34-901120084</f>
        <v>-901120050</v>
      </c>
      <c r="E1524" t="s">
        <v>6388</v>
      </c>
      <c r="F1524" t="s">
        <v>6219</v>
      </c>
      <c r="G1524" t="s">
        <v>6220</v>
      </c>
      <c r="H1524">
        <v>-4.4340580000000003</v>
      </c>
      <c r="I1524">
        <v>36.721026999999999</v>
      </c>
      <c r="J1524">
        <v>85</v>
      </c>
      <c r="K1524" t="s">
        <v>27</v>
      </c>
      <c r="L1524" t="s">
        <v>27</v>
      </c>
      <c r="M1524" t="s">
        <v>27</v>
      </c>
      <c r="N1524" t="s">
        <v>27</v>
      </c>
      <c r="O1524" t="s">
        <v>27</v>
      </c>
      <c r="P1524" t="s">
        <v>27</v>
      </c>
      <c r="R1524" t="s">
        <v>6843</v>
      </c>
      <c r="T1524" t="s">
        <v>6296</v>
      </c>
      <c r="U1524" t="s">
        <v>6844</v>
      </c>
    </row>
    <row r="1525" spans="1:21" x14ac:dyDescent="0.25">
      <c r="A1525" t="s">
        <v>6845</v>
      </c>
      <c r="B1525" t="s">
        <v>38</v>
      </c>
      <c r="C1525" t="s">
        <v>6846</v>
      </c>
      <c r="D1525">
        <f>34-800000444</f>
        <v>-800000410</v>
      </c>
      <c r="E1525" t="s">
        <v>6419</v>
      </c>
      <c r="F1525" t="s">
        <v>6219</v>
      </c>
      <c r="G1525" t="s">
        <v>6220</v>
      </c>
      <c r="H1525">
        <v>-8.7112529999999992</v>
      </c>
      <c r="I1525">
        <v>42.239328</v>
      </c>
      <c r="J1525">
        <v>100</v>
      </c>
      <c r="K1525" t="s">
        <v>27</v>
      </c>
      <c r="L1525" t="s">
        <v>27</v>
      </c>
      <c r="M1525" t="s">
        <v>27</v>
      </c>
      <c r="N1525" t="s">
        <v>27</v>
      </c>
      <c r="O1525" t="s">
        <v>27</v>
      </c>
      <c r="P1525" t="s">
        <v>27</v>
      </c>
      <c r="Q1525" t="s">
        <v>27</v>
      </c>
      <c r="R1525" t="s">
        <v>6847</v>
      </c>
      <c r="T1525" t="s">
        <v>6371</v>
      </c>
      <c r="U1525" t="s">
        <v>6848</v>
      </c>
    </row>
    <row r="1526" spans="1:21" x14ac:dyDescent="0.25">
      <c r="A1526" t="s">
        <v>6849</v>
      </c>
      <c r="B1526" t="s">
        <v>22</v>
      </c>
      <c r="C1526" t="s">
        <v>6850</v>
      </c>
      <c r="D1526">
        <f t="shared" ref="D1526:D1562" si="45">358-800114000</f>
        <v>-800113642</v>
      </c>
      <c r="E1526" t="s">
        <v>6851</v>
      </c>
      <c r="F1526" t="s">
        <v>6852</v>
      </c>
      <c r="G1526" t="s">
        <v>6853</v>
      </c>
      <c r="H1526">
        <v>25.0819843511727</v>
      </c>
      <c r="I1526">
        <v>60.211752511927799</v>
      </c>
      <c r="J1526">
        <v>115</v>
      </c>
      <c r="K1526" t="s">
        <v>536</v>
      </c>
      <c r="L1526" t="s">
        <v>536</v>
      </c>
      <c r="M1526" t="s">
        <v>536</v>
      </c>
      <c r="N1526" t="s">
        <v>536</v>
      </c>
      <c r="O1526" t="s">
        <v>536</v>
      </c>
      <c r="P1526" t="s">
        <v>45</v>
      </c>
      <c r="Q1526" t="s">
        <v>1492</v>
      </c>
      <c r="R1526" t="s">
        <v>6854</v>
      </c>
      <c r="U1526" t="s">
        <v>6855</v>
      </c>
    </row>
    <row r="1527" spans="1:21" x14ac:dyDescent="0.25">
      <c r="A1527" t="s">
        <v>6856</v>
      </c>
      <c r="B1527" t="s">
        <v>22</v>
      </c>
      <c r="C1527" t="s">
        <v>6857</v>
      </c>
      <c r="D1527">
        <f t="shared" si="45"/>
        <v>-800113642</v>
      </c>
      <c r="E1527" t="s">
        <v>6858</v>
      </c>
      <c r="F1527" t="s">
        <v>6852</v>
      </c>
      <c r="G1527" t="s">
        <v>6853</v>
      </c>
      <c r="H1527">
        <v>21.614012718200598</v>
      </c>
      <c r="I1527">
        <v>63.095360472672702</v>
      </c>
      <c r="J1527">
        <v>115</v>
      </c>
      <c r="K1527" t="s">
        <v>45</v>
      </c>
      <c r="L1527" t="s">
        <v>45</v>
      </c>
      <c r="M1527" t="s">
        <v>45</v>
      </c>
      <c r="N1527" t="s">
        <v>45</v>
      </c>
      <c r="O1527" t="s">
        <v>45</v>
      </c>
      <c r="P1527" t="s">
        <v>428</v>
      </c>
      <c r="Q1527" t="s">
        <v>6859</v>
      </c>
      <c r="R1527" t="s">
        <v>6860</v>
      </c>
      <c r="U1527" t="s">
        <v>6861</v>
      </c>
    </row>
    <row r="1528" spans="1:21" x14ac:dyDescent="0.25">
      <c r="A1528" t="s">
        <v>6862</v>
      </c>
      <c r="B1528" t="s">
        <v>22</v>
      </c>
      <c r="C1528" t="s">
        <v>6863</v>
      </c>
      <c r="D1528">
        <f t="shared" si="45"/>
        <v>-800113642</v>
      </c>
      <c r="E1528" t="s">
        <v>6864</v>
      </c>
      <c r="F1528" t="s">
        <v>6852</v>
      </c>
      <c r="G1528" t="s">
        <v>6853</v>
      </c>
      <c r="H1528">
        <v>25.6637620925903</v>
      </c>
      <c r="I1528">
        <v>60.982611564468897</v>
      </c>
      <c r="J1528">
        <v>115</v>
      </c>
      <c r="K1528" t="s">
        <v>165</v>
      </c>
      <c r="L1528" t="s">
        <v>165</v>
      </c>
      <c r="M1528" t="s">
        <v>165</v>
      </c>
      <c r="N1528" t="s">
        <v>165</v>
      </c>
      <c r="O1528" t="s">
        <v>165</v>
      </c>
      <c r="P1528" t="s">
        <v>428</v>
      </c>
      <c r="Q1528" t="s">
        <v>1289</v>
      </c>
      <c r="R1528" t="s">
        <v>6865</v>
      </c>
      <c r="U1528" t="s">
        <v>6866</v>
      </c>
    </row>
    <row r="1529" spans="1:21" x14ac:dyDescent="0.25">
      <c r="A1529" t="s">
        <v>6867</v>
      </c>
      <c r="B1529" t="s">
        <v>22</v>
      </c>
      <c r="C1529" t="s">
        <v>5029</v>
      </c>
      <c r="D1529">
        <f t="shared" si="45"/>
        <v>-800113642</v>
      </c>
      <c r="E1529" t="s">
        <v>6851</v>
      </c>
      <c r="F1529" t="s">
        <v>6852</v>
      </c>
      <c r="G1529" t="s">
        <v>6853</v>
      </c>
      <c r="H1529">
        <v>24.938015570471599</v>
      </c>
      <c r="I1529">
        <v>60.169065783652201</v>
      </c>
      <c r="J1529">
        <v>115</v>
      </c>
      <c r="K1529" t="s">
        <v>45</v>
      </c>
      <c r="L1529" t="s">
        <v>45</v>
      </c>
      <c r="M1529" t="s">
        <v>45</v>
      </c>
      <c r="N1529" t="s">
        <v>45</v>
      </c>
      <c r="O1529" t="s">
        <v>45</v>
      </c>
      <c r="P1529" t="s">
        <v>535</v>
      </c>
      <c r="Q1529" t="s">
        <v>1492</v>
      </c>
      <c r="R1529" t="s">
        <v>6868</v>
      </c>
      <c r="U1529" t="s">
        <v>6869</v>
      </c>
    </row>
    <row r="1530" spans="1:21" x14ac:dyDescent="0.25">
      <c r="A1530" t="s">
        <v>6870</v>
      </c>
      <c r="B1530" t="s">
        <v>38</v>
      </c>
      <c r="C1530" t="s">
        <v>6871</v>
      </c>
      <c r="D1530">
        <f t="shared" si="45"/>
        <v>-800113642</v>
      </c>
      <c r="E1530" t="s">
        <v>6872</v>
      </c>
      <c r="F1530" t="s">
        <v>6852</v>
      </c>
      <c r="G1530" t="s">
        <v>6853</v>
      </c>
      <c r="H1530">
        <v>27.676882806865699</v>
      </c>
      <c r="I1530">
        <v>62.891427300764398</v>
      </c>
      <c r="J1530">
        <v>115</v>
      </c>
      <c r="K1530" t="s">
        <v>535</v>
      </c>
      <c r="L1530" t="s">
        <v>535</v>
      </c>
      <c r="M1530" t="s">
        <v>535</v>
      </c>
      <c r="N1530" t="s">
        <v>535</v>
      </c>
      <c r="O1530" t="s">
        <v>535</v>
      </c>
      <c r="P1530" t="s">
        <v>553</v>
      </c>
      <c r="R1530" t="s">
        <v>6873</v>
      </c>
      <c r="U1530" t="s">
        <v>6874</v>
      </c>
    </row>
    <row r="1531" spans="1:21" x14ac:dyDescent="0.25">
      <c r="A1531" t="s">
        <v>6875</v>
      </c>
      <c r="B1531" t="s">
        <v>22</v>
      </c>
      <c r="C1531" t="s">
        <v>6876</v>
      </c>
      <c r="D1531">
        <f t="shared" si="45"/>
        <v>-800113642</v>
      </c>
      <c r="E1531" t="s">
        <v>6877</v>
      </c>
      <c r="F1531" t="s">
        <v>6852</v>
      </c>
      <c r="G1531" t="s">
        <v>6853</v>
      </c>
      <c r="H1531">
        <v>24.965357780292798</v>
      </c>
      <c r="I1531">
        <v>60.290449272942503</v>
      </c>
      <c r="J1531">
        <v>115</v>
      </c>
      <c r="K1531" t="s">
        <v>312</v>
      </c>
      <c r="L1531" t="s">
        <v>312</v>
      </c>
      <c r="M1531" t="s">
        <v>312</v>
      </c>
      <c r="N1531" t="s">
        <v>312</v>
      </c>
      <c r="O1531" t="s">
        <v>312</v>
      </c>
      <c r="P1531" t="s">
        <v>312</v>
      </c>
      <c r="Q1531" t="s">
        <v>1034</v>
      </c>
      <c r="R1531" t="s">
        <v>6878</v>
      </c>
      <c r="U1531" t="s">
        <v>6879</v>
      </c>
    </row>
    <row r="1532" spans="1:21" x14ac:dyDescent="0.25">
      <c r="A1532" t="s">
        <v>6880</v>
      </c>
      <c r="B1532" t="s">
        <v>22</v>
      </c>
      <c r="C1532" t="s">
        <v>6881</v>
      </c>
      <c r="D1532">
        <f t="shared" si="45"/>
        <v>-800113642</v>
      </c>
      <c r="E1532" t="s">
        <v>6882</v>
      </c>
      <c r="F1532" t="s">
        <v>6852</v>
      </c>
      <c r="G1532" t="s">
        <v>6853</v>
      </c>
      <c r="H1532">
        <v>22.1998297027028</v>
      </c>
      <c r="I1532">
        <v>60.490614697714697</v>
      </c>
      <c r="J1532">
        <v>115</v>
      </c>
      <c r="K1532" t="s">
        <v>45</v>
      </c>
      <c r="L1532" t="s">
        <v>45</v>
      </c>
      <c r="M1532" t="s">
        <v>45</v>
      </c>
      <c r="N1532" t="s">
        <v>45</v>
      </c>
      <c r="O1532" t="s">
        <v>45</v>
      </c>
      <c r="P1532" t="s">
        <v>535</v>
      </c>
      <c r="Q1532" t="s">
        <v>535</v>
      </c>
      <c r="R1532" t="s">
        <v>6883</v>
      </c>
      <c r="U1532" t="s">
        <v>6884</v>
      </c>
    </row>
    <row r="1533" spans="1:21" x14ac:dyDescent="0.25">
      <c r="A1533" t="s">
        <v>6885</v>
      </c>
      <c r="B1533" t="s">
        <v>22</v>
      </c>
      <c r="C1533" t="s">
        <v>6886</v>
      </c>
      <c r="D1533">
        <f t="shared" si="45"/>
        <v>-800113642</v>
      </c>
      <c r="E1533" t="s">
        <v>6887</v>
      </c>
      <c r="F1533" t="s">
        <v>6852</v>
      </c>
      <c r="G1533" t="s">
        <v>6853</v>
      </c>
      <c r="H1533">
        <v>22.263970971107401</v>
      </c>
      <c r="I1533">
        <v>60.451047179584101</v>
      </c>
      <c r="J1533">
        <v>115</v>
      </c>
      <c r="K1533" t="s">
        <v>45</v>
      </c>
      <c r="L1533" t="s">
        <v>45</v>
      </c>
      <c r="M1533" t="s">
        <v>45</v>
      </c>
      <c r="N1533" t="s">
        <v>45</v>
      </c>
      <c r="O1533" t="s">
        <v>45</v>
      </c>
      <c r="P1533" t="s">
        <v>535</v>
      </c>
      <c r="Q1533" t="s">
        <v>1492</v>
      </c>
      <c r="R1533" t="s">
        <v>6888</v>
      </c>
      <c r="U1533" t="s">
        <v>6889</v>
      </c>
    </row>
    <row r="1534" spans="1:21" x14ac:dyDescent="0.25">
      <c r="A1534" t="s">
        <v>6890</v>
      </c>
      <c r="B1534" t="s">
        <v>22</v>
      </c>
      <c r="C1534" t="s">
        <v>6891</v>
      </c>
      <c r="D1534">
        <f t="shared" si="45"/>
        <v>-800113642</v>
      </c>
      <c r="E1534" t="s">
        <v>6892</v>
      </c>
      <c r="F1534" t="s">
        <v>6852</v>
      </c>
      <c r="G1534" t="s">
        <v>6853</v>
      </c>
      <c r="H1534">
        <v>24.812565619731</v>
      </c>
      <c r="I1534">
        <v>60.218090664528702</v>
      </c>
      <c r="J1534">
        <v>115</v>
      </c>
      <c r="K1534" t="s">
        <v>45</v>
      </c>
      <c r="L1534" t="s">
        <v>45</v>
      </c>
      <c r="M1534" t="s">
        <v>45</v>
      </c>
      <c r="N1534" t="s">
        <v>45</v>
      </c>
      <c r="O1534" t="s">
        <v>45</v>
      </c>
      <c r="P1534" t="s">
        <v>535</v>
      </c>
      <c r="Q1534" t="s">
        <v>1492</v>
      </c>
      <c r="R1534" t="s">
        <v>6893</v>
      </c>
      <c r="U1534" t="s">
        <v>6894</v>
      </c>
    </row>
    <row r="1535" spans="1:21" x14ac:dyDescent="0.25">
      <c r="A1535" t="s">
        <v>6895</v>
      </c>
      <c r="B1535" t="s">
        <v>22</v>
      </c>
      <c r="C1535" t="s">
        <v>6896</v>
      </c>
      <c r="D1535">
        <f t="shared" si="45"/>
        <v>-800113642</v>
      </c>
      <c r="E1535" t="s">
        <v>6897</v>
      </c>
      <c r="F1535" t="s">
        <v>6852</v>
      </c>
      <c r="G1535" t="s">
        <v>6853</v>
      </c>
      <c r="H1535">
        <v>25.4693647999215</v>
      </c>
      <c r="I1535">
        <v>65.011143209708393</v>
      </c>
      <c r="J1535">
        <v>115</v>
      </c>
      <c r="K1535" t="s">
        <v>45</v>
      </c>
      <c r="L1535" t="s">
        <v>45</v>
      </c>
      <c r="M1535" t="s">
        <v>45</v>
      </c>
      <c r="N1535" t="s">
        <v>45</v>
      </c>
      <c r="O1535" t="s">
        <v>45</v>
      </c>
      <c r="P1535" t="s">
        <v>428</v>
      </c>
      <c r="Q1535" t="s">
        <v>1289</v>
      </c>
      <c r="R1535" t="s">
        <v>6896</v>
      </c>
      <c r="U1535" t="s">
        <v>6898</v>
      </c>
    </row>
    <row r="1536" spans="1:21" x14ac:dyDescent="0.25">
      <c r="A1536" t="s">
        <v>6899</v>
      </c>
      <c r="B1536" t="s">
        <v>38</v>
      </c>
      <c r="C1536" t="s">
        <v>6900</v>
      </c>
      <c r="D1536">
        <f t="shared" si="45"/>
        <v>-800113642</v>
      </c>
      <c r="E1536" t="s">
        <v>6901</v>
      </c>
      <c r="F1536" t="s">
        <v>6852</v>
      </c>
      <c r="G1536" t="s">
        <v>6853</v>
      </c>
      <c r="H1536">
        <v>26.944583201329799</v>
      </c>
      <c r="I1536">
        <v>60.466650029640299</v>
      </c>
      <c r="J1536">
        <v>115</v>
      </c>
      <c r="K1536" t="s">
        <v>535</v>
      </c>
      <c r="L1536" t="s">
        <v>535</v>
      </c>
      <c r="M1536" t="s">
        <v>535</v>
      </c>
      <c r="N1536" t="s">
        <v>535</v>
      </c>
      <c r="O1536" t="s">
        <v>535</v>
      </c>
      <c r="P1536" t="s">
        <v>553</v>
      </c>
      <c r="Q1536" t="s">
        <v>6859</v>
      </c>
      <c r="R1536" t="s">
        <v>6902</v>
      </c>
      <c r="U1536" t="s">
        <v>6903</v>
      </c>
    </row>
    <row r="1537" spans="1:21" x14ac:dyDescent="0.25">
      <c r="A1537" t="s">
        <v>6904</v>
      </c>
      <c r="B1537" t="s">
        <v>38</v>
      </c>
      <c r="C1537" t="s">
        <v>6905</v>
      </c>
      <c r="D1537">
        <f t="shared" si="45"/>
        <v>-800113642</v>
      </c>
      <c r="E1537" t="s">
        <v>6906</v>
      </c>
      <c r="F1537" t="s">
        <v>6852</v>
      </c>
      <c r="G1537" t="s">
        <v>6853</v>
      </c>
      <c r="H1537">
        <v>29.7621012500585</v>
      </c>
      <c r="I1537">
        <v>62.601725485437498</v>
      </c>
      <c r="J1537">
        <v>115</v>
      </c>
      <c r="K1537" t="s">
        <v>535</v>
      </c>
      <c r="L1537" t="s">
        <v>535</v>
      </c>
      <c r="M1537" t="s">
        <v>535</v>
      </c>
      <c r="N1537" t="s">
        <v>535</v>
      </c>
      <c r="O1537" t="s">
        <v>535</v>
      </c>
      <c r="P1537" t="s">
        <v>553</v>
      </c>
      <c r="Q1537" t="s">
        <v>1492</v>
      </c>
      <c r="R1537" t="s">
        <v>6907</v>
      </c>
      <c r="U1537" t="s">
        <v>6908</v>
      </c>
    </row>
    <row r="1538" spans="1:21" x14ac:dyDescent="0.25">
      <c r="A1538" t="s">
        <v>6909</v>
      </c>
      <c r="B1538" t="s">
        <v>38</v>
      </c>
      <c r="C1538" t="s">
        <v>6910</v>
      </c>
      <c r="D1538">
        <f t="shared" si="45"/>
        <v>-800113642</v>
      </c>
      <c r="E1538" t="s">
        <v>6911</v>
      </c>
      <c r="F1538" t="s">
        <v>6852</v>
      </c>
      <c r="G1538" t="s">
        <v>6853</v>
      </c>
      <c r="H1538">
        <v>23.124479556544198</v>
      </c>
      <c r="I1538">
        <v>60.386878708003302</v>
      </c>
      <c r="J1538">
        <v>115</v>
      </c>
      <c r="K1538" t="s">
        <v>535</v>
      </c>
      <c r="L1538" t="s">
        <v>535</v>
      </c>
      <c r="M1538" t="s">
        <v>535</v>
      </c>
      <c r="N1538" t="s">
        <v>535</v>
      </c>
      <c r="O1538" t="s">
        <v>535</v>
      </c>
      <c r="P1538" t="s">
        <v>553</v>
      </c>
      <c r="Q1538" t="s">
        <v>6859</v>
      </c>
      <c r="R1538" t="s">
        <v>6912</v>
      </c>
      <c r="U1538" t="s">
        <v>6913</v>
      </c>
    </row>
    <row r="1539" spans="1:21" x14ac:dyDescent="0.25">
      <c r="A1539" t="s">
        <v>6914</v>
      </c>
      <c r="B1539" t="s">
        <v>22</v>
      </c>
      <c r="C1539" t="s">
        <v>6915</v>
      </c>
      <c r="D1539">
        <f t="shared" si="45"/>
        <v>-800113642</v>
      </c>
      <c r="E1539" t="s">
        <v>6916</v>
      </c>
      <c r="F1539" t="s">
        <v>6852</v>
      </c>
      <c r="G1539" t="s">
        <v>6853</v>
      </c>
      <c r="H1539">
        <v>23.131992816924999</v>
      </c>
      <c r="I1539">
        <v>63.836373266204397</v>
      </c>
      <c r="J1539">
        <v>115</v>
      </c>
      <c r="K1539" t="s">
        <v>45</v>
      </c>
      <c r="L1539" t="s">
        <v>45</v>
      </c>
      <c r="M1539" t="s">
        <v>45</v>
      </c>
      <c r="N1539" t="s">
        <v>45</v>
      </c>
      <c r="O1539" t="s">
        <v>45</v>
      </c>
      <c r="P1539" t="s">
        <v>553</v>
      </c>
      <c r="Q1539" t="s">
        <v>6859</v>
      </c>
      <c r="R1539" t="s">
        <v>6917</v>
      </c>
      <c r="U1539" t="s">
        <v>6918</v>
      </c>
    </row>
    <row r="1540" spans="1:21" x14ac:dyDescent="0.25">
      <c r="A1540" t="s">
        <v>6919</v>
      </c>
      <c r="B1540" t="s">
        <v>22</v>
      </c>
      <c r="C1540" t="s">
        <v>6920</v>
      </c>
      <c r="D1540">
        <f t="shared" si="45"/>
        <v>-800113642</v>
      </c>
      <c r="E1540" t="s">
        <v>6921</v>
      </c>
      <c r="F1540" t="s">
        <v>6852</v>
      </c>
      <c r="G1540" t="s">
        <v>6853</v>
      </c>
      <c r="H1540">
        <v>23.794472974127</v>
      </c>
      <c r="I1540">
        <v>61.361541504945301</v>
      </c>
      <c r="J1540">
        <v>115</v>
      </c>
      <c r="K1540" t="s">
        <v>45</v>
      </c>
      <c r="L1540" t="s">
        <v>45</v>
      </c>
      <c r="M1540" t="s">
        <v>45</v>
      </c>
      <c r="N1540" t="s">
        <v>45</v>
      </c>
      <c r="O1540" t="s">
        <v>45</v>
      </c>
      <c r="P1540" t="s">
        <v>428</v>
      </c>
      <c r="Q1540" t="s">
        <v>1492</v>
      </c>
      <c r="R1540" t="s">
        <v>6922</v>
      </c>
      <c r="U1540" t="s">
        <v>6923</v>
      </c>
    </row>
    <row r="1541" spans="1:21" x14ac:dyDescent="0.25">
      <c r="A1541" t="s">
        <v>6924</v>
      </c>
      <c r="B1541" t="s">
        <v>38</v>
      </c>
      <c r="C1541" t="s">
        <v>6925</v>
      </c>
      <c r="D1541">
        <f t="shared" si="45"/>
        <v>-800113642</v>
      </c>
      <c r="E1541" t="s">
        <v>6926</v>
      </c>
      <c r="F1541" t="s">
        <v>6852</v>
      </c>
      <c r="G1541" t="s">
        <v>6853</v>
      </c>
      <c r="H1541">
        <v>24.144315575322199</v>
      </c>
      <c r="I1541">
        <v>65.842882718227997</v>
      </c>
      <c r="J1541">
        <v>115</v>
      </c>
      <c r="K1541" t="s">
        <v>45</v>
      </c>
      <c r="L1541" t="s">
        <v>45</v>
      </c>
      <c r="M1541" t="s">
        <v>45</v>
      </c>
      <c r="N1541" t="s">
        <v>45</v>
      </c>
      <c r="O1541" t="s">
        <v>45</v>
      </c>
      <c r="P1541" t="s">
        <v>428</v>
      </c>
      <c r="Q1541" t="s">
        <v>1492</v>
      </c>
      <c r="R1541" t="s">
        <v>6927</v>
      </c>
      <c r="U1541" t="s">
        <v>6928</v>
      </c>
    </row>
    <row r="1542" spans="1:21" x14ac:dyDescent="0.25">
      <c r="A1542" t="s">
        <v>6929</v>
      </c>
      <c r="B1542" t="s">
        <v>38</v>
      </c>
      <c r="C1542" t="s">
        <v>6930</v>
      </c>
      <c r="D1542">
        <f t="shared" si="45"/>
        <v>-800113642</v>
      </c>
      <c r="E1542" t="s">
        <v>6931</v>
      </c>
      <c r="F1542" t="s">
        <v>6852</v>
      </c>
      <c r="G1542" t="s">
        <v>6853</v>
      </c>
      <c r="H1542">
        <v>27.732951</v>
      </c>
      <c r="I1542">
        <v>64.225136000000006</v>
      </c>
      <c r="J1542">
        <v>115</v>
      </c>
      <c r="K1542" t="s">
        <v>535</v>
      </c>
      <c r="L1542" t="s">
        <v>535</v>
      </c>
      <c r="M1542" t="s">
        <v>535</v>
      </c>
      <c r="N1542" t="s">
        <v>535</v>
      </c>
      <c r="O1542" t="s">
        <v>535</v>
      </c>
      <c r="P1542" t="s">
        <v>622</v>
      </c>
      <c r="R1542" t="s">
        <v>6930</v>
      </c>
      <c r="U1542" t="s">
        <v>6932</v>
      </c>
    </row>
    <row r="1543" spans="1:21" x14ac:dyDescent="0.25">
      <c r="A1543" t="s">
        <v>6933</v>
      </c>
      <c r="B1543" t="s">
        <v>22</v>
      </c>
      <c r="C1543" t="s">
        <v>6934</v>
      </c>
      <c r="D1543">
        <f t="shared" si="45"/>
        <v>-800113642</v>
      </c>
      <c r="E1543" t="s">
        <v>6935</v>
      </c>
      <c r="F1543" t="s">
        <v>6852</v>
      </c>
      <c r="G1543" t="s">
        <v>6853</v>
      </c>
      <c r="H1543">
        <v>28.189878129815</v>
      </c>
      <c r="I1543">
        <v>61.055900824546498</v>
      </c>
      <c r="J1543">
        <v>115</v>
      </c>
      <c r="K1543" t="s">
        <v>535</v>
      </c>
      <c r="L1543" t="s">
        <v>535</v>
      </c>
      <c r="M1543" t="s">
        <v>535</v>
      </c>
      <c r="N1543" t="s">
        <v>535</v>
      </c>
      <c r="O1543" t="s">
        <v>535</v>
      </c>
      <c r="P1543" t="s">
        <v>553</v>
      </c>
      <c r="Q1543" t="s">
        <v>6859</v>
      </c>
      <c r="R1543" t="s">
        <v>6936</v>
      </c>
      <c r="U1543" t="s">
        <v>6937</v>
      </c>
    </row>
    <row r="1544" spans="1:21" x14ac:dyDescent="0.25">
      <c r="A1544" t="s">
        <v>6938</v>
      </c>
      <c r="B1544" t="s">
        <v>38</v>
      </c>
      <c r="C1544" t="s">
        <v>6939</v>
      </c>
      <c r="D1544">
        <f t="shared" si="45"/>
        <v>-800113642</v>
      </c>
      <c r="E1544" t="s">
        <v>6940</v>
      </c>
      <c r="F1544" t="s">
        <v>6852</v>
      </c>
      <c r="G1544" t="s">
        <v>6853</v>
      </c>
      <c r="H1544">
        <v>24.8652872232786</v>
      </c>
      <c r="I1544">
        <v>60.631249012100199</v>
      </c>
      <c r="J1544">
        <v>115</v>
      </c>
      <c r="K1544" t="s">
        <v>45</v>
      </c>
      <c r="L1544" t="s">
        <v>45</v>
      </c>
      <c r="M1544" t="s">
        <v>45</v>
      </c>
      <c r="N1544" t="s">
        <v>45</v>
      </c>
      <c r="O1544" t="s">
        <v>45</v>
      </c>
      <c r="P1544" t="s">
        <v>428</v>
      </c>
      <c r="Q1544" t="s">
        <v>1492</v>
      </c>
      <c r="R1544" t="s">
        <v>6941</v>
      </c>
      <c r="U1544" t="s">
        <v>6942</v>
      </c>
    </row>
    <row r="1545" spans="1:21" x14ac:dyDescent="0.25">
      <c r="A1545" t="s">
        <v>6943</v>
      </c>
      <c r="B1545" t="s">
        <v>38</v>
      </c>
      <c r="C1545" t="s">
        <v>6944</v>
      </c>
      <c r="D1545">
        <f t="shared" si="45"/>
        <v>-800113642</v>
      </c>
      <c r="E1545" t="s">
        <v>6887</v>
      </c>
      <c r="F1545" t="s">
        <v>6852</v>
      </c>
      <c r="G1545" t="s">
        <v>6853</v>
      </c>
      <c r="H1545">
        <v>22.3216815289565</v>
      </c>
      <c r="I1545">
        <v>60.429523841501599</v>
      </c>
      <c r="J1545">
        <v>115</v>
      </c>
      <c r="K1545" t="s">
        <v>45</v>
      </c>
      <c r="L1545" t="s">
        <v>45</v>
      </c>
      <c r="M1545" t="s">
        <v>45</v>
      </c>
      <c r="N1545" t="s">
        <v>45</v>
      </c>
      <c r="O1545" t="s">
        <v>45</v>
      </c>
      <c r="P1545" t="s">
        <v>535</v>
      </c>
      <c r="Q1545" t="s">
        <v>1034</v>
      </c>
      <c r="R1545" t="s">
        <v>6945</v>
      </c>
      <c r="U1545" t="s">
        <v>6946</v>
      </c>
    </row>
    <row r="1546" spans="1:21" x14ac:dyDescent="0.25">
      <c r="A1546" t="s">
        <v>6947</v>
      </c>
      <c r="B1546" t="s">
        <v>38</v>
      </c>
      <c r="C1546" t="s">
        <v>6948</v>
      </c>
      <c r="D1546">
        <f t="shared" si="45"/>
        <v>-800113642</v>
      </c>
      <c r="E1546" t="s">
        <v>6949</v>
      </c>
      <c r="F1546" t="s">
        <v>6852</v>
      </c>
      <c r="G1546" t="s">
        <v>6853</v>
      </c>
      <c r="H1546">
        <v>25.536774232499798</v>
      </c>
      <c r="I1546">
        <v>64.902258973446393</v>
      </c>
      <c r="J1546">
        <v>115</v>
      </c>
      <c r="K1546" t="s">
        <v>45</v>
      </c>
      <c r="L1546" t="s">
        <v>45</v>
      </c>
      <c r="M1546" t="s">
        <v>45</v>
      </c>
      <c r="N1546" t="s">
        <v>45</v>
      </c>
      <c r="O1546" t="s">
        <v>45</v>
      </c>
      <c r="P1546" t="s">
        <v>428</v>
      </c>
      <c r="Q1546" t="s">
        <v>1492</v>
      </c>
      <c r="R1546" t="s">
        <v>6950</v>
      </c>
      <c r="U1546" t="s">
        <v>6951</v>
      </c>
    </row>
    <row r="1547" spans="1:21" x14ac:dyDescent="0.25">
      <c r="A1547" t="s">
        <v>6952</v>
      </c>
      <c r="B1547" t="s">
        <v>38</v>
      </c>
      <c r="C1547" t="s">
        <v>6953</v>
      </c>
      <c r="D1547">
        <f t="shared" si="45"/>
        <v>-800113642</v>
      </c>
      <c r="E1547" t="s">
        <v>6864</v>
      </c>
      <c r="F1547" t="s">
        <v>6852</v>
      </c>
      <c r="G1547" t="s">
        <v>6853</v>
      </c>
      <c r="H1547">
        <v>25.737318354020498</v>
      </c>
      <c r="I1547">
        <v>60.981448264205703</v>
      </c>
      <c r="J1547">
        <v>115</v>
      </c>
      <c r="K1547" t="s">
        <v>45</v>
      </c>
      <c r="L1547" t="s">
        <v>45</v>
      </c>
      <c r="M1547" t="s">
        <v>45</v>
      </c>
      <c r="N1547" t="s">
        <v>45</v>
      </c>
      <c r="O1547" t="s">
        <v>45</v>
      </c>
      <c r="P1547" t="s">
        <v>428</v>
      </c>
      <c r="Q1547" t="s">
        <v>1492</v>
      </c>
      <c r="R1547" t="s">
        <v>6954</v>
      </c>
      <c r="U1547" t="s">
        <v>6955</v>
      </c>
    </row>
    <row r="1548" spans="1:21" x14ac:dyDescent="0.25">
      <c r="A1548" t="s">
        <v>6956</v>
      </c>
      <c r="B1548" t="s">
        <v>38</v>
      </c>
      <c r="C1548" t="s">
        <v>6957</v>
      </c>
      <c r="D1548">
        <f t="shared" si="45"/>
        <v>-800113642</v>
      </c>
      <c r="E1548" t="s">
        <v>6958</v>
      </c>
      <c r="F1548" t="s">
        <v>6852</v>
      </c>
      <c r="G1548" t="s">
        <v>6853</v>
      </c>
      <c r="H1548">
        <v>25.723865032195999</v>
      </c>
      <c r="I1548">
        <v>66.503655062738503</v>
      </c>
      <c r="J1548">
        <v>115</v>
      </c>
      <c r="K1548" t="s">
        <v>535</v>
      </c>
      <c r="L1548" t="s">
        <v>535</v>
      </c>
      <c r="M1548" t="s">
        <v>535</v>
      </c>
      <c r="N1548" t="s">
        <v>535</v>
      </c>
      <c r="O1548" t="s">
        <v>535</v>
      </c>
      <c r="P1548" t="s">
        <v>553</v>
      </c>
      <c r="Q1548" t="s">
        <v>6859</v>
      </c>
      <c r="R1548" t="s">
        <v>6959</v>
      </c>
      <c r="U1548" t="s">
        <v>6960</v>
      </c>
    </row>
    <row r="1549" spans="1:21" x14ac:dyDescent="0.25">
      <c r="A1549" t="s">
        <v>6961</v>
      </c>
      <c r="B1549" t="s">
        <v>38</v>
      </c>
      <c r="C1549" t="s">
        <v>6962</v>
      </c>
      <c r="D1549">
        <f t="shared" si="45"/>
        <v>-800113642</v>
      </c>
      <c r="E1549" t="s">
        <v>6963</v>
      </c>
      <c r="F1549" t="s">
        <v>6852</v>
      </c>
      <c r="G1549" t="s">
        <v>6853</v>
      </c>
      <c r="H1549">
        <v>26.6520714666838</v>
      </c>
      <c r="I1549">
        <v>60.875954884504502</v>
      </c>
      <c r="J1549">
        <v>115</v>
      </c>
      <c r="K1549" t="s">
        <v>45</v>
      </c>
      <c r="L1549" t="s">
        <v>45</v>
      </c>
      <c r="M1549" t="s">
        <v>45</v>
      </c>
      <c r="N1549" t="s">
        <v>45</v>
      </c>
      <c r="O1549" t="s">
        <v>45</v>
      </c>
      <c r="P1549" t="s">
        <v>428</v>
      </c>
      <c r="Q1549" t="s">
        <v>1492</v>
      </c>
      <c r="R1549" t="s">
        <v>6964</v>
      </c>
      <c r="U1549" t="s">
        <v>6965</v>
      </c>
    </row>
    <row r="1550" spans="1:21" x14ac:dyDescent="0.25">
      <c r="A1550" t="s">
        <v>6966</v>
      </c>
      <c r="B1550" t="s">
        <v>38</v>
      </c>
      <c r="C1550" t="s">
        <v>6967</v>
      </c>
      <c r="D1550">
        <f t="shared" si="45"/>
        <v>-800113642</v>
      </c>
      <c r="E1550" t="s">
        <v>6968</v>
      </c>
      <c r="F1550" t="s">
        <v>6852</v>
      </c>
      <c r="G1550" t="s">
        <v>6853</v>
      </c>
      <c r="H1550">
        <v>27.2731438593168</v>
      </c>
      <c r="I1550">
        <v>61.689300191890602</v>
      </c>
      <c r="J1550">
        <v>115</v>
      </c>
      <c r="K1550" t="s">
        <v>45</v>
      </c>
      <c r="L1550" t="s">
        <v>45</v>
      </c>
      <c r="M1550" t="s">
        <v>45</v>
      </c>
      <c r="N1550" t="s">
        <v>45</v>
      </c>
      <c r="O1550" t="s">
        <v>45</v>
      </c>
      <c r="P1550" t="s">
        <v>428</v>
      </c>
      <c r="Q1550" t="s">
        <v>6859</v>
      </c>
      <c r="R1550" t="s">
        <v>6969</v>
      </c>
      <c r="U1550" t="s">
        <v>6970</v>
      </c>
    </row>
    <row r="1551" spans="1:21" x14ac:dyDescent="0.25">
      <c r="A1551" t="s">
        <v>6971</v>
      </c>
      <c r="B1551" t="s">
        <v>38</v>
      </c>
      <c r="C1551" t="s">
        <v>6972</v>
      </c>
      <c r="D1551">
        <f t="shared" si="45"/>
        <v>-800113642</v>
      </c>
      <c r="E1551" t="s">
        <v>6973</v>
      </c>
      <c r="F1551" t="s">
        <v>6852</v>
      </c>
      <c r="G1551" t="s">
        <v>6853</v>
      </c>
      <c r="H1551">
        <v>25.657309055819699</v>
      </c>
      <c r="I1551">
        <v>60.3882628447464</v>
      </c>
      <c r="J1551">
        <v>115</v>
      </c>
      <c r="K1551" t="s">
        <v>535</v>
      </c>
      <c r="L1551" t="s">
        <v>535</v>
      </c>
      <c r="M1551" t="s">
        <v>535</v>
      </c>
      <c r="N1551" t="s">
        <v>535</v>
      </c>
      <c r="O1551" t="s">
        <v>535</v>
      </c>
      <c r="P1551" t="s">
        <v>553</v>
      </c>
      <c r="Q1551" t="s">
        <v>6859</v>
      </c>
      <c r="R1551" t="s">
        <v>6974</v>
      </c>
      <c r="U1551" t="s">
        <v>6975</v>
      </c>
    </row>
    <row r="1552" spans="1:21" x14ac:dyDescent="0.25">
      <c r="A1552" t="s">
        <v>6976</v>
      </c>
      <c r="B1552" t="s">
        <v>22</v>
      </c>
      <c r="C1552" t="s">
        <v>6977</v>
      </c>
      <c r="D1552">
        <f t="shared" si="45"/>
        <v>-800113642</v>
      </c>
      <c r="E1552" t="s">
        <v>6872</v>
      </c>
      <c r="F1552" t="s">
        <v>6852</v>
      </c>
      <c r="G1552" t="s">
        <v>6853</v>
      </c>
      <c r="H1552">
        <v>27.6035563237117</v>
      </c>
      <c r="I1552">
        <v>62.823088990288802</v>
      </c>
      <c r="J1552">
        <v>115</v>
      </c>
      <c r="K1552" t="s">
        <v>45</v>
      </c>
      <c r="L1552" t="s">
        <v>45</v>
      </c>
      <c r="M1552" t="s">
        <v>45</v>
      </c>
      <c r="N1552" t="s">
        <v>45</v>
      </c>
      <c r="O1552" t="s">
        <v>45</v>
      </c>
      <c r="P1552" t="s">
        <v>535</v>
      </c>
      <c r="Q1552" t="s">
        <v>1034</v>
      </c>
      <c r="R1552" t="s">
        <v>6978</v>
      </c>
      <c r="U1552" t="s">
        <v>6979</v>
      </c>
    </row>
    <row r="1553" spans="1:21" x14ac:dyDescent="0.25">
      <c r="A1553" t="s">
        <v>6980</v>
      </c>
      <c r="B1553" t="s">
        <v>38</v>
      </c>
      <c r="C1553" t="s">
        <v>6981</v>
      </c>
      <c r="D1553">
        <f t="shared" si="45"/>
        <v>-800113642</v>
      </c>
      <c r="E1553" t="s">
        <v>6877</v>
      </c>
      <c r="F1553" t="s">
        <v>6852</v>
      </c>
      <c r="G1553" t="s">
        <v>6853</v>
      </c>
      <c r="H1553">
        <v>24.853513151210699</v>
      </c>
      <c r="I1553">
        <v>60.260416059347101</v>
      </c>
      <c r="J1553">
        <v>115</v>
      </c>
      <c r="K1553" t="s">
        <v>45</v>
      </c>
      <c r="L1553" t="s">
        <v>45</v>
      </c>
      <c r="M1553" t="s">
        <v>45</v>
      </c>
      <c r="N1553" t="s">
        <v>45</v>
      </c>
      <c r="O1553" t="s">
        <v>45</v>
      </c>
      <c r="P1553" t="s">
        <v>535</v>
      </c>
      <c r="Q1553" t="s">
        <v>1492</v>
      </c>
      <c r="R1553" t="s">
        <v>6982</v>
      </c>
      <c r="U1553" t="s">
        <v>6983</v>
      </c>
    </row>
    <row r="1554" spans="1:21" x14ac:dyDescent="0.25">
      <c r="A1554" t="s">
        <v>6984</v>
      </c>
      <c r="B1554" t="s">
        <v>38</v>
      </c>
      <c r="C1554" t="s">
        <v>6985</v>
      </c>
      <c r="D1554">
        <f t="shared" si="45"/>
        <v>-800113642</v>
      </c>
      <c r="E1554" t="s">
        <v>6858</v>
      </c>
      <c r="F1554" t="s">
        <v>6852</v>
      </c>
      <c r="G1554" t="s">
        <v>6853</v>
      </c>
      <c r="H1554">
        <v>21.649675369262699</v>
      </c>
      <c r="I1554">
        <v>63.107398063867102</v>
      </c>
      <c r="J1554">
        <v>115</v>
      </c>
      <c r="K1554" t="s">
        <v>45</v>
      </c>
      <c r="L1554" t="s">
        <v>45</v>
      </c>
      <c r="M1554" t="s">
        <v>45</v>
      </c>
      <c r="N1554" t="s">
        <v>45</v>
      </c>
      <c r="O1554" t="s">
        <v>45</v>
      </c>
      <c r="P1554" t="s">
        <v>428</v>
      </c>
      <c r="Q1554" t="s">
        <v>1492</v>
      </c>
      <c r="R1554" t="s">
        <v>6986</v>
      </c>
      <c r="U1554" t="s">
        <v>6987</v>
      </c>
    </row>
    <row r="1555" spans="1:21" x14ac:dyDescent="0.25">
      <c r="A1555" t="s">
        <v>6988</v>
      </c>
      <c r="B1555" t="s">
        <v>38</v>
      </c>
      <c r="C1555" t="s">
        <v>6989</v>
      </c>
      <c r="D1555">
        <f t="shared" si="45"/>
        <v>-800113642</v>
      </c>
      <c r="E1555" t="s">
        <v>6990</v>
      </c>
      <c r="F1555" t="s">
        <v>6852</v>
      </c>
      <c r="G1555" t="s">
        <v>6853</v>
      </c>
      <c r="H1555">
        <v>19.933288999999998</v>
      </c>
      <c r="I1555">
        <v>60.130018999999997</v>
      </c>
      <c r="J1555">
        <v>115</v>
      </c>
      <c r="K1555" t="s">
        <v>45</v>
      </c>
      <c r="L1555" t="s">
        <v>45</v>
      </c>
      <c r="M1555" t="s">
        <v>45</v>
      </c>
      <c r="N1555" t="s">
        <v>45</v>
      </c>
      <c r="O1555" t="s">
        <v>45</v>
      </c>
      <c r="P1555" t="s">
        <v>553</v>
      </c>
      <c r="Q1555" t="s">
        <v>5842</v>
      </c>
      <c r="R1555" t="s">
        <v>6991</v>
      </c>
      <c r="U1555" t="s">
        <v>6992</v>
      </c>
    </row>
    <row r="1556" spans="1:21" x14ac:dyDescent="0.25">
      <c r="A1556" t="s">
        <v>6993</v>
      </c>
      <c r="B1556" t="s">
        <v>38</v>
      </c>
      <c r="C1556" t="s">
        <v>6994</v>
      </c>
      <c r="D1556">
        <f t="shared" si="45"/>
        <v>-800113642</v>
      </c>
      <c r="E1556" t="s">
        <v>6995</v>
      </c>
      <c r="F1556" t="s">
        <v>6852</v>
      </c>
      <c r="G1556" t="s">
        <v>6853</v>
      </c>
      <c r="H1556">
        <v>22.838779639277298</v>
      </c>
      <c r="I1556">
        <v>62.788591364979602</v>
      </c>
      <c r="J1556">
        <v>115</v>
      </c>
      <c r="K1556" t="s">
        <v>535</v>
      </c>
      <c r="L1556" t="s">
        <v>535</v>
      </c>
      <c r="M1556" t="s">
        <v>535</v>
      </c>
      <c r="N1556" t="s">
        <v>535</v>
      </c>
      <c r="O1556" t="s">
        <v>535</v>
      </c>
      <c r="P1556" t="s">
        <v>622</v>
      </c>
      <c r="R1556" t="s">
        <v>6996</v>
      </c>
      <c r="U1556" t="s">
        <v>6997</v>
      </c>
    </row>
    <row r="1557" spans="1:21" x14ac:dyDescent="0.25">
      <c r="A1557" t="s">
        <v>6998</v>
      </c>
      <c r="B1557" t="s">
        <v>38</v>
      </c>
      <c r="C1557" t="s">
        <v>6999</v>
      </c>
      <c r="D1557">
        <f t="shared" si="45"/>
        <v>-800113642</v>
      </c>
      <c r="E1557" t="s">
        <v>7000</v>
      </c>
      <c r="F1557" t="s">
        <v>6852</v>
      </c>
      <c r="G1557" t="s">
        <v>6853</v>
      </c>
      <c r="H1557">
        <v>23.669266969098601</v>
      </c>
      <c r="I1557">
        <v>61.519998572437501</v>
      </c>
      <c r="J1557">
        <v>115</v>
      </c>
      <c r="K1557" t="s">
        <v>45</v>
      </c>
      <c r="L1557" t="s">
        <v>45</v>
      </c>
      <c r="M1557" t="s">
        <v>45</v>
      </c>
      <c r="N1557" t="s">
        <v>45</v>
      </c>
      <c r="O1557" t="s">
        <v>45</v>
      </c>
      <c r="P1557" t="s">
        <v>428</v>
      </c>
      <c r="Q1557" t="s">
        <v>1492</v>
      </c>
      <c r="R1557" t="s">
        <v>7001</v>
      </c>
      <c r="U1557" t="s">
        <v>7002</v>
      </c>
    </row>
    <row r="1558" spans="1:21" x14ac:dyDescent="0.25">
      <c r="A1558" t="s">
        <v>7003</v>
      </c>
      <c r="B1558" t="s">
        <v>38</v>
      </c>
      <c r="C1558" t="s">
        <v>7004</v>
      </c>
      <c r="D1558">
        <f t="shared" si="45"/>
        <v>-800113642</v>
      </c>
      <c r="E1558" t="s">
        <v>7005</v>
      </c>
      <c r="F1558" t="s">
        <v>6852</v>
      </c>
      <c r="G1558" t="s">
        <v>6853</v>
      </c>
      <c r="H1558">
        <v>24.456768733595901</v>
      </c>
      <c r="I1558">
        <v>60.992938708925301</v>
      </c>
      <c r="J1558">
        <v>115</v>
      </c>
      <c r="K1558" t="s">
        <v>45</v>
      </c>
      <c r="L1558" t="s">
        <v>45</v>
      </c>
      <c r="M1558" t="s">
        <v>45</v>
      </c>
      <c r="N1558" t="s">
        <v>45</v>
      </c>
      <c r="O1558" t="s">
        <v>45</v>
      </c>
      <c r="P1558" t="s">
        <v>428</v>
      </c>
      <c r="Q1558" t="s">
        <v>1289</v>
      </c>
      <c r="R1558" t="s">
        <v>7006</v>
      </c>
      <c r="U1558" t="s">
        <v>7007</v>
      </c>
    </row>
    <row r="1559" spans="1:21" x14ac:dyDescent="0.25">
      <c r="A1559" t="s">
        <v>7008</v>
      </c>
      <c r="B1559" t="s">
        <v>38</v>
      </c>
      <c r="C1559" t="s">
        <v>7009</v>
      </c>
      <c r="D1559">
        <f t="shared" si="45"/>
        <v>-800113642</v>
      </c>
      <c r="E1559" t="s">
        <v>7010</v>
      </c>
      <c r="F1559" t="s">
        <v>6852</v>
      </c>
      <c r="G1559" t="s">
        <v>6853</v>
      </c>
      <c r="H1559">
        <v>21.798603114294401</v>
      </c>
      <c r="I1559">
        <v>61.492389867520103</v>
      </c>
      <c r="J1559">
        <v>115</v>
      </c>
      <c r="K1559" t="s">
        <v>45</v>
      </c>
      <c r="L1559" t="s">
        <v>45</v>
      </c>
      <c r="M1559" t="s">
        <v>45</v>
      </c>
      <c r="N1559" t="s">
        <v>45</v>
      </c>
      <c r="O1559" t="s">
        <v>45</v>
      </c>
      <c r="P1559" t="s">
        <v>428</v>
      </c>
      <c r="Q1559" t="s">
        <v>1492</v>
      </c>
      <c r="R1559" t="s">
        <v>7011</v>
      </c>
      <c r="U1559" t="s">
        <v>7012</v>
      </c>
    </row>
    <row r="1560" spans="1:21" x14ac:dyDescent="0.25">
      <c r="A1560" t="s">
        <v>7013</v>
      </c>
      <c r="B1560" t="s">
        <v>22</v>
      </c>
      <c r="C1560" t="s">
        <v>7014</v>
      </c>
      <c r="D1560">
        <f t="shared" si="45"/>
        <v>-800113642</v>
      </c>
      <c r="E1560" t="s">
        <v>7015</v>
      </c>
      <c r="F1560" t="s">
        <v>6852</v>
      </c>
      <c r="G1560" t="s">
        <v>6853</v>
      </c>
      <c r="H1560">
        <v>25.775447591428001</v>
      </c>
      <c r="I1560">
        <v>62.256069308900003</v>
      </c>
      <c r="J1560">
        <v>115</v>
      </c>
      <c r="K1560" t="s">
        <v>45</v>
      </c>
      <c r="L1560" t="s">
        <v>45</v>
      </c>
      <c r="M1560" t="s">
        <v>45</v>
      </c>
      <c r="N1560" t="s">
        <v>45</v>
      </c>
      <c r="O1560" t="s">
        <v>45</v>
      </c>
      <c r="P1560" t="s">
        <v>428</v>
      </c>
      <c r="Q1560" t="s">
        <v>1034</v>
      </c>
      <c r="R1560" t="s">
        <v>7016</v>
      </c>
      <c r="U1560" t="s">
        <v>7017</v>
      </c>
    </row>
    <row r="1561" spans="1:21" x14ac:dyDescent="0.25">
      <c r="A1561" t="s">
        <v>7018</v>
      </c>
      <c r="B1561" t="s">
        <v>38</v>
      </c>
      <c r="C1561" t="s">
        <v>7019</v>
      </c>
      <c r="D1561">
        <f t="shared" si="45"/>
        <v>-800113642</v>
      </c>
      <c r="E1561" t="s">
        <v>6892</v>
      </c>
      <c r="F1561" t="s">
        <v>6852</v>
      </c>
      <c r="G1561" t="s">
        <v>6853</v>
      </c>
      <c r="H1561">
        <v>24.657830127925099</v>
      </c>
      <c r="I1561">
        <v>60.203521786377699</v>
      </c>
      <c r="J1561">
        <v>115</v>
      </c>
      <c r="K1561" t="s">
        <v>45</v>
      </c>
      <c r="L1561" t="s">
        <v>45</v>
      </c>
      <c r="M1561" t="s">
        <v>45</v>
      </c>
      <c r="N1561" t="s">
        <v>45</v>
      </c>
      <c r="O1561" t="s">
        <v>45</v>
      </c>
      <c r="P1561" t="s">
        <v>428</v>
      </c>
      <c r="Q1561" t="s">
        <v>1492</v>
      </c>
      <c r="R1561" t="s">
        <v>7020</v>
      </c>
      <c r="U1561" t="s">
        <v>7021</v>
      </c>
    </row>
    <row r="1562" spans="1:21" x14ac:dyDescent="0.25">
      <c r="A1562" t="s">
        <v>7022</v>
      </c>
      <c r="B1562" t="s">
        <v>38</v>
      </c>
      <c r="C1562" t="s">
        <v>7023</v>
      </c>
      <c r="D1562">
        <f t="shared" si="45"/>
        <v>-800113642</v>
      </c>
      <c r="E1562" t="s">
        <v>7024</v>
      </c>
      <c r="F1562" t="s">
        <v>6852</v>
      </c>
      <c r="G1562" t="s">
        <v>6853</v>
      </c>
      <c r="H1562">
        <v>22.712568999999998</v>
      </c>
      <c r="I1562">
        <v>63.6742439</v>
      </c>
      <c r="J1562">
        <v>115</v>
      </c>
      <c r="K1562" t="s">
        <v>535</v>
      </c>
      <c r="L1562" t="s">
        <v>535</v>
      </c>
      <c r="M1562" t="s">
        <v>535</v>
      </c>
      <c r="N1562" t="s">
        <v>535</v>
      </c>
      <c r="O1562" t="s">
        <v>535</v>
      </c>
      <c r="P1562" t="s">
        <v>553</v>
      </c>
      <c r="R1562" t="s">
        <v>7025</v>
      </c>
      <c r="U1562" t="s">
        <v>7026</v>
      </c>
    </row>
    <row r="1563" spans="1:21" x14ac:dyDescent="0.25">
      <c r="A1563" t="s">
        <v>7027</v>
      </c>
      <c r="B1563" t="s">
        <v>38</v>
      </c>
      <c r="C1563" t="s">
        <v>7028</v>
      </c>
      <c r="D1563">
        <f>358-800-114000</f>
        <v>-114442</v>
      </c>
      <c r="E1563" t="s">
        <v>6897</v>
      </c>
      <c r="F1563" t="s">
        <v>6852</v>
      </c>
      <c r="G1563" t="s">
        <v>6853</v>
      </c>
      <c r="H1563">
        <v>25.4466109506881</v>
      </c>
      <c r="I1563">
        <v>65.077167173370796</v>
      </c>
      <c r="J1563">
        <v>115</v>
      </c>
      <c r="K1563" t="s">
        <v>45</v>
      </c>
      <c r="L1563" t="s">
        <v>45</v>
      </c>
      <c r="M1563" t="s">
        <v>45</v>
      </c>
      <c r="N1563" t="s">
        <v>45</v>
      </c>
      <c r="O1563" t="s">
        <v>45</v>
      </c>
      <c r="P1563" t="s">
        <v>428</v>
      </c>
      <c r="Q1563" t="s">
        <v>1492</v>
      </c>
      <c r="R1563" t="s">
        <v>7029</v>
      </c>
      <c r="U1563" t="s">
        <v>7030</v>
      </c>
    </row>
    <row r="1564" spans="1:21" x14ac:dyDescent="0.25">
      <c r="A1564" t="s">
        <v>7031</v>
      </c>
      <c r="B1564" t="s">
        <v>22</v>
      </c>
      <c r="C1564" t="s">
        <v>7032</v>
      </c>
      <c r="D1564">
        <f t="shared" ref="D1564:D1571" si="46">358-800114000</f>
        <v>-800113642</v>
      </c>
      <c r="E1564" t="s">
        <v>7015</v>
      </c>
      <c r="F1564" t="s">
        <v>6852</v>
      </c>
      <c r="G1564" t="s">
        <v>6853</v>
      </c>
      <c r="H1564">
        <v>25.748646586124501</v>
      </c>
      <c r="I1564">
        <v>62.243424797693699</v>
      </c>
      <c r="J1564">
        <v>115</v>
      </c>
      <c r="K1564" t="s">
        <v>45</v>
      </c>
      <c r="L1564" t="s">
        <v>45</v>
      </c>
      <c r="M1564" t="s">
        <v>45</v>
      </c>
      <c r="N1564" t="s">
        <v>45</v>
      </c>
      <c r="O1564" t="s">
        <v>45</v>
      </c>
      <c r="P1564" t="s">
        <v>428</v>
      </c>
      <c r="Q1564" t="s">
        <v>6859</v>
      </c>
      <c r="R1564" t="s">
        <v>7032</v>
      </c>
      <c r="U1564" t="s">
        <v>7033</v>
      </c>
    </row>
    <row r="1565" spans="1:21" x14ac:dyDescent="0.25">
      <c r="A1565" t="s">
        <v>7034</v>
      </c>
      <c r="B1565" t="s">
        <v>22</v>
      </c>
      <c r="C1565" t="s">
        <v>7035</v>
      </c>
      <c r="D1565">
        <f t="shared" si="46"/>
        <v>-800113642</v>
      </c>
      <c r="E1565" t="s">
        <v>7000</v>
      </c>
      <c r="F1565" t="s">
        <v>6852</v>
      </c>
      <c r="G1565" t="s">
        <v>6853</v>
      </c>
      <c r="H1565">
        <v>23.7669692832519</v>
      </c>
      <c r="I1565">
        <v>61.493154581496498</v>
      </c>
      <c r="J1565">
        <v>115</v>
      </c>
      <c r="K1565" t="s">
        <v>45</v>
      </c>
      <c r="L1565" t="s">
        <v>45</v>
      </c>
      <c r="M1565" t="s">
        <v>45</v>
      </c>
      <c r="N1565" t="s">
        <v>45</v>
      </c>
      <c r="O1565" t="s">
        <v>45</v>
      </c>
      <c r="P1565" t="s">
        <v>428</v>
      </c>
      <c r="Q1565" t="s">
        <v>1289</v>
      </c>
      <c r="R1565" t="s">
        <v>7036</v>
      </c>
      <c r="U1565" t="s">
        <v>7037</v>
      </c>
    </row>
    <row r="1566" spans="1:21" x14ac:dyDescent="0.25">
      <c r="A1566" t="s">
        <v>7038</v>
      </c>
      <c r="B1566" t="s">
        <v>22</v>
      </c>
      <c r="C1566" t="s">
        <v>7039</v>
      </c>
      <c r="D1566">
        <f t="shared" si="46"/>
        <v>-800113642</v>
      </c>
      <c r="E1566" t="s">
        <v>6892</v>
      </c>
      <c r="F1566" t="s">
        <v>6852</v>
      </c>
      <c r="G1566" t="s">
        <v>6853</v>
      </c>
      <c r="H1566">
        <v>24.7398048759243</v>
      </c>
      <c r="I1566">
        <v>60.160455281173</v>
      </c>
      <c r="J1566">
        <v>115</v>
      </c>
      <c r="K1566" t="s">
        <v>536</v>
      </c>
      <c r="L1566" t="s">
        <v>536</v>
      </c>
      <c r="M1566" t="s">
        <v>536</v>
      </c>
      <c r="N1566" t="s">
        <v>536</v>
      </c>
      <c r="O1566" t="s">
        <v>536</v>
      </c>
      <c r="P1566" t="s">
        <v>535</v>
      </c>
      <c r="Q1566" t="s">
        <v>1492</v>
      </c>
      <c r="R1566" t="s">
        <v>7040</v>
      </c>
      <c r="U1566" t="s">
        <v>7041</v>
      </c>
    </row>
    <row r="1567" spans="1:21" x14ac:dyDescent="0.25">
      <c r="A1567" t="s">
        <v>7042</v>
      </c>
      <c r="B1567" t="s">
        <v>22</v>
      </c>
      <c r="C1567" t="s">
        <v>7043</v>
      </c>
      <c r="D1567">
        <f t="shared" si="46"/>
        <v>-800113642</v>
      </c>
      <c r="E1567" t="s">
        <v>6851</v>
      </c>
      <c r="F1567" t="s">
        <v>6852</v>
      </c>
      <c r="G1567" t="s">
        <v>6853</v>
      </c>
      <c r="H1567">
        <v>24.9312439634101</v>
      </c>
      <c r="I1567">
        <v>60.198658462239997</v>
      </c>
      <c r="J1567">
        <v>115</v>
      </c>
      <c r="K1567" t="s">
        <v>312</v>
      </c>
      <c r="L1567" t="s">
        <v>312</v>
      </c>
      <c r="M1567" t="s">
        <v>312</v>
      </c>
      <c r="N1567" t="s">
        <v>312</v>
      </c>
      <c r="O1567" t="s">
        <v>312</v>
      </c>
      <c r="P1567" t="s">
        <v>312</v>
      </c>
      <c r="Q1567" t="s">
        <v>717</v>
      </c>
      <c r="R1567" t="s">
        <v>7044</v>
      </c>
      <c r="U1567" t="s">
        <v>7045</v>
      </c>
    </row>
    <row r="1568" spans="1:21" x14ac:dyDescent="0.25">
      <c r="A1568" t="s">
        <v>7046</v>
      </c>
      <c r="B1568" t="s">
        <v>22</v>
      </c>
      <c r="C1568" t="s">
        <v>7047</v>
      </c>
      <c r="D1568">
        <f t="shared" si="46"/>
        <v>-800113642</v>
      </c>
      <c r="E1568" t="s">
        <v>6995</v>
      </c>
      <c r="F1568" t="s">
        <v>6852</v>
      </c>
      <c r="G1568" t="s">
        <v>6853</v>
      </c>
      <c r="H1568">
        <v>22.794370720495699</v>
      </c>
      <c r="I1568">
        <v>62.793620131354601</v>
      </c>
      <c r="J1568">
        <v>115</v>
      </c>
      <c r="K1568" t="s">
        <v>45</v>
      </c>
      <c r="L1568" t="s">
        <v>45</v>
      </c>
      <c r="M1568" t="s">
        <v>45</v>
      </c>
      <c r="N1568" t="s">
        <v>45</v>
      </c>
      <c r="O1568" t="s">
        <v>45</v>
      </c>
      <c r="P1568" t="s">
        <v>428</v>
      </c>
      <c r="Q1568" t="s">
        <v>1492</v>
      </c>
      <c r="R1568" t="s">
        <v>7048</v>
      </c>
      <c r="U1568" t="s">
        <v>7049</v>
      </c>
    </row>
    <row r="1569" spans="1:21" x14ac:dyDescent="0.25">
      <c r="A1569" t="s">
        <v>7050</v>
      </c>
      <c r="B1569" t="s">
        <v>22</v>
      </c>
      <c r="C1569" t="s">
        <v>7051</v>
      </c>
      <c r="D1569">
        <f t="shared" si="46"/>
        <v>-800113642</v>
      </c>
      <c r="E1569" t="s">
        <v>6851</v>
      </c>
      <c r="F1569" t="s">
        <v>6852</v>
      </c>
      <c r="G1569" t="s">
        <v>6853</v>
      </c>
      <c r="H1569">
        <v>24.9799250708089</v>
      </c>
      <c r="I1569">
        <v>60.1880177231399</v>
      </c>
      <c r="J1569">
        <v>115</v>
      </c>
      <c r="K1569" t="s">
        <v>45</v>
      </c>
      <c r="L1569" t="s">
        <v>45</v>
      </c>
      <c r="M1569" t="s">
        <v>45</v>
      </c>
      <c r="N1569" t="s">
        <v>45</v>
      </c>
      <c r="O1569" t="s">
        <v>45</v>
      </c>
      <c r="P1569" t="s">
        <v>428</v>
      </c>
      <c r="Q1569" t="s">
        <v>1289</v>
      </c>
      <c r="R1569" t="s">
        <v>7052</v>
      </c>
      <c r="U1569" t="s">
        <v>7053</v>
      </c>
    </row>
    <row r="1570" spans="1:21" x14ac:dyDescent="0.25">
      <c r="A1570" t="s">
        <v>7054</v>
      </c>
      <c r="B1570" t="s">
        <v>38</v>
      </c>
      <c r="C1570" t="s">
        <v>7055</v>
      </c>
      <c r="D1570">
        <f t="shared" si="46"/>
        <v>-800113642</v>
      </c>
      <c r="E1570" t="s">
        <v>6892</v>
      </c>
      <c r="F1570" t="s">
        <v>6852</v>
      </c>
      <c r="G1570" t="s">
        <v>6853</v>
      </c>
      <c r="H1570">
        <v>24.8043345417606</v>
      </c>
      <c r="I1570">
        <v>60.176122726241601</v>
      </c>
      <c r="J1570">
        <v>115</v>
      </c>
      <c r="K1570" t="s">
        <v>536</v>
      </c>
      <c r="L1570" t="s">
        <v>536</v>
      </c>
      <c r="M1570" t="s">
        <v>536</v>
      </c>
      <c r="N1570" t="s">
        <v>536</v>
      </c>
      <c r="O1570" t="s">
        <v>536</v>
      </c>
      <c r="P1570" t="s">
        <v>535</v>
      </c>
      <c r="Q1570" t="s">
        <v>1492</v>
      </c>
      <c r="R1570" t="s">
        <v>7056</v>
      </c>
      <c r="U1570" t="s">
        <v>7057</v>
      </c>
    </row>
    <row r="1571" spans="1:21" x14ac:dyDescent="0.25">
      <c r="A1571" t="s">
        <v>7058</v>
      </c>
      <c r="B1571" t="s">
        <v>38</v>
      </c>
      <c r="C1571" t="s">
        <v>7059</v>
      </c>
      <c r="D1571">
        <f t="shared" si="46"/>
        <v>-800113642</v>
      </c>
      <c r="E1571" t="s">
        <v>7060</v>
      </c>
      <c r="F1571" t="s">
        <v>6852</v>
      </c>
      <c r="G1571" t="s">
        <v>6853</v>
      </c>
      <c r="H1571">
        <v>24.0703216882827</v>
      </c>
      <c r="I1571">
        <v>60.250832494914597</v>
      </c>
      <c r="J1571">
        <v>115</v>
      </c>
      <c r="K1571" t="s">
        <v>45</v>
      </c>
      <c r="L1571" t="s">
        <v>45</v>
      </c>
      <c r="M1571" t="s">
        <v>45</v>
      </c>
      <c r="N1571" t="s">
        <v>45</v>
      </c>
      <c r="O1571" t="s">
        <v>45</v>
      </c>
      <c r="P1571" t="s">
        <v>428</v>
      </c>
      <c r="Q1571" t="s">
        <v>1492</v>
      </c>
      <c r="R1571" t="s">
        <v>7061</v>
      </c>
      <c r="U1571" t="s">
        <v>7062</v>
      </c>
    </row>
    <row r="1572" spans="1:21" x14ac:dyDescent="0.25">
      <c r="A1572" t="s">
        <v>7063</v>
      </c>
      <c r="B1572" t="s">
        <v>22</v>
      </c>
      <c r="C1572" t="s">
        <v>7064</v>
      </c>
      <c r="D1572">
        <f t="shared" ref="D1572:D1603" si="47">33-805088888</f>
        <v>-805088855</v>
      </c>
      <c r="E1572" t="s">
        <v>7065</v>
      </c>
      <c r="F1572" t="s">
        <v>7066</v>
      </c>
      <c r="G1572" t="s">
        <v>7067</v>
      </c>
      <c r="H1572">
        <v>2.2366189956664999</v>
      </c>
      <c r="I1572">
        <v>48.890539822240498</v>
      </c>
      <c r="J1572">
        <v>100</v>
      </c>
      <c r="K1572" t="s">
        <v>1189</v>
      </c>
      <c r="L1572" t="s">
        <v>1189</v>
      </c>
      <c r="M1572" t="s">
        <v>1189</v>
      </c>
      <c r="N1572" t="s">
        <v>1189</v>
      </c>
      <c r="O1572" t="s">
        <v>1189</v>
      </c>
      <c r="P1572" t="s">
        <v>1189</v>
      </c>
      <c r="Q1572" t="s">
        <v>1189</v>
      </c>
      <c r="R1572" t="s">
        <v>7068</v>
      </c>
      <c r="U1572" t="s">
        <v>7069</v>
      </c>
    </row>
    <row r="1573" spans="1:21" x14ac:dyDescent="0.25">
      <c r="A1573" t="s">
        <v>7070</v>
      </c>
      <c r="B1573" t="s">
        <v>22</v>
      </c>
      <c r="C1573" t="s">
        <v>7071</v>
      </c>
      <c r="D1573">
        <f t="shared" si="47"/>
        <v>-805088855</v>
      </c>
      <c r="E1573" t="s">
        <v>7072</v>
      </c>
      <c r="F1573" t="s">
        <v>7066</v>
      </c>
      <c r="G1573" t="s">
        <v>7067</v>
      </c>
      <c r="H1573">
        <v>4.8359269999999999</v>
      </c>
      <c r="I1573">
        <v>45.763160999999997</v>
      </c>
      <c r="J1573">
        <v>100</v>
      </c>
      <c r="K1573" t="s">
        <v>774</v>
      </c>
      <c r="L1573" t="s">
        <v>774</v>
      </c>
      <c r="M1573" t="s">
        <v>774</v>
      </c>
      <c r="N1573" t="s">
        <v>774</v>
      </c>
      <c r="O1573" t="s">
        <v>774</v>
      </c>
      <c r="P1573" t="s">
        <v>774</v>
      </c>
      <c r="R1573" t="s">
        <v>7073</v>
      </c>
      <c r="U1573" t="s">
        <v>7074</v>
      </c>
    </row>
    <row r="1574" spans="1:21" x14ac:dyDescent="0.25">
      <c r="A1574" t="s">
        <v>7075</v>
      </c>
      <c r="B1574" t="s">
        <v>22</v>
      </c>
      <c r="C1574" t="s">
        <v>7076</v>
      </c>
      <c r="D1574">
        <f t="shared" si="47"/>
        <v>-805088855</v>
      </c>
      <c r="E1574" t="s">
        <v>7077</v>
      </c>
      <c r="F1574" t="s">
        <v>7066</v>
      </c>
      <c r="G1574" t="s">
        <v>7067</v>
      </c>
      <c r="H1574">
        <v>3.0728849999999999</v>
      </c>
      <c r="I1574">
        <v>50.637363999999998</v>
      </c>
      <c r="J1574">
        <v>100</v>
      </c>
      <c r="K1574" t="s">
        <v>185</v>
      </c>
      <c r="L1574" t="s">
        <v>185</v>
      </c>
      <c r="M1574" t="s">
        <v>185</v>
      </c>
      <c r="N1574" t="s">
        <v>185</v>
      </c>
      <c r="O1574" t="s">
        <v>185</v>
      </c>
      <c r="P1574" t="s">
        <v>185</v>
      </c>
      <c r="R1574" t="s">
        <v>7078</v>
      </c>
      <c r="S1574" t="s">
        <v>7079</v>
      </c>
      <c r="U1574" t="s">
        <v>7080</v>
      </c>
    </row>
    <row r="1575" spans="1:21" x14ac:dyDescent="0.25">
      <c r="A1575" t="s">
        <v>7081</v>
      </c>
      <c r="B1575" t="s">
        <v>22</v>
      </c>
      <c r="C1575" t="s">
        <v>7082</v>
      </c>
      <c r="D1575">
        <f t="shared" si="47"/>
        <v>-805088855</v>
      </c>
      <c r="E1575" t="s">
        <v>7083</v>
      </c>
      <c r="F1575" t="s">
        <v>7066</v>
      </c>
      <c r="G1575" t="s">
        <v>7067</v>
      </c>
      <c r="H1575">
        <v>2.0445829999999998</v>
      </c>
      <c r="I1575">
        <v>48.784182000000001</v>
      </c>
      <c r="J1575">
        <v>100</v>
      </c>
      <c r="K1575" t="s">
        <v>185</v>
      </c>
      <c r="L1575" t="s">
        <v>185</v>
      </c>
      <c r="M1575" t="s">
        <v>185</v>
      </c>
      <c r="N1575" t="s">
        <v>185</v>
      </c>
      <c r="O1575" t="s">
        <v>185</v>
      </c>
      <c r="P1575" t="s">
        <v>185</v>
      </c>
      <c r="R1575" t="s">
        <v>7084</v>
      </c>
      <c r="U1575" t="s">
        <v>7085</v>
      </c>
    </row>
    <row r="1576" spans="1:21" x14ac:dyDescent="0.25">
      <c r="A1576" t="s">
        <v>7086</v>
      </c>
      <c r="B1576" t="s">
        <v>22</v>
      </c>
      <c r="C1576" t="s">
        <v>7087</v>
      </c>
      <c r="D1576">
        <f t="shared" si="47"/>
        <v>-805088855</v>
      </c>
      <c r="E1576" t="s">
        <v>7088</v>
      </c>
      <c r="F1576" t="s">
        <v>7066</v>
      </c>
      <c r="G1576" t="s">
        <v>7067</v>
      </c>
      <c r="H1576">
        <v>2.0802239999999999</v>
      </c>
      <c r="I1576">
        <v>49.037829000000002</v>
      </c>
      <c r="J1576">
        <v>100</v>
      </c>
      <c r="K1576" t="s">
        <v>45</v>
      </c>
      <c r="L1576" t="s">
        <v>45</v>
      </c>
      <c r="M1576" t="s">
        <v>45</v>
      </c>
      <c r="N1576" t="s">
        <v>45</v>
      </c>
      <c r="O1576" t="s">
        <v>45</v>
      </c>
      <c r="P1576" t="s">
        <v>45</v>
      </c>
      <c r="Q1576" t="s">
        <v>717</v>
      </c>
      <c r="R1576" t="s">
        <v>7089</v>
      </c>
      <c r="U1576" t="s">
        <v>7090</v>
      </c>
    </row>
    <row r="1577" spans="1:21" x14ac:dyDescent="0.25">
      <c r="A1577" t="s">
        <v>7091</v>
      </c>
      <c r="B1577" t="s">
        <v>22</v>
      </c>
      <c r="C1577" t="s">
        <v>7092</v>
      </c>
      <c r="D1577">
        <f t="shared" si="47"/>
        <v>-805088855</v>
      </c>
      <c r="E1577" t="s">
        <v>7093</v>
      </c>
      <c r="F1577" t="s">
        <v>7066</v>
      </c>
      <c r="G1577" t="s">
        <v>7067</v>
      </c>
      <c r="H1577">
        <v>2.3715380000000001</v>
      </c>
      <c r="I1577">
        <v>48.757278999999997</v>
      </c>
      <c r="J1577">
        <v>100</v>
      </c>
      <c r="K1577" t="s">
        <v>45</v>
      </c>
      <c r="L1577" t="s">
        <v>1189</v>
      </c>
      <c r="M1577" t="s">
        <v>1189</v>
      </c>
      <c r="N1577" t="s">
        <v>1189</v>
      </c>
      <c r="O1577" t="s">
        <v>1189</v>
      </c>
      <c r="P1577" t="s">
        <v>45</v>
      </c>
      <c r="Q1577" t="s">
        <v>717</v>
      </c>
      <c r="R1577" t="s">
        <v>7094</v>
      </c>
      <c r="U1577" t="s">
        <v>7095</v>
      </c>
    </row>
    <row r="1578" spans="1:21" x14ac:dyDescent="0.25">
      <c r="A1578" t="s">
        <v>7096</v>
      </c>
      <c r="B1578" t="s">
        <v>32</v>
      </c>
      <c r="C1578" t="s">
        <v>7097</v>
      </c>
      <c r="D1578">
        <f t="shared" si="47"/>
        <v>-805088855</v>
      </c>
      <c r="E1578" t="s">
        <v>7098</v>
      </c>
      <c r="F1578" t="s">
        <v>7066</v>
      </c>
      <c r="G1578" t="s">
        <v>7067</v>
      </c>
      <c r="H1578">
        <v>2.3473850000000001</v>
      </c>
      <c r="I1578">
        <v>48.861893999999999</v>
      </c>
      <c r="J1578">
        <v>100</v>
      </c>
      <c r="K1578" t="s">
        <v>1189</v>
      </c>
      <c r="L1578" t="s">
        <v>1189</v>
      </c>
      <c r="M1578" t="s">
        <v>1189</v>
      </c>
      <c r="N1578" t="s">
        <v>1189</v>
      </c>
      <c r="O1578" t="s">
        <v>1189</v>
      </c>
      <c r="P1578" t="s">
        <v>1189</v>
      </c>
      <c r="Q1578" t="s">
        <v>717</v>
      </c>
      <c r="R1578" t="s">
        <v>7099</v>
      </c>
      <c r="U1578" t="s">
        <v>7100</v>
      </c>
    </row>
    <row r="1579" spans="1:21" x14ac:dyDescent="0.25">
      <c r="A1579" t="s">
        <v>7101</v>
      </c>
      <c r="B1579" t="s">
        <v>22</v>
      </c>
      <c r="C1579" t="s">
        <v>7102</v>
      </c>
      <c r="D1579">
        <f t="shared" si="47"/>
        <v>-805088855</v>
      </c>
      <c r="E1579" t="s">
        <v>7103</v>
      </c>
      <c r="F1579" t="s">
        <v>7066</v>
      </c>
      <c r="G1579" t="s">
        <v>7067</v>
      </c>
      <c r="H1579">
        <v>2.4745400000000002</v>
      </c>
      <c r="I1579">
        <v>48.956639000000003</v>
      </c>
      <c r="J1579">
        <v>100</v>
      </c>
      <c r="K1579" t="s">
        <v>45</v>
      </c>
      <c r="L1579" t="s">
        <v>45</v>
      </c>
      <c r="M1579" t="s">
        <v>45</v>
      </c>
      <c r="N1579" t="s">
        <v>45</v>
      </c>
      <c r="O1579" t="s">
        <v>45</v>
      </c>
      <c r="P1579" t="s">
        <v>45</v>
      </c>
      <c r="Q1579" t="s">
        <v>717</v>
      </c>
      <c r="R1579" t="s">
        <v>7104</v>
      </c>
      <c r="U1579" t="s">
        <v>7105</v>
      </c>
    </row>
    <row r="1580" spans="1:21" x14ac:dyDescent="0.25">
      <c r="A1580" t="s">
        <v>7106</v>
      </c>
      <c r="B1580" t="s">
        <v>38</v>
      </c>
      <c r="C1580" t="s">
        <v>7107</v>
      </c>
      <c r="D1580">
        <f t="shared" si="47"/>
        <v>-805088855</v>
      </c>
      <c r="E1580" t="s">
        <v>7108</v>
      </c>
      <c r="F1580" t="s">
        <v>7066</v>
      </c>
      <c r="G1580" t="s">
        <v>7067</v>
      </c>
      <c r="H1580">
        <v>1.8085500000000001</v>
      </c>
      <c r="I1580">
        <v>50.933695999999998</v>
      </c>
      <c r="J1580">
        <v>100</v>
      </c>
      <c r="K1580" t="s">
        <v>45</v>
      </c>
      <c r="L1580" t="s">
        <v>45</v>
      </c>
      <c r="M1580" t="s">
        <v>45</v>
      </c>
      <c r="N1580" t="s">
        <v>45</v>
      </c>
      <c r="O1580" t="s">
        <v>45</v>
      </c>
      <c r="P1580" t="s">
        <v>45</v>
      </c>
      <c r="Q1580" t="s">
        <v>717</v>
      </c>
      <c r="R1580" t="s">
        <v>7109</v>
      </c>
      <c r="U1580" t="s">
        <v>7110</v>
      </c>
    </row>
    <row r="1581" spans="1:21" x14ac:dyDescent="0.25">
      <c r="A1581" t="s">
        <v>7111</v>
      </c>
      <c r="B1581" t="s">
        <v>32</v>
      </c>
      <c r="C1581" t="s">
        <v>7112</v>
      </c>
      <c r="D1581">
        <f t="shared" si="47"/>
        <v>-805088855</v>
      </c>
      <c r="E1581" t="s">
        <v>7113</v>
      </c>
      <c r="F1581" t="s">
        <v>7066</v>
      </c>
      <c r="G1581" t="s">
        <v>7067</v>
      </c>
      <c r="H1581">
        <v>2.7812619999999999</v>
      </c>
      <c r="I1581">
        <v>48.855446000000001</v>
      </c>
      <c r="J1581">
        <v>100</v>
      </c>
      <c r="K1581" t="s">
        <v>536</v>
      </c>
      <c r="L1581" t="s">
        <v>536</v>
      </c>
      <c r="M1581" t="s">
        <v>536</v>
      </c>
      <c r="N1581" t="s">
        <v>536</v>
      </c>
      <c r="O1581" t="s">
        <v>536</v>
      </c>
      <c r="P1581" t="s">
        <v>536</v>
      </c>
      <c r="Q1581" t="s">
        <v>45</v>
      </c>
      <c r="R1581" t="s">
        <v>7114</v>
      </c>
      <c r="U1581" t="s">
        <v>7115</v>
      </c>
    </row>
    <row r="1582" spans="1:21" x14ac:dyDescent="0.25">
      <c r="A1582" t="s">
        <v>7116</v>
      </c>
      <c r="B1582" t="s">
        <v>38</v>
      </c>
      <c r="C1582" t="s">
        <v>7117</v>
      </c>
      <c r="D1582">
        <f t="shared" si="47"/>
        <v>-805088855</v>
      </c>
      <c r="E1582" t="s">
        <v>7118</v>
      </c>
      <c r="F1582" t="s">
        <v>7066</v>
      </c>
      <c r="G1582" t="s">
        <v>7067</v>
      </c>
      <c r="H1582">
        <v>1.0847514956731199</v>
      </c>
      <c r="I1582">
        <v>49.431143838365998</v>
      </c>
      <c r="J1582">
        <v>100</v>
      </c>
      <c r="K1582" t="s">
        <v>185</v>
      </c>
      <c r="L1582" t="s">
        <v>185</v>
      </c>
      <c r="M1582" t="s">
        <v>185</v>
      </c>
      <c r="N1582" t="s">
        <v>185</v>
      </c>
      <c r="O1582" t="s">
        <v>185</v>
      </c>
      <c r="P1582" t="s">
        <v>185</v>
      </c>
      <c r="R1582" t="s">
        <v>7119</v>
      </c>
      <c r="U1582" t="s">
        <v>7120</v>
      </c>
    </row>
    <row r="1583" spans="1:21" x14ac:dyDescent="0.25">
      <c r="A1583" t="s">
        <v>7121</v>
      </c>
      <c r="B1583" t="s">
        <v>38</v>
      </c>
      <c r="C1583" t="s">
        <v>7122</v>
      </c>
      <c r="D1583">
        <f t="shared" si="47"/>
        <v>-805088855</v>
      </c>
      <c r="E1583" t="s">
        <v>7123</v>
      </c>
      <c r="F1583" t="s">
        <v>7066</v>
      </c>
      <c r="G1583" t="s">
        <v>7067</v>
      </c>
      <c r="H1583">
        <v>2.3751150000000001</v>
      </c>
      <c r="I1583">
        <v>51.034571</v>
      </c>
      <c r="J1583">
        <v>100</v>
      </c>
      <c r="K1583" t="s">
        <v>535</v>
      </c>
      <c r="L1583" t="s">
        <v>535</v>
      </c>
      <c r="M1583" t="s">
        <v>535</v>
      </c>
      <c r="N1583" t="s">
        <v>535</v>
      </c>
      <c r="O1583" t="s">
        <v>535</v>
      </c>
      <c r="P1583" t="s">
        <v>535</v>
      </c>
      <c r="R1583" t="s">
        <v>7124</v>
      </c>
      <c r="U1583" t="s">
        <v>7125</v>
      </c>
    </row>
    <row r="1584" spans="1:21" x14ac:dyDescent="0.25">
      <c r="A1584" t="s">
        <v>7126</v>
      </c>
      <c r="B1584" t="s">
        <v>22</v>
      </c>
      <c r="C1584" t="s">
        <v>7127</v>
      </c>
      <c r="D1584">
        <f t="shared" si="47"/>
        <v>-805088855</v>
      </c>
      <c r="E1584" t="s">
        <v>7128</v>
      </c>
      <c r="F1584" t="s">
        <v>7066</v>
      </c>
      <c r="G1584" t="s">
        <v>7067</v>
      </c>
      <c r="H1584">
        <v>-0.65920500000000004</v>
      </c>
      <c r="I1584">
        <v>44.828507999999999</v>
      </c>
      <c r="J1584">
        <v>100</v>
      </c>
      <c r="K1584" t="s">
        <v>45</v>
      </c>
      <c r="L1584" t="s">
        <v>45</v>
      </c>
      <c r="M1584" t="s">
        <v>45</v>
      </c>
      <c r="N1584" t="s">
        <v>45</v>
      </c>
      <c r="O1584" t="s">
        <v>45</v>
      </c>
      <c r="P1584" t="s">
        <v>45</v>
      </c>
      <c r="R1584" t="s">
        <v>7129</v>
      </c>
      <c r="U1584" t="s">
        <v>7130</v>
      </c>
    </row>
    <row r="1585" spans="1:21" x14ac:dyDescent="0.25">
      <c r="A1585" t="s">
        <v>7131</v>
      </c>
      <c r="B1585" t="s">
        <v>22</v>
      </c>
      <c r="C1585" t="s">
        <v>7132</v>
      </c>
      <c r="D1585">
        <f t="shared" si="47"/>
        <v>-805088855</v>
      </c>
      <c r="E1585" t="s">
        <v>7133</v>
      </c>
      <c r="F1585" t="s">
        <v>7066</v>
      </c>
      <c r="G1585" t="s">
        <v>7067</v>
      </c>
      <c r="H1585">
        <v>6.1239150000000002</v>
      </c>
      <c r="I1585">
        <v>45.903875999999997</v>
      </c>
      <c r="J1585">
        <v>100</v>
      </c>
      <c r="K1585" t="s">
        <v>759</v>
      </c>
      <c r="L1585" t="s">
        <v>759</v>
      </c>
      <c r="M1585" t="s">
        <v>759</v>
      </c>
      <c r="N1585" t="s">
        <v>759</v>
      </c>
      <c r="O1585" t="s">
        <v>759</v>
      </c>
      <c r="P1585" t="s">
        <v>759</v>
      </c>
      <c r="R1585" t="s">
        <v>7134</v>
      </c>
      <c r="U1585" t="s">
        <v>7135</v>
      </c>
    </row>
    <row r="1586" spans="1:21" x14ac:dyDescent="0.25">
      <c r="A1586" t="s">
        <v>7136</v>
      </c>
      <c r="B1586" t="s">
        <v>22</v>
      </c>
      <c r="C1586" t="s">
        <v>7137</v>
      </c>
      <c r="D1586">
        <f t="shared" si="47"/>
        <v>-805088855</v>
      </c>
      <c r="E1586" t="s">
        <v>7138</v>
      </c>
      <c r="F1586" t="s">
        <v>7066</v>
      </c>
      <c r="G1586" t="s">
        <v>7067</v>
      </c>
      <c r="H1586">
        <v>2.4268830000000001</v>
      </c>
      <c r="I1586">
        <v>48.629308999999999</v>
      </c>
      <c r="J1586">
        <v>100</v>
      </c>
      <c r="K1586" t="s">
        <v>45</v>
      </c>
      <c r="L1586" t="s">
        <v>45</v>
      </c>
      <c r="M1586" t="s">
        <v>45</v>
      </c>
      <c r="N1586" t="s">
        <v>45</v>
      </c>
      <c r="O1586" t="s">
        <v>536</v>
      </c>
      <c r="P1586" t="s">
        <v>45</v>
      </c>
      <c r="R1586" t="s">
        <v>7139</v>
      </c>
      <c r="U1586" t="s">
        <v>7140</v>
      </c>
    </row>
    <row r="1587" spans="1:21" x14ac:dyDescent="0.25">
      <c r="A1587" t="s">
        <v>7141</v>
      </c>
      <c r="B1587" t="s">
        <v>22</v>
      </c>
      <c r="C1587" t="s">
        <v>7142</v>
      </c>
      <c r="D1587">
        <f t="shared" si="47"/>
        <v>-805088855</v>
      </c>
      <c r="E1587" t="s">
        <v>7143</v>
      </c>
      <c r="F1587" t="s">
        <v>7066</v>
      </c>
      <c r="G1587" t="s">
        <v>7067</v>
      </c>
      <c r="H1587">
        <v>1.90535545349121</v>
      </c>
      <c r="I1587">
        <v>47.907348193741598</v>
      </c>
      <c r="J1587">
        <v>100</v>
      </c>
      <c r="K1587" t="s">
        <v>45</v>
      </c>
      <c r="L1587" t="s">
        <v>45</v>
      </c>
      <c r="M1587" t="s">
        <v>45</v>
      </c>
      <c r="N1587" t="s">
        <v>45</v>
      </c>
      <c r="O1587" t="s">
        <v>45</v>
      </c>
      <c r="P1587" t="s">
        <v>45</v>
      </c>
      <c r="R1587" t="s">
        <v>7144</v>
      </c>
      <c r="U1587" t="s">
        <v>7145</v>
      </c>
    </row>
    <row r="1588" spans="1:21" x14ac:dyDescent="0.25">
      <c r="A1588" t="s">
        <v>7146</v>
      </c>
      <c r="B1588" t="s">
        <v>22</v>
      </c>
      <c r="C1588" t="s">
        <v>7147</v>
      </c>
      <c r="D1588">
        <f t="shared" si="47"/>
        <v>-805088855</v>
      </c>
      <c r="E1588" t="s">
        <v>7148</v>
      </c>
      <c r="F1588" t="s">
        <v>7066</v>
      </c>
      <c r="G1588" t="s">
        <v>7067</v>
      </c>
      <c r="H1588">
        <v>5.3624739999999997</v>
      </c>
      <c r="I1588">
        <v>43.420316</v>
      </c>
      <c r="J1588">
        <v>100</v>
      </c>
      <c r="K1588" t="s">
        <v>759</v>
      </c>
      <c r="L1588" t="s">
        <v>759</v>
      </c>
      <c r="M1588" t="s">
        <v>759</v>
      </c>
      <c r="N1588" t="s">
        <v>759</v>
      </c>
      <c r="O1588" t="s">
        <v>759</v>
      </c>
      <c r="P1588" t="s">
        <v>759</v>
      </c>
      <c r="Q1588" t="s">
        <v>759</v>
      </c>
      <c r="R1588" t="s">
        <v>7149</v>
      </c>
      <c r="U1588" t="s">
        <v>7150</v>
      </c>
    </row>
    <row r="1589" spans="1:21" x14ac:dyDescent="0.25">
      <c r="A1589" t="s">
        <v>7151</v>
      </c>
      <c r="B1589" t="s">
        <v>38</v>
      </c>
      <c r="C1589" t="s">
        <v>7152</v>
      </c>
      <c r="D1589">
        <f t="shared" si="47"/>
        <v>-805088855</v>
      </c>
      <c r="E1589" t="s">
        <v>7153</v>
      </c>
      <c r="F1589" t="s">
        <v>7066</v>
      </c>
      <c r="G1589" t="s">
        <v>7067</v>
      </c>
      <c r="H1589">
        <v>2.2512819999999998</v>
      </c>
      <c r="I1589">
        <v>48.820798000000003</v>
      </c>
      <c r="J1589">
        <v>100</v>
      </c>
      <c r="K1589" t="s">
        <v>45</v>
      </c>
      <c r="L1589" t="s">
        <v>45</v>
      </c>
      <c r="M1589" t="s">
        <v>45</v>
      </c>
      <c r="N1589" t="s">
        <v>45</v>
      </c>
      <c r="O1589" t="s">
        <v>45</v>
      </c>
      <c r="P1589" t="s">
        <v>45</v>
      </c>
      <c r="R1589" t="s">
        <v>7154</v>
      </c>
      <c r="U1589" t="s">
        <v>7155</v>
      </c>
    </row>
    <row r="1590" spans="1:21" x14ac:dyDescent="0.25">
      <c r="A1590" t="s">
        <v>7156</v>
      </c>
      <c r="B1590" t="s">
        <v>22</v>
      </c>
      <c r="C1590" t="s">
        <v>7157</v>
      </c>
      <c r="D1590">
        <f t="shared" si="47"/>
        <v>-805088855</v>
      </c>
      <c r="E1590" t="s">
        <v>7158</v>
      </c>
      <c r="F1590" t="s">
        <v>7066</v>
      </c>
      <c r="G1590" t="s">
        <v>7067</v>
      </c>
      <c r="H1590">
        <v>6.1796509999999998</v>
      </c>
      <c r="I1590">
        <v>48.689708000000003</v>
      </c>
      <c r="J1590">
        <v>100</v>
      </c>
      <c r="K1590" t="s">
        <v>535</v>
      </c>
      <c r="L1590" t="s">
        <v>184</v>
      </c>
      <c r="M1590" t="s">
        <v>184</v>
      </c>
      <c r="N1590" t="s">
        <v>184</v>
      </c>
      <c r="O1590" t="s">
        <v>184</v>
      </c>
      <c r="P1590" t="s">
        <v>184</v>
      </c>
      <c r="R1590" t="s">
        <v>7159</v>
      </c>
      <c r="U1590" t="s">
        <v>7160</v>
      </c>
    </row>
    <row r="1591" spans="1:21" x14ac:dyDescent="0.25">
      <c r="A1591" t="s">
        <v>7161</v>
      </c>
      <c r="B1591" t="s">
        <v>22</v>
      </c>
      <c r="C1591" t="s">
        <v>7162</v>
      </c>
      <c r="D1591">
        <f t="shared" si="47"/>
        <v>-805088855</v>
      </c>
      <c r="E1591" t="s">
        <v>7163</v>
      </c>
      <c r="F1591" t="s">
        <v>7066</v>
      </c>
      <c r="G1591" t="s">
        <v>7067</v>
      </c>
      <c r="H1591">
        <v>5.037922</v>
      </c>
      <c r="I1591">
        <v>47.322383000000002</v>
      </c>
      <c r="J1591">
        <v>100</v>
      </c>
      <c r="K1591" t="s">
        <v>774</v>
      </c>
      <c r="L1591" t="s">
        <v>774</v>
      </c>
      <c r="M1591" t="s">
        <v>759</v>
      </c>
      <c r="N1591" t="s">
        <v>774</v>
      </c>
      <c r="O1591" t="s">
        <v>774</v>
      </c>
      <c r="P1591" t="s">
        <v>759</v>
      </c>
      <c r="Q1591" t="s">
        <v>717</v>
      </c>
      <c r="R1591" t="s">
        <v>7164</v>
      </c>
      <c r="U1591" t="s">
        <v>7165</v>
      </c>
    </row>
    <row r="1592" spans="1:21" x14ac:dyDescent="0.25">
      <c r="A1592" t="s">
        <v>7166</v>
      </c>
      <c r="B1592" t="s">
        <v>22</v>
      </c>
      <c r="C1592" t="s">
        <v>7167</v>
      </c>
      <c r="D1592">
        <f t="shared" si="47"/>
        <v>-805088855</v>
      </c>
      <c r="E1592" t="s">
        <v>7168</v>
      </c>
      <c r="F1592" t="s">
        <v>7066</v>
      </c>
      <c r="G1592" t="s">
        <v>7067</v>
      </c>
      <c r="H1592">
        <v>4.8053220000000003</v>
      </c>
      <c r="I1592">
        <v>43.946281999999997</v>
      </c>
      <c r="J1592">
        <v>100</v>
      </c>
      <c r="K1592" t="s">
        <v>535</v>
      </c>
      <c r="L1592" t="s">
        <v>535</v>
      </c>
      <c r="M1592" t="s">
        <v>535</v>
      </c>
      <c r="N1592" t="s">
        <v>535</v>
      </c>
      <c r="O1592" t="s">
        <v>535</v>
      </c>
      <c r="P1592" t="s">
        <v>535</v>
      </c>
      <c r="R1592" t="s">
        <v>7169</v>
      </c>
      <c r="U1592" t="s">
        <v>7170</v>
      </c>
    </row>
    <row r="1593" spans="1:21" x14ac:dyDescent="0.25">
      <c r="A1593" t="s">
        <v>7171</v>
      </c>
      <c r="B1593" t="s">
        <v>22</v>
      </c>
      <c r="C1593" t="s">
        <v>7172</v>
      </c>
      <c r="D1593">
        <f t="shared" si="47"/>
        <v>-805088855</v>
      </c>
      <c r="E1593" t="s">
        <v>7148</v>
      </c>
      <c r="F1593" t="s">
        <v>7066</v>
      </c>
      <c r="G1593" t="s">
        <v>7067</v>
      </c>
      <c r="H1593">
        <v>5.3472910000000002</v>
      </c>
      <c r="I1593">
        <v>43.364193999999998</v>
      </c>
      <c r="J1593">
        <v>100</v>
      </c>
      <c r="K1593" t="s">
        <v>185</v>
      </c>
      <c r="L1593" t="s">
        <v>185</v>
      </c>
      <c r="M1593" t="s">
        <v>185</v>
      </c>
      <c r="N1593" t="s">
        <v>185</v>
      </c>
      <c r="O1593" t="s">
        <v>185</v>
      </c>
      <c r="P1593" t="s">
        <v>185</v>
      </c>
      <c r="R1593" t="s">
        <v>7173</v>
      </c>
      <c r="U1593" t="s">
        <v>7174</v>
      </c>
    </row>
    <row r="1594" spans="1:21" x14ac:dyDescent="0.25">
      <c r="A1594" t="s">
        <v>7175</v>
      </c>
      <c r="B1594" t="s">
        <v>38</v>
      </c>
      <c r="C1594" t="s">
        <v>7176</v>
      </c>
      <c r="D1594">
        <f t="shared" si="47"/>
        <v>-805088855</v>
      </c>
      <c r="E1594" t="s">
        <v>7177</v>
      </c>
      <c r="F1594" t="s">
        <v>7066</v>
      </c>
      <c r="G1594" t="s">
        <v>7067</v>
      </c>
      <c r="H1594">
        <v>4.3938649999999999</v>
      </c>
      <c r="I1594">
        <v>45.423014000000002</v>
      </c>
      <c r="J1594">
        <v>100</v>
      </c>
      <c r="K1594" t="s">
        <v>185</v>
      </c>
      <c r="L1594" t="s">
        <v>185</v>
      </c>
      <c r="M1594" t="s">
        <v>185</v>
      </c>
      <c r="N1594" t="s">
        <v>185</v>
      </c>
      <c r="O1594" t="s">
        <v>185</v>
      </c>
      <c r="P1594" t="s">
        <v>185</v>
      </c>
      <c r="R1594" t="s">
        <v>7178</v>
      </c>
      <c r="U1594" t="s">
        <v>7179</v>
      </c>
    </row>
    <row r="1595" spans="1:21" x14ac:dyDescent="0.25">
      <c r="A1595" t="s">
        <v>7180</v>
      </c>
      <c r="B1595" t="s">
        <v>22</v>
      </c>
      <c r="C1595" t="s">
        <v>7181</v>
      </c>
      <c r="D1595">
        <f t="shared" si="47"/>
        <v>-805088855</v>
      </c>
      <c r="E1595" t="s">
        <v>7182</v>
      </c>
      <c r="F1595" t="s">
        <v>7066</v>
      </c>
      <c r="G1595" t="s">
        <v>7067</v>
      </c>
      <c r="H1595">
        <v>5.733015</v>
      </c>
      <c r="I1595">
        <v>45.156810999999998</v>
      </c>
      <c r="J1595">
        <v>100</v>
      </c>
      <c r="K1595" t="s">
        <v>45</v>
      </c>
      <c r="L1595" t="s">
        <v>45</v>
      </c>
      <c r="M1595" t="s">
        <v>45</v>
      </c>
      <c r="N1595" t="s">
        <v>45</v>
      </c>
      <c r="O1595" t="s">
        <v>45</v>
      </c>
      <c r="P1595" t="s">
        <v>45</v>
      </c>
      <c r="R1595" t="s">
        <v>7183</v>
      </c>
      <c r="U1595" t="s">
        <v>7184</v>
      </c>
    </row>
    <row r="1596" spans="1:21" x14ac:dyDescent="0.25">
      <c r="A1596" t="s">
        <v>7185</v>
      </c>
      <c r="B1596" t="s">
        <v>32</v>
      </c>
      <c r="C1596" t="s">
        <v>7186</v>
      </c>
      <c r="D1596">
        <f t="shared" si="47"/>
        <v>-805088855</v>
      </c>
      <c r="E1596" t="s">
        <v>7128</v>
      </c>
      <c r="F1596" t="s">
        <v>7066</v>
      </c>
      <c r="G1596" t="s">
        <v>7067</v>
      </c>
      <c r="H1596">
        <v>-0.57412147521973</v>
      </c>
      <c r="I1596">
        <v>44.8398494118047</v>
      </c>
      <c r="J1596">
        <v>100</v>
      </c>
      <c r="K1596" t="s">
        <v>774</v>
      </c>
      <c r="L1596" t="s">
        <v>774</v>
      </c>
      <c r="M1596" t="s">
        <v>774</v>
      </c>
      <c r="N1596" t="s">
        <v>774</v>
      </c>
      <c r="O1596" t="s">
        <v>774</v>
      </c>
      <c r="P1596" t="s">
        <v>774</v>
      </c>
      <c r="Q1596" t="s">
        <v>717</v>
      </c>
      <c r="R1596" t="s">
        <v>7187</v>
      </c>
      <c r="U1596" t="s">
        <v>7188</v>
      </c>
    </row>
    <row r="1597" spans="1:21" x14ac:dyDescent="0.25">
      <c r="A1597" t="s">
        <v>7189</v>
      </c>
      <c r="B1597" t="s">
        <v>38</v>
      </c>
      <c r="C1597" t="s">
        <v>7190</v>
      </c>
      <c r="D1597">
        <f t="shared" si="47"/>
        <v>-805088855</v>
      </c>
      <c r="E1597" t="s">
        <v>7191</v>
      </c>
      <c r="F1597" t="s">
        <v>7066</v>
      </c>
      <c r="G1597" t="s">
        <v>7067</v>
      </c>
      <c r="H1597">
        <v>-4.4798580000000001</v>
      </c>
      <c r="I1597">
        <v>48.393535999999997</v>
      </c>
      <c r="J1597">
        <v>100</v>
      </c>
      <c r="K1597" t="s">
        <v>774</v>
      </c>
      <c r="L1597" t="s">
        <v>774</v>
      </c>
      <c r="M1597" t="s">
        <v>774</v>
      </c>
      <c r="N1597" t="s">
        <v>774</v>
      </c>
      <c r="O1597" t="s">
        <v>774</v>
      </c>
      <c r="P1597" t="s">
        <v>774</v>
      </c>
      <c r="R1597" t="s">
        <v>7192</v>
      </c>
      <c r="U1597" t="s">
        <v>7193</v>
      </c>
    </row>
    <row r="1598" spans="1:21" x14ac:dyDescent="0.25">
      <c r="A1598" t="s">
        <v>7194</v>
      </c>
      <c r="B1598" t="s">
        <v>38</v>
      </c>
      <c r="C1598" t="s">
        <v>7195</v>
      </c>
      <c r="D1598">
        <f t="shared" si="47"/>
        <v>-805088855</v>
      </c>
      <c r="E1598" t="s">
        <v>7196</v>
      </c>
      <c r="F1598" t="s">
        <v>7066</v>
      </c>
      <c r="G1598" t="s">
        <v>7067</v>
      </c>
      <c r="H1598">
        <v>3.1759500503539999</v>
      </c>
      <c r="I1598">
        <v>50.692665339399902</v>
      </c>
      <c r="J1598">
        <v>100</v>
      </c>
      <c r="K1598" t="s">
        <v>759</v>
      </c>
      <c r="L1598" t="s">
        <v>759</v>
      </c>
      <c r="M1598" t="s">
        <v>759</v>
      </c>
      <c r="N1598" t="s">
        <v>759</v>
      </c>
      <c r="O1598" t="s">
        <v>759</v>
      </c>
      <c r="P1598" t="s">
        <v>759</v>
      </c>
      <c r="R1598" t="s">
        <v>7197</v>
      </c>
      <c r="U1598" t="s">
        <v>7198</v>
      </c>
    </row>
    <row r="1599" spans="1:21" x14ac:dyDescent="0.25">
      <c r="A1599" t="s">
        <v>7199</v>
      </c>
      <c r="B1599" t="s">
        <v>22</v>
      </c>
      <c r="C1599" t="s">
        <v>7200</v>
      </c>
      <c r="D1599">
        <f t="shared" si="47"/>
        <v>-805088855</v>
      </c>
      <c r="E1599" t="s">
        <v>7201</v>
      </c>
      <c r="F1599" t="s">
        <v>7066</v>
      </c>
      <c r="G1599" t="s">
        <v>7067</v>
      </c>
      <c r="H1599">
        <v>-1.632193</v>
      </c>
      <c r="I1599">
        <v>47.223331000000002</v>
      </c>
      <c r="J1599">
        <v>100</v>
      </c>
      <c r="K1599" t="s">
        <v>290</v>
      </c>
      <c r="L1599" t="s">
        <v>290</v>
      </c>
      <c r="M1599" t="s">
        <v>290</v>
      </c>
      <c r="N1599" t="s">
        <v>290</v>
      </c>
      <c r="O1599" t="s">
        <v>290</v>
      </c>
      <c r="P1599" t="s">
        <v>290</v>
      </c>
      <c r="R1599" t="s">
        <v>7202</v>
      </c>
      <c r="U1599" t="s">
        <v>7203</v>
      </c>
    </row>
    <row r="1600" spans="1:21" x14ac:dyDescent="0.25">
      <c r="A1600" t="s">
        <v>7204</v>
      </c>
      <c r="B1600" t="s">
        <v>22</v>
      </c>
      <c r="C1600" t="s">
        <v>7205</v>
      </c>
      <c r="D1600">
        <f t="shared" si="47"/>
        <v>-805088855</v>
      </c>
      <c r="E1600" t="s">
        <v>7072</v>
      </c>
      <c r="F1600" t="s">
        <v>7066</v>
      </c>
      <c r="G1600" t="s">
        <v>7067</v>
      </c>
      <c r="H1600">
        <v>4.8562219999999998</v>
      </c>
      <c r="I1600">
        <v>45.761060999999998</v>
      </c>
      <c r="J1600">
        <v>100</v>
      </c>
      <c r="K1600" t="s">
        <v>185</v>
      </c>
      <c r="L1600" t="s">
        <v>185</v>
      </c>
      <c r="M1600" t="s">
        <v>185</v>
      </c>
      <c r="N1600" t="s">
        <v>185</v>
      </c>
      <c r="O1600" t="s">
        <v>185</v>
      </c>
      <c r="P1600" t="s">
        <v>185</v>
      </c>
      <c r="R1600" t="s">
        <v>7206</v>
      </c>
      <c r="U1600" t="s">
        <v>7207</v>
      </c>
    </row>
    <row r="1601" spans="1:21" x14ac:dyDescent="0.25">
      <c r="A1601" t="s">
        <v>7208</v>
      </c>
      <c r="B1601" t="s">
        <v>22</v>
      </c>
      <c r="C1601" t="s">
        <v>7209</v>
      </c>
      <c r="D1601">
        <f t="shared" si="47"/>
        <v>-805088855</v>
      </c>
      <c r="E1601" t="s">
        <v>7201</v>
      </c>
      <c r="F1601" t="s">
        <v>7066</v>
      </c>
      <c r="G1601" t="s">
        <v>7067</v>
      </c>
      <c r="H1601">
        <v>-1.560826</v>
      </c>
      <c r="I1601">
        <v>47.215910999999998</v>
      </c>
      <c r="J1601">
        <v>100</v>
      </c>
      <c r="K1601" t="s">
        <v>774</v>
      </c>
      <c r="L1601" t="s">
        <v>774</v>
      </c>
      <c r="M1601" t="s">
        <v>774</v>
      </c>
      <c r="N1601" t="s">
        <v>774</v>
      </c>
      <c r="O1601" t="s">
        <v>774</v>
      </c>
      <c r="P1601" t="s">
        <v>774</v>
      </c>
      <c r="R1601" t="s">
        <v>7210</v>
      </c>
      <c r="U1601" t="s">
        <v>7211</v>
      </c>
    </row>
    <row r="1602" spans="1:21" x14ac:dyDescent="0.25">
      <c r="A1602" t="s">
        <v>7212</v>
      </c>
      <c r="B1602" t="s">
        <v>22</v>
      </c>
      <c r="C1602" t="s">
        <v>7213</v>
      </c>
      <c r="D1602">
        <f t="shared" si="47"/>
        <v>-805088855</v>
      </c>
      <c r="E1602" t="s">
        <v>7214</v>
      </c>
      <c r="F1602" t="s">
        <v>7066</v>
      </c>
      <c r="G1602" t="s">
        <v>7067</v>
      </c>
      <c r="H1602">
        <v>4.0286220000000004</v>
      </c>
      <c r="I1602">
        <v>49.253289000000002</v>
      </c>
      <c r="J1602">
        <v>100</v>
      </c>
      <c r="K1602" t="s">
        <v>184</v>
      </c>
      <c r="L1602" t="s">
        <v>184</v>
      </c>
      <c r="M1602" t="s">
        <v>184</v>
      </c>
      <c r="N1602" t="s">
        <v>184</v>
      </c>
      <c r="O1602" t="s">
        <v>184</v>
      </c>
      <c r="P1602" t="s">
        <v>759</v>
      </c>
      <c r="R1602" t="s">
        <v>7215</v>
      </c>
      <c r="U1602" t="s">
        <v>7216</v>
      </c>
    </row>
    <row r="1603" spans="1:21" x14ac:dyDescent="0.25">
      <c r="A1603" t="s">
        <v>7217</v>
      </c>
      <c r="B1603" t="s">
        <v>22</v>
      </c>
      <c r="C1603" t="s">
        <v>7218</v>
      </c>
      <c r="D1603">
        <f t="shared" si="47"/>
        <v>-805088855</v>
      </c>
      <c r="E1603" t="s">
        <v>7219</v>
      </c>
      <c r="F1603" t="s">
        <v>7066</v>
      </c>
      <c r="G1603" t="s">
        <v>7067</v>
      </c>
      <c r="H1603">
        <v>2.4785029999999999</v>
      </c>
      <c r="I1603">
        <v>48.883315000000003</v>
      </c>
      <c r="J1603">
        <v>100</v>
      </c>
      <c r="K1603" t="s">
        <v>1189</v>
      </c>
      <c r="L1603" t="s">
        <v>1189</v>
      </c>
      <c r="M1603" t="s">
        <v>1189</v>
      </c>
      <c r="N1603" t="s">
        <v>1189</v>
      </c>
      <c r="O1603" t="s">
        <v>1189</v>
      </c>
      <c r="P1603" t="s">
        <v>1189</v>
      </c>
      <c r="Q1603" t="s">
        <v>535</v>
      </c>
      <c r="R1603" t="s">
        <v>7220</v>
      </c>
      <c r="U1603" t="s">
        <v>7221</v>
      </c>
    </row>
    <row r="1604" spans="1:21" x14ac:dyDescent="0.25">
      <c r="A1604" t="s">
        <v>7222</v>
      </c>
      <c r="B1604" t="s">
        <v>22</v>
      </c>
      <c r="C1604" t="s">
        <v>7223</v>
      </c>
      <c r="D1604">
        <f t="shared" ref="D1604:D1635" si="48">33-805088888</f>
        <v>-805088855</v>
      </c>
      <c r="E1604" t="s">
        <v>7224</v>
      </c>
      <c r="F1604" t="s">
        <v>7066</v>
      </c>
      <c r="G1604" t="s">
        <v>7067</v>
      </c>
      <c r="H1604">
        <v>2.2200519999999999</v>
      </c>
      <c r="I1604">
        <v>48.781353000000003</v>
      </c>
      <c r="J1604">
        <v>100</v>
      </c>
      <c r="K1604" t="s">
        <v>536</v>
      </c>
      <c r="L1604" t="s">
        <v>536</v>
      </c>
      <c r="M1604" t="s">
        <v>536</v>
      </c>
      <c r="N1604" t="s">
        <v>536</v>
      </c>
      <c r="O1604" t="s">
        <v>536</v>
      </c>
      <c r="P1604" t="s">
        <v>536</v>
      </c>
      <c r="Q1604" t="s">
        <v>536</v>
      </c>
      <c r="R1604" t="s">
        <v>7225</v>
      </c>
      <c r="U1604" t="s">
        <v>7226</v>
      </c>
    </row>
    <row r="1605" spans="1:21" x14ac:dyDescent="0.25">
      <c r="A1605" t="s">
        <v>7227</v>
      </c>
      <c r="B1605" t="s">
        <v>22</v>
      </c>
      <c r="C1605" t="s">
        <v>7228</v>
      </c>
      <c r="D1605">
        <f t="shared" si="48"/>
        <v>-805088855</v>
      </c>
      <c r="E1605" t="s">
        <v>7229</v>
      </c>
      <c r="F1605" t="s">
        <v>7066</v>
      </c>
      <c r="G1605" t="s">
        <v>7067</v>
      </c>
      <c r="H1605">
        <v>2.5466389999999999</v>
      </c>
      <c r="I1605">
        <v>48.614429000000001</v>
      </c>
      <c r="J1605">
        <v>100</v>
      </c>
      <c r="K1605" t="s">
        <v>1189</v>
      </c>
      <c r="L1605" t="s">
        <v>1189</v>
      </c>
      <c r="M1605" t="s">
        <v>1189</v>
      </c>
      <c r="N1605" t="s">
        <v>1189</v>
      </c>
      <c r="O1605" t="s">
        <v>1189</v>
      </c>
      <c r="P1605" t="s">
        <v>1189</v>
      </c>
      <c r="Q1605" t="s">
        <v>717</v>
      </c>
      <c r="R1605" t="s">
        <v>7230</v>
      </c>
      <c r="U1605" t="s">
        <v>7231</v>
      </c>
    </row>
    <row r="1606" spans="1:21" x14ac:dyDescent="0.25">
      <c r="A1606" t="s">
        <v>7232</v>
      </c>
      <c r="B1606" t="s">
        <v>38</v>
      </c>
      <c r="C1606" t="s">
        <v>7233</v>
      </c>
      <c r="D1606">
        <f t="shared" si="48"/>
        <v>-805088855</v>
      </c>
      <c r="E1606" t="s">
        <v>7234</v>
      </c>
      <c r="F1606" t="s">
        <v>7066</v>
      </c>
      <c r="G1606" t="s">
        <v>7067</v>
      </c>
      <c r="H1606">
        <v>5.9949519999999996</v>
      </c>
      <c r="I1606">
        <v>46.228411000000001</v>
      </c>
      <c r="J1606">
        <v>100</v>
      </c>
      <c r="K1606" t="s">
        <v>185</v>
      </c>
      <c r="L1606" t="s">
        <v>185</v>
      </c>
      <c r="M1606" t="s">
        <v>185</v>
      </c>
      <c r="N1606" t="s">
        <v>185</v>
      </c>
      <c r="O1606" t="s">
        <v>185</v>
      </c>
      <c r="P1606" t="s">
        <v>192</v>
      </c>
      <c r="R1606" t="s">
        <v>7235</v>
      </c>
      <c r="U1606" t="s">
        <v>7236</v>
      </c>
    </row>
    <row r="1607" spans="1:21" x14ac:dyDescent="0.25">
      <c r="A1607" t="s">
        <v>7237</v>
      </c>
      <c r="B1607" t="s">
        <v>22</v>
      </c>
      <c r="C1607" t="s">
        <v>7238</v>
      </c>
      <c r="D1607">
        <f t="shared" si="48"/>
        <v>-805088855</v>
      </c>
      <c r="E1607" t="s">
        <v>7239</v>
      </c>
      <c r="F1607" t="s">
        <v>7066</v>
      </c>
      <c r="G1607" t="s">
        <v>7067</v>
      </c>
      <c r="H1607">
        <v>4.3629810000000004</v>
      </c>
      <c r="I1607">
        <v>43.813105</v>
      </c>
      <c r="J1607">
        <v>100</v>
      </c>
      <c r="K1607" t="s">
        <v>185</v>
      </c>
      <c r="L1607" t="s">
        <v>185</v>
      </c>
      <c r="M1607" t="s">
        <v>185</v>
      </c>
      <c r="N1607" t="s">
        <v>185</v>
      </c>
      <c r="O1607" t="s">
        <v>185</v>
      </c>
      <c r="P1607" t="s">
        <v>185</v>
      </c>
      <c r="R1607" t="s">
        <v>7240</v>
      </c>
      <c r="U1607" t="s">
        <v>7241</v>
      </c>
    </row>
    <row r="1608" spans="1:21" x14ac:dyDescent="0.25">
      <c r="A1608" t="s">
        <v>7242</v>
      </c>
      <c r="B1608" t="s">
        <v>22</v>
      </c>
      <c r="C1608" t="s">
        <v>7243</v>
      </c>
      <c r="D1608">
        <f t="shared" si="48"/>
        <v>-805088855</v>
      </c>
      <c r="E1608" t="s">
        <v>7244</v>
      </c>
      <c r="F1608" t="s">
        <v>7066</v>
      </c>
      <c r="G1608" t="s">
        <v>7067</v>
      </c>
      <c r="H1608">
        <v>2.3950200000000001</v>
      </c>
      <c r="I1608">
        <v>47.084887700000003</v>
      </c>
      <c r="J1608">
        <v>100</v>
      </c>
      <c r="K1608" t="s">
        <v>535</v>
      </c>
      <c r="L1608" t="s">
        <v>535</v>
      </c>
      <c r="M1608" t="s">
        <v>774</v>
      </c>
      <c r="N1608" t="s">
        <v>535</v>
      </c>
      <c r="O1608" t="s">
        <v>774</v>
      </c>
      <c r="P1608" t="s">
        <v>774</v>
      </c>
      <c r="R1608" t="s">
        <v>7245</v>
      </c>
      <c r="U1608" t="s">
        <v>7246</v>
      </c>
    </row>
    <row r="1609" spans="1:21" x14ac:dyDescent="0.25">
      <c r="A1609" t="s">
        <v>7247</v>
      </c>
      <c r="B1609" t="s">
        <v>22</v>
      </c>
      <c r="C1609" t="s">
        <v>7248</v>
      </c>
      <c r="D1609">
        <f t="shared" si="48"/>
        <v>-805088855</v>
      </c>
      <c r="E1609" t="s">
        <v>7168</v>
      </c>
      <c r="F1609" t="s">
        <v>7066</v>
      </c>
      <c r="G1609" t="s">
        <v>7067</v>
      </c>
      <c r="H1609">
        <v>4.8649290000000001</v>
      </c>
      <c r="I1609">
        <v>43.922052000000001</v>
      </c>
      <c r="J1609">
        <v>100</v>
      </c>
      <c r="K1609" t="s">
        <v>185</v>
      </c>
      <c r="L1609" t="s">
        <v>185</v>
      </c>
      <c r="M1609" t="s">
        <v>185</v>
      </c>
      <c r="N1609" t="s">
        <v>185</v>
      </c>
      <c r="O1609" t="s">
        <v>185</v>
      </c>
      <c r="P1609" t="s">
        <v>185</v>
      </c>
      <c r="R1609" t="s">
        <v>7249</v>
      </c>
      <c r="U1609" t="s">
        <v>7250</v>
      </c>
    </row>
    <row r="1610" spans="1:21" x14ac:dyDescent="0.25">
      <c r="A1610" t="s">
        <v>7251</v>
      </c>
      <c r="B1610" t="s">
        <v>38</v>
      </c>
      <c r="C1610" t="s">
        <v>7252</v>
      </c>
      <c r="D1610">
        <f t="shared" si="48"/>
        <v>-805088855</v>
      </c>
      <c r="E1610" t="s">
        <v>7253</v>
      </c>
      <c r="F1610" t="s">
        <v>7066</v>
      </c>
      <c r="G1610" t="s">
        <v>7067</v>
      </c>
      <c r="H1610">
        <v>6.1666889999999999</v>
      </c>
      <c r="I1610">
        <v>49.358313000000003</v>
      </c>
      <c r="J1610">
        <v>100</v>
      </c>
      <c r="K1610" t="s">
        <v>184</v>
      </c>
      <c r="L1610" t="s">
        <v>184</v>
      </c>
      <c r="M1610" t="s">
        <v>184</v>
      </c>
      <c r="N1610" t="s">
        <v>184</v>
      </c>
      <c r="O1610" t="s">
        <v>184</v>
      </c>
      <c r="P1610" t="s">
        <v>184</v>
      </c>
      <c r="R1610" t="s">
        <v>7254</v>
      </c>
      <c r="U1610" t="s">
        <v>7255</v>
      </c>
    </row>
    <row r="1611" spans="1:21" x14ac:dyDescent="0.25">
      <c r="A1611" t="s">
        <v>7256</v>
      </c>
      <c r="B1611" t="s">
        <v>22</v>
      </c>
      <c r="C1611" t="s">
        <v>7257</v>
      </c>
      <c r="D1611">
        <f t="shared" si="48"/>
        <v>-805088855</v>
      </c>
      <c r="E1611" t="s">
        <v>7258</v>
      </c>
      <c r="F1611" t="s">
        <v>7066</v>
      </c>
      <c r="G1611" t="s">
        <v>7067</v>
      </c>
      <c r="H1611">
        <v>-0.55410999999999999</v>
      </c>
      <c r="I1611">
        <v>47.471660999999997</v>
      </c>
      <c r="J1611">
        <v>100</v>
      </c>
      <c r="K1611" t="s">
        <v>774</v>
      </c>
      <c r="L1611" t="s">
        <v>774</v>
      </c>
      <c r="M1611" t="s">
        <v>774</v>
      </c>
      <c r="N1611" t="s">
        <v>774</v>
      </c>
      <c r="O1611" t="s">
        <v>774</v>
      </c>
      <c r="P1611" t="s">
        <v>774</v>
      </c>
      <c r="R1611" t="s">
        <v>7259</v>
      </c>
      <c r="U1611" t="s">
        <v>7260</v>
      </c>
    </row>
    <row r="1612" spans="1:21" x14ac:dyDescent="0.25">
      <c r="A1612" t="s">
        <v>7261</v>
      </c>
      <c r="B1612" t="s">
        <v>22</v>
      </c>
      <c r="C1612" t="s">
        <v>7262</v>
      </c>
      <c r="D1612">
        <f t="shared" si="48"/>
        <v>-805088855</v>
      </c>
      <c r="E1612" t="s">
        <v>7263</v>
      </c>
      <c r="F1612" t="s">
        <v>7066</v>
      </c>
      <c r="G1612" t="s">
        <v>7067</v>
      </c>
      <c r="H1612">
        <v>0.19660150000000001</v>
      </c>
      <c r="I1612">
        <v>48.003459900000003</v>
      </c>
      <c r="J1612">
        <v>100</v>
      </c>
      <c r="K1612" t="s">
        <v>774</v>
      </c>
      <c r="L1612" t="s">
        <v>774</v>
      </c>
      <c r="M1612" t="s">
        <v>774</v>
      </c>
      <c r="N1612" t="s">
        <v>774</v>
      </c>
      <c r="O1612" t="s">
        <v>774</v>
      </c>
      <c r="P1612" t="s">
        <v>774</v>
      </c>
      <c r="R1612" t="s">
        <v>7264</v>
      </c>
      <c r="U1612" t="s">
        <v>7265</v>
      </c>
    </row>
    <row r="1613" spans="1:21" x14ac:dyDescent="0.25">
      <c r="A1613" t="s">
        <v>7266</v>
      </c>
      <c r="B1613" t="s">
        <v>22</v>
      </c>
      <c r="C1613" t="s">
        <v>7267</v>
      </c>
      <c r="D1613">
        <f t="shared" si="48"/>
        <v>-805088855</v>
      </c>
      <c r="E1613" t="s">
        <v>7268</v>
      </c>
      <c r="F1613" t="s">
        <v>7066</v>
      </c>
      <c r="G1613" t="s">
        <v>7067</v>
      </c>
      <c r="H1613">
        <v>2.3285619999999998</v>
      </c>
      <c r="I1613">
        <v>48.811354000000001</v>
      </c>
      <c r="J1613">
        <v>100</v>
      </c>
      <c r="K1613" t="s">
        <v>45</v>
      </c>
      <c r="L1613" t="s">
        <v>45</v>
      </c>
      <c r="M1613" t="s">
        <v>45</v>
      </c>
      <c r="N1613" t="s">
        <v>45</v>
      </c>
      <c r="O1613" t="s">
        <v>45</v>
      </c>
      <c r="P1613" t="s">
        <v>45</v>
      </c>
      <c r="R1613" t="s">
        <v>7269</v>
      </c>
      <c r="U1613" t="s">
        <v>7270</v>
      </c>
    </row>
    <row r="1614" spans="1:21" x14ac:dyDescent="0.25">
      <c r="A1614" t="s">
        <v>7271</v>
      </c>
      <c r="B1614" t="s">
        <v>22</v>
      </c>
      <c r="C1614" t="s">
        <v>7272</v>
      </c>
      <c r="D1614">
        <f t="shared" si="48"/>
        <v>-805088855</v>
      </c>
      <c r="E1614" t="s">
        <v>7273</v>
      </c>
      <c r="F1614" t="s">
        <v>7066</v>
      </c>
      <c r="G1614" t="s">
        <v>7067</v>
      </c>
      <c r="H1614">
        <v>1.3711450000000001</v>
      </c>
      <c r="I1614">
        <v>43.644688000000002</v>
      </c>
      <c r="J1614">
        <v>100</v>
      </c>
      <c r="K1614" t="s">
        <v>1434</v>
      </c>
      <c r="L1614" t="s">
        <v>1434</v>
      </c>
      <c r="M1614" t="s">
        <v>1434</v>
      </c>
      <c r="N1614" t="s">
        <v>1434</v>
      </c>
      <c r="O1614" t="s">
        <v>1434</v>
      </c>
      <c r="P1614" t="s">
        <v>1434</v>
      </c>
      <c r="R1614" t="s">
        <v>7274</v>
      </c>
      <c r="U1614" t="s">
        <v>7275</v>
      </c>
    </row>
    <row r="1615" spans="1:21" x14ac:dyDescent="0.25">
      <c r="A1615" t="s">
        <v>7276</v>
      </c>
      <c r="B1615" t="s">
        <v>22</v>
      </c>
      <c r="C1615" t="s">
        <v>7277</v>
      </c>
      <c r="D1615">
        <f t="shared" si="48"/>
        <v>-805088855</v>
      </c>
      <c r="E1615" t="s">
        <v>7278</v>
      </c>
      <c r="F1615" t="s">
        <v>7066</v>
      </c>
      <c r="G1615" t="s">
        <v>7067</v>
      </c>
      <c r="H1615">
        <v>0.67952156066894998</v>
      </c>
      <c r="I1615">
        <v>47.365542360907099</v>
      </c>
      <c r="J1615">
        <v>100</v>
      </c>
      <c r="K1615" t="s">
        <v>45</v>
      </c>
      <c r="L1615" t="s">
        <v>45</v>
      </c>
      <c r="M1615" t="s">
        <v>45</v>
      </c>
      <c r="N1615" t="s">
        <v>45</v>
      </c>
      <c r="O1615" t="s">
        <v>45</v>
      </c>
      <c r="P1615" t="s">
        <v>45</v>
      </c>
      <c r="R1615" t="s">
        <v>7279</v>
      </c>
      <c r="U1615" t="s">
        <v>7280</v>
      </c>
    </row>
    <row r="1616" spans="1:21" x14ac:dyDescent="0.25">
      <c r="A1616" t="s">
        <v>7281</v>
      </c>
      <c r="B1616" t="s">
        <v>22</v>
      </c>
      <c r="C1616" t="s">
        <v>7282</v>
      </c>
      <c r="D1616">
        <f t="shared" si="48"/>
        <v>-805088855</v>
      </c>
      <c r="E1616" t="s">
        <v>7283</v>
      </c>
      <c r="F1616" t="s">
        <v>7066</v>
      </c>
      <c r="G1616" t="s">
        <v>7067</v>
      </c>
      <c r="H1616">
        <v>-1.6776530000000001</v>
      </c>
      <c r="I1616">
        <v>48.114448000000003</v>
      </c>
      <c r="J1616">
        <v>100</v>
      </c>
      <c r="K1616" t="s">
        <v>45</v>
      </c>
      <c r="L1616" t="s">
        <v>45</v>
      </c>
      <c r="M1616" t="s">
        <v>45</v>
      </c>
      <c r="N1616" t="s">
        <v>45</v>
      </c>
      <c r="O1616" t="s">
        <v>45</v>
      </c>
      <c r="P1616" t="s">
        <v>45</v>
      </c>
      <c r="R1616" t="s">
        <v>7284</v>
      </c>
      <c r="S1616" t="s">
        <v>7285</v>
      </c>
      <c r="U1616" t="s">
        <v>7286</v>
      </c>
    </row>
    <row r="1617" spans="1:21" x14ac:dyDescent="0.25">
      <c r="A1617" t="s">
        <v>7287</v>
      </c>
      <c r="B1617" t="s">
        <v>38</v>
      </c>
      <c r="C1617" t="s">
        <v>7288</v>
      </c>
      <c r="D1617">
        <f t="shared" si="48"/>
        <v>-805088855</v>
      </c>
      <c r="E1617" t="s">
        <v>7168</v>
      </c>
      <c r="F1617" t="s">
        <v>7066</v>
      </c>
      <c r="G1617" t="s">
        <v>7067</v>
      </c>
      <c r="H1617">
        <v>4.8648660000000001</v>
      </c>
      <c r="I1617">
        <v>43.922063000000001</v>
      </c>
      <c r="J1617">
        <v>100</v>
      </c>
      <c r="K1617" t="s">
        <v>192</v>
      </c>
      <c r="L1617" t="s">
        <v>192</v>
      </c>
      <c r="M1617" t="s">
        <v>192</v>
      </c>
      <c r="N1617" t="s">
        <v>192</v>
      </c>
      <c r="O1617" t="s">
        <v>192</v>
      </c>
      <c r="P1617" t="s">
        <v>192</v>
      </c>
      <c r="R1617" t="s">
        <v>7289</v>
      </c>
      <c r="U1617" t="s">
        <v>7290</v>
      </c>
    </row>
    <row r="1618" spans="1:21" x14ac:dyDescent="0.25">
      <c r="A1618" t="s">
        <v>7291</v>
      </c>
      <c r="B1618" t="s">
        <v>38</v>
      </c>
      <c r="C1618" t="s">
        <v>7292</v>
      </c>
      <c r="D1618">
        <f t="shared" si="48"/>
        <v>-805088855</v>
      </c>
      <c r="E1618" t="s">
        <v>7293</v>
      </c>
      <c r="F1618" t="s">
        <v>7066</v>
      </c>
      <c r="G1618" t="s">
        <v>7067</v>
      </c>
      <c r="H1618">
        <v>3.5245929999999999</v>
      </c>
      <c r="I1618">
        <v>50.356997999999997</v>
      </c>
      <c r="J1618">
        <v>100</v>
      </c>
      <c r="K1618" t="s">
        <v>759</v>
      </c>
      <c r="L1618" t="s">
        <v>759</v>
      </c>
      <c r="M1618" t="s">
        <v>759</v>
      </c>
      <c r="N1618" t="s">
        <v>759</v>
      </c>
      <c r="O1618" t="s">
        <v>759</v>
      </c>
      <c r="P1618" t="s">
        <v>759</v>
      </c>
      <c r="R1618" t="s">
        <v>7294</v>
      </c>
      <c r="U1618" t="s">
        <v>7295</v>
      </c>
    </row>
    <row r="1619" spans="1:21" x14ac:dyDescent="0.25">
      <c r="A1619" t="s">
        <v>7296</v>
      </c>
      <c r="B1619" t="s">
        <v>22</v>
      </c>
      <c r="C1619" t="s">
        <v>7297</v>
      </c>
      <c r="D1619">
        <f t="shared" si="48"/>
        <v>-805088855</v>
      </c>
      <c r="E1619" t="s">
        <v>7298</v>
      </c>
      <c r="F1619" t="s">
        <v>7066</v>
      </c>
      <c r="G1619" t="s">
        <v>7067</v>
      </c>
      <c r="H1619">
        <v>5.4427659999999998</v>
      </c>
      <c r="I1619">
        <v>43.526319000000001</v>
      </c>
      <c r="J1619">
        <v>100</v>
      </c>
      <c r="K1619" t="s">
        <v>774</v>
      </c>
      <c r="L1619" t="s">
        <v>774</v>
      </c>
      <c r="M1619" t="s">
        <v>774</v>
      </c>
      <c r="N1619" t="s">
        <v>774</v>
      </c>
      <c r="O1619" t="s">
        <v>774</v>
      </c>
      <c r="P1619" t="s">
        <v>774</v>
      </c>
      <c r="Q1619" t="s">
        <v>717</v>
      </c>
      <c r="R1619" t="s">
        <v>7299</v>
      </c>
      <c r="U1619" t="s">
        <v>7300</v>
      </c>
    </row>
    <row r="1620" spans="1:21" x14ac:dyDescent="0.25">
      <c r="A1620" t="s">
        <v>7301</v>
      </c>
      <c r="B1620" t="s">
        <v>22</v>
      </c>
      <c r="C1620" t="s">
        <v>7302</v>
      </c>
      <c r="D1620">
        <f t="shared" si="48"/>
        <v>-805088855</v>
      </c>
      <c r="E1620" t="s">
        <v>7303</v>
      </c>
      <c r="F1620" t="s">
        <v>7066</v>
      </c>
      <c r="G1620" t="s">
        <v>7067</v>
      </c>
      <c r="H1620">
        <v>3.1307049999999998</v>
      </c>
      <c r="I1620">
        <v>50.618783999999998</v>
      </c>
      <c r="J1620">
        <v>100</v>
      </c>
      <c r="K1620" t="s">
        <v>1434</v>
      </c>
      <c r="L1620" t="s">
        <v>1434</v>
      </c>
      <c r="M1620" t="s">
        <v>1434</v>
      </c>
      <c r="N1620" t="s">
        <v>1434</v>
      </c>
      <c r="O1620" t="s">
        <v>1434</v>
      </c>
      <c r="P1620" t="s">
        <v>1434</v>
      </c>
      <c r="R1620" t="s">
        <v>7304</v>
      </c>
      <c r="U1620" t="s">
        <v>7305</v>
      </c>
    </row>
    <row r="1621" spans="1:21" x14ac:dyDescent="0.25">
      <c r="A1621" t="s">
        <v>7306</v>
      </c>
      <c r="B1621" t="s">
        <v>38</v>
      </c>
      <c r="C1621" t="s">
        <v>7307</v>
      </c>
      <c r="D1621">
        <f t="shared" si="48"/>
        <v>-805088855</v>
      </c>
      <c r="E1621" t="s">
        <v>7077</v>
      </c>
      <c r="F1621" t="s">
        <v>7066</v>
      </c>
      <c r="G1621" t="s">
        <v>7067</v>
      </c>
      <c r="H1621">
        <v>2.9786619999999999</v>
      </c>
      <c r="I1621">
        <v>50.651470000000003</v>
      </c>
      <c r="J1621">
        <v>100</v>
      </c>
      <c r="K1621" t="s">
        <v>185</v>
      </c>
      <c r="L1621" t="s">
        <v>185</v>
      </c>
      <c r="M1621" t="s">
        <v>185</v>
      </c>
      <c r="N1621" t="s">
        <v>185</v>
      </c>
      <c r="O1621" t="s">
        <v>185</v>
      </c>
      <c r="P1621" t="s">
        <v>185</v>
      </c>
      <c r="R1621" t="s">
        <v>7308</v>
      </c>
      <c r="U1621" t="s">
        <v>7309</v>
      </c>
    </row>
    <row r="1622" spans="1:21" x14ac:dyDescent="0.25">
      <c r="A1622" t="s">
        <v>7310</v>
      </c>
      <c r="B1622" t="s">
        <v>22</v>
      </c>
      <c r="C1622" t="s">
        <v>7311</v>
      </c>
      <c r="D1622">
        <f t="shared" si="48"/>
        <v>-805088855</v>
      </c>
      <c r="E1622" t="s">
        <v>7312</v>
      </c>
      <c r="F1622" t="s">
        <v>7066</v>
      </c>
      <c r="G1622" t="s">
        <v>7067</v>
      </c>
      <c r="H1622">
        <v>-3.36252</v>
      </c>
      <c r="I1622">
        <v>47.747166</v>
      </c>
      <c r="J1622">
        <v>100</v>
      </c>
      <c r="K1622" t="s">
        <v>774</v>
      </c>
      <c r="L1622" t="s">
        <v>774</v>
      </c>
      <c r="M1622" t="s">
        <v>774</v>
      </c>
      <c r="N1622" t="s">
        <v>774</v>
      </c>
      <c r="O1622" t="s">
        <v>774</v>
      </c>
      <c r="P1622" t="s">
        <v>774</v>
      </c>
      <c r="R1622" t="s">
        <v>7313</v>
      </c>
      <c r="U1622" t="s">
        <v>7314</v>
      </c>
    </row>
    <row r="1623" spans="1:21" x14ac:dyDescent="0.25">
      <c r="A1623" t="s">
        <v>7315</v>
      </c>
      <c r="B1623" t="s">
        <v>22</v>
      </c>
      <c r="C1623" t="s">
        <v>7316</v>
      </c>
      <c r="D1623">
        <f t="shared" si="48"/>
        <v>-805088855</v>
      </c>
      <c r="E1623" t="s">
        <v>7317</v>
      </c>
      <c r="F1623" t="s">
        <v>7066</v>
      </c>
      <c r="G1623" t="s">
        <v>7067</v>
      </c>
      <c r="H1623">
        <v>2.977294921875</v>
      </c>
      <c r="I1623">
        <v>50.413166862757798</v>
      </c>
      <c r="J1623">
        <v>100</v>
      </c>
      <c r="K1623" t="s">
        <v>1434</v>
      </c>
      <c r="L1623" t="s">
        <v>1434</v>
      </c>
      <c r="M1623" t="s">
        <v>1434</v>
      </c>
      <c r="N1623" t="s">
        <v>1434</v>
      </c>
      <c r="O1623" t="s">
        <v>1434</v>
      </c>
      <c r="P1623" t="s">
        <v>1434</v>
      </c>
      <c r="R1623" t="s">
        <v>7318</v>
      </c>
      <c r="U1623" t="s">
        <v>7319</v>
      </c>
    </row>
    <row r="1624" spans="1:21" x14ac:dyDescent="0.25">
      <c r="A1624" t="s">
        <v>7320</v>
      </c>
      <c r="B1624" t="s">
        <v>38</v>
      </c>
      <c r="C1624" t="s">
        <v>7321</v>
      </c>
      <c r="D1624">
        <f t="shared" si="48"/>
        <v>-805088855</v>
      </c>
      <c r="E1624" t="s">
        <v>7322</v>
      </c>
      <c r="F1624" t="s">
        <v>7066</v>
      </c>
      <c r="G1624" t="s">
        <v>7067</v>
      </c>
      <c r="H1624">
        <v>0.37417756124932999</v>
      </c>
      <c r="I1624">
        <v>46.573658399836098</v>
      </c>
      <c r="J1624">
        <v>100</v>
      </c>
      <c r="K1624" t="s">
        <v>759</v>
      </c>
      <c r="L1624" t="s">
        <v>759</v>
      </c>
      <c r="M1624" t="s">
        <v>759</v>
      </c>
      <c r="N1624" t="s">
        <v>759</v>
      </c>
      <c r="O1624" t="s">
        <v>759</v>
      </c>
      <c r="P1624" t="s">
        <v>759</v>
      </c>
      <c r="R1624" t="s">
        <v>7323</v>
      </c>
      <c r="U1624" t="s">
        <v>7324</v>
      </c>
    </row>
    <row r="1625" spans="1:21" x14ac:dyDescent="0.25">
      <c r="A1625" t="s">
        <v>7325</v>
      </c>
      <c r="B1625" t="s">
        <v>22</v>
      </c>
      <c r="C1625" t="s">
        <v>7326</v>
      </c>
      <c r="D1625">
        <f t="shared" si="48"/>
        <v>-805088855</v>
      </c>
      <c r="E1625" t="s">
        <v>7273</v>
      </c>
      <c r="F1625" t="s">
        <v>7066</v>
      </c>
      <c r="G1625" t="s">
        <v>7067</v>
      </c>
      <c r="H1625">
        <v>1.508289</v>
      </c>
      <c r="I1625">
        <v>43.549601000000003</v>
      </c>
      <c r="J1625">
        <v>100</v>
      </c>
      <c r="K1625" t="s">
        <v>185</v>
      </c>
      <c r="L1625" t="s">
        <v>185</v>
      </c>
      <c r="M1625" t="s">
        <v>185</v>
      </c>
      <c r="N1625" t="s">
        <v>185</v>
      </c>
      <c r="O1625" t="s">
        <v>185</v>
      </c>
      <c r="P1625" t="s">
        <v>185</v>
      </c>
      <c r="R1625" t="s">
        <v>7327</v>
      </c>
      <c r="U1625" t="s">
        <v>7328</v>
      </c>
    </row>
    <row r="1626" spans="1:21" x14ac:dyDescent="0.25">
      <c r="A1626" t="s">
        <v>7329</v>
      </c>
      <c r="B1626" t="s">
        <v>32</v>
      </c>
      <c r="C1626" t="s">
        <v>7330</v>
      </c>
      <c r="D1626">
        <f t="shared" si="48"/>
        <v>-805088855</v>
      </c>
      <c r="E1626" t="s">
        <v>7098</v>
      </c>
      <c r="F1626" t="s">
        <v>7066</v>
      </c>
      <c r="G1626" t="s">
        <v>7067</v>
      </c>
      <c r="H1626">
        <v>2.3040600000000002</v>
      </c>
      <c r="I1626">
        <v>48.871442000000002</v>
      </c>
      <c r="J1626">
        <v>100</v>
      </c>
      <c r="K1626" t="s">
        <v>92</v>
      </c>
      <c r="L1626" t="s">
        <v>92</v>
      </c>
      <c r="M1626" t="s">
        <v>92</v>
      </c>
      <c r="N1626" t="s">
        <v>92</v>
      </c>
      <c r="O1626" t="s">
        <v>92</v>
      </c>
      <c r="P1626" t="s">
        <v>92</v>
      </c>
      <c r="Q1626" t="s">
        <v>92</v>
      </c>
      <c r="R1626" t="s">
        <v>7331</v>
      </c>
      <c r="U1626" t="s">
        <v>7332</v>
      </c>
    </row>
    <row r="1627" spans="1:21" x14ac:dyDescent="0.25">
      <c r="A1627" t="s">
        <v>7333</v>
      </c>
      <c r="B1627" t="s">
        <v>22</v>
      </c>
      <c r="C1627" t="s">
        <v>7334</v>
      </c>
      <c r="D1627">
        <f t="shared" si="48"/>
        <v>-805088855</v>
      </c>
      <c r="E1627" t="s">
        <v>7077</v>
      </c>
      <c r="F1627" t="s">
        <v>7066</v>
      </c>
      <c r="G1627" t="s">
        <v>7067</v>
      </c>
      <c r="H1627">
        <v>3.0746269226074201</v>
      </c>
      <c r="I1627">
        <v>50.6377582782833</v>
      </c>
      <c r="J1627">
        <v>100</v>
      </c>
      <c r="R1627" t="s">
        <v>7335</v>
      </c>
      <c r="U1627" t="s">
        <v>7336</v>
      </c>
    </row>
    <row r="1628" spans="1:21" x14ac:dyDescent="0.25">
      <c r="A1628" t="s">
        <v>7337</v>
      </c>
      <c r="B1628" t="s">
        <v>38</v>
      </c>
      <c r="C1628" t="s">
        <v>7338</v>
      </c>
      <c r="D1628">
        <f t="shared" si="48"/>
        <v>-805088855</v>
      </c>
      <c r="E1628" t="s">
        <v>7339</v>
      </c>
      <c r="F1628" t="s">
        <v>7066</v>
      </c>
      <c r="G1628" t="s">
        <v>7067</v>
      </c>
      <c r="H1628">
        <v>0.16214600000000001</v>
      </c>
      <c r="I1628">
        <v>45.649872999999999</v>
      </c>
      <c r="J1628">
        <v>100</v>
      </c>
      <c r="K1628" t="s">
        <v>774</v>
      </c>
      <c r="L1628" t="s">
        <v>774</v>
      </c>
      <c r="M1628" t="s">
        <v>774</v>
      </c>
      <c r="N1628" t="s">
        <v>774</v>
      </c>
      <c r="O1628" t="s">
        <v>774</v>
      </c>
      <c r="P1628" t="s">
        <v>774</v>
      </c>
      <c r="R1628" t="s">
        <v>7340</v>
      </c>
      <c r="U1628" t="s">
        <v>7341</v>
      </c>
    </row>
    <row r="1629" spans="1:21" x14ac:dyDescent="0.25">
      <c r="A1629" t="s">
        <v>7342</v>
      </c>
      <c r="B1629" t="s">
        <v>22</v>
      </c>
      <c r="C1629" t="s">
        <v>7343</v>
      </c>
      <c r="D1629">
        <f t="shared" si="48"/>
        <v>-805088855</v>
      </c>
      <c r="E1629" t="s">
        <v>7344</v>
      </c>
      <c r="F1629" t="s">
        <v>7066</v>
      </c>
      <c r="G1629" t="s">
        <v>7067</v>
      </c>
      <c r="H1629">
        <v>7.7567769999999996</v>
      </c>
      <c r="I1629">
        <v>48.573554000000001</v>
      </c>
      <c r="J1629">
        <v>100</v>
      </c>
      <c r="K1629" t="s">
        <v>45</v>
      </c>
      <c r="L1629" t="s">
        <v>45</v>
      </c>
      <c r="M1629" t="s">
        <v>45</v>
      </c>
      <c r="N1629" t="s">
        <v>45</v>
      </c>
      <c r="O1629" t="s">
        <v>45</v>
      </c>
      <c r="P1629" t="s">
        <v>192</v>
      </c>
      <c r="R1629" t="s">
        <v>7345</v>
      </c>
      <c r="U1629" t="s">
        <v>7346</v>
      </c>
    </row>
    <row r="1630" spans="1:21" x14ac:dyDescent="0.25">
      <c r="A1630" t="s">
        <v>7347</v>
      </c>
      <c r="B1630" t="s">
        <v>38</v>
      </c>
      <c r="C1630" t="s">
        <v>7348</v>
      </c>
      <c r="D1630">
        <f t="shared" si="48"/>
        <v>-805088855</v>
      </c>
      <c r="E1630" t="s">
        <v>7349</v>
      </c>
      <c r="F1630" t="s">
        <v>7066</v>
      </c>
      <c r="G1630" t="s">
        <v>7067</v>
      </c>
      <c r="H1630">
        <v>1.2592699999999999</v>
      </c>
      <c r="I1630">
        <v>45.835791999999998</v>
      </c>
      <c r="J1630">
        <v>100</v>
      </c>
      <c r="K1630" t="s">
        <v>759</v>
      </c>
      <c r="L1630" t="s">
        <v>759</v>
      </c>
      <c r="M1630" t="s">
        <v>759</v>
      </c>
      <c r="N1630" t="s">
        <v>759</v>
      </c>
      <c r="O1630" t="s">
        <v>759</v>
      </c>
      <c r="P1630" t="s">
        <v>759</v>
      </c>
      <c r="R1630" t="s">
        <v>7350</v>
      </c>
      <c r="U1630" t="s">
        <v>7351</v>
      </c>
    </row>
    <row r="1631" spans="1:21" x14ac:dyDescent="0.25">
      <c r="A1631" t="s">
        <v>7352</v>
      </c>
      <c r="B1631" t="s">
        <v>22</v>
      </c>
      <c r="C1631" t="s">
        <v>7353</v>
      </c>
      <c r="D1631">
        <f t="shared" si="48"/>
        <v>-805088855</v>
      </c>
      <c r="E1631" t="s">
        <v>7354</v>
      </c>
      <c r="F1631" t="s">
        <v>7066</v>
      </c>
      <c r="G1631" t="s">
        <v>7067</v>
      </c>
      <c r="H1631">
        <v>5.9192220000000004</v>
      </c>
      <c r="I1631">
        <v>45.566606</v>
      </c>
      <c r="J1631">
        <v>100</v>
      </c>
      <c r="K1631" t="s">
        <v>535</v>
      </c>
      <c r="L1631" t="s">
        <v>535</v>
      </c>
      <c r="M1631" t="s">
        <v>535</v>
      </c>
      <c r="N1631" t="s">
        <v>535</v>
      </c>
      <c r="O1631" t="s">
        <v>535</v>
      </c>
      <c r="P1631" t="s">
        <v>535</v>
      </c>
      <c r="R1631" t="s">
        <v>7355</v>
      </c>
      <c r="U1631" t="s">
        <v>7356</v>
      </c>
    </row>
    <row r="1632" spans="1:21" x14ac:dyDescent="0.25">
      <c r="A1632" t="s">
        <v>7357</v>
      </c>
      <c r="B1632" t="s">
        <v>22</v>
      </c>
      <c r="C1632" t="s">
        <v>7358</v>
      </c>
      <c r="D1632">
        <f t="shared" si="48"/>
        <v>-805088855</v>
      </c>
      <c r="E1632" t="s">
        <v>7201</v>
      </c>
      <c r="F1632" t="s">
        <v>7066</v>
      </c>
      <c r="G1632" t="s">
        <v>7067</v>
      </c>
      <c r="H1632">
        <v>-1.5365390000000001</v>
      </c>
      <c r="I1632">
        <v>47.204358999999997</v>
      </c>
      <c r="J1632">
        <v>100</v>
      </c>
      <c r="K1632" t="s">
        <v>185</v>
      </c>
      <c r="L1632" t="s">
        <v>185</v>
      </c>
      <c r="M1632" t="s">
        <v>185</v>
      </c>
      <c r="N1632" t="s">
        <v>185</v>
      </c>
      <c r="O1632" t="s">
        <v>185</v>
      </c>
      <c r="P1632" t="s">
        <v>185</v>
      </c>
      <c r="R1632" t="s">
        <v>7359</v>
      </c>
      <c r="U1632" t="s">
        <v>7360</v>
      </c>
    </row>
    <row r="1633" spans="1:21" x14ac:dyDescent="0.25">
      <c r="A1633" t="s">
        <v>7361</v>
      </c>
      <c r="B1633" t="s">
        <v>22</v>
      </c>
      <c r="C1633" t="s">
        <v>7362</v>
      </c>
      <c r="D1633">
        <f t="shared" si="48"/>
        <v>-805088855</v>
      </c>
      <c r="E1633" t="s">
        <v>7128</v>
      </c>
      <c r="F1633" t="s">
        <v>7066</v>
      </c>
      <c r="G1633" t="s">
        <v>7067</v>
      </c>
      <c r="H1633">
        <v>-0.659188</v>
      </c>
      <c r="I1633">
        <v>44.828507999999999</v>
      </c>
      <c r="J1633">
        <v>100</v>
      </c>
      <c r="K1633" t="s">
        <v>1434</v>
      </c>
      <c r="L1633" t="s">
        <v>1434</v>
      </c>
      <c r="M1633" t="s">
        <v>1434</v>
      </c>
      <c r="N1633" t="s">
        <v>1434</v>
      </c>
      <c r="O1633" t="s">
        <v>1434</v>
      </c>
      <c r="P1633" t="s">
        <v>1434</v>
      </c>
      <c r="R1633" t="s">
        <v>7363</v>
      </c>
      <c r="U1633" t="s">
        <v>7364</v>
      </c>
    </row>
    <row r="1634" spans="1:21" x14ac:dyDescent="0.25">
      <c r="A1634" t="s">
        <v>7365</v>
      </c>
      <c r="B1634" t="s">
        <v>22</v>
      </c>
      <c r="C1634" t="s">
        <v>7366</v>
      </c>
      <c r="D1634">
        <f t="shared" si="48"/>
        <v>-805088855</v>
      </c>
      <c r="E1634" t="s">
        <v>7278</v>
      </c>
      <c r="F1634" t="s">
        <v>7066</v>
      </c>
      <c r="G1634" t="s">
        <v>7067</v>
      </c>
      <c r="H1634">
        <v>0.69001999999999997</v>
      </c>
      <c r="I1634">
        <v>47.389380000000003</v>
      </c>
      <c r="J1634">
        <v>100</v>
      </c>
      <c r="K1634" t="s">
        <v>774</v>
      </c>
      <c r="L1634" t="s">
        <v>774</v>
      </c>
      <c r="M1634" t="s">
        <v>774</v>
      </c>
      <c r="N1634" t="s">
        <v>774</v>
      </c>
      <c r="O1634" t="s">
        <v>774</v>
      </c>
      <c r="P1634" t="s">
        <v>774</v>
      </c>
      <c r="R1634" t="s">
        <v>7367</v>
      </c>
      <c r="U1634" t="s">
        <v>7368</v>
      </c>
    </row>
    <row r="1635" spans="1:21" x14ac:dyDescent="0.25">
      <c r="A1635" t="s">
        <v>7369</v>
      </c>
      <c r="B1635" t="s">
        <v>22</v>
      </c>
      <c r="C1635" t="s">
        <v>7370</v>
      </c>
      <c r="D1635">
        <f t="shared" si="48"/>
        <v>-805088855</v>
      </c>
      <c r="E1635" t="s">
        <v>7371</v>
      </c>
      <c r="F1635" t="s">
        <v>7066</v>
      </c>
      <c r="G1635" t="s">
        <v>7067</v>
      </c>
      <c r="H1635">
        <v>2.5455589999999999</v>
      </c>
      <c r="I1635">
        <v>48.840040000000002</v>
      </c>
      <c r="J1635">
        <v>100</v>
      </c>
      <c r="K1635" t="s">
        <v>45</v>
      </c>
      <c r="L1635" t="s">
        <v>45</v>
      </c>
      <c r="M1635" t="s">
        <v>45</v>
      </c>
      <c r="N1635" t="s">
        <v>45</v>
      </c>
      <c r="O1635" t="s">
        <v>45</v>
      </c>
      <c r="P1635" t="s">
        <v>45</v>
      </c>
      <c r="R1635" t="s">
        <v>7372</v>
      </c>
      <c r="U1635" t="s">
        <v>7373</v>
      </c>
    </row>
    <row r="1636" spans="1:21" x14ac:dyDescent="0.25">
      <c r="A1636" t="s">
        <v>7374</v>
      </c>
      <c r="B1636" t="s">
        <v>22</v>
      </c>
      <c r="C1636" t="s">
        <v>7375</v>
      </c>
      <c r="D1636">
        <f t="shared" ref="D1636:D1667" si="49">33-805088888</f>
        <v>-805088855</v>
      </c>
      <c r="E1636" t="s">
        <v>7376</v>
      </c>
      <c r="F1636" t="s">
        <v>7066</v>
      </c>
      <c r="G1636" t="s">
        <v>7067</v>
      </c>
      <c r="H1636">
        <v>7.1973979999999997</v>
      </c>
      <c r="I1636">
        <v>43.659945</v>
      </c>
      <c r="J1636">
        <v>100</v>
      </c>
      <c r="K1636" t="s">
        <v>1189</v>
      </c>
      <c r="L1636" t="s">
        <v>1189</v>
      </c>
      <c r="M1636" t="s">
        <v>1189</v>
      </c>
      <c r="N1636" t="s">
        <v>1189</v>
      </c>
      <c r="O1636" t="s">
        <v>1189</v>
      </c>
      <c r="P1636" t="s">
        <v>1189</v>
      </c>
      <c r="Q1636" t="s">
        <v>717</v>
      </c>
      <c r="R1636" t="s">
        <v>7377</v>
      </c>
      <c r="U1636" t="s">
        <v>7378</v>
      </c>
    </row>
    <row r="1637" spans="1:21" x14ac:dyDescent="0.25">
      <c r="A1637" t="s">
        <v>7379</v>
      </c>
      <c r="B1637" t="s">
        <v>22</v>
      </c>
      <c r="C1637" t="s">
        <v>7380</v>
      </c>
      <c r="D1637">
        <f t="shared" si="49"/>
        <v>-805088855</v>
      </c>
      <c r="E1637" t="s">
        <v>7381</v>
      </c>
      <c r="F1637" t="s">
        <v>7066</v>
      </c>
      <c r="G1637" t="s">
        <v>7067</v>
      </c>
      <c r="H1637">
        <v>-1.49987</v>
      </c>
      <c r="I1637">
        <v>43.487299999999998</v>
      </c>
      <c r="J1637">
        <v>100</v>
      </c>
      <c r="K1637" t="s">
        <v>185</v>
      </c>
      <c r="L1637" t="s">
        <v>185</v>
      </c>
      <c r="M1637" t="s">
        <v>185</v>
      </c>
      <c r="N1637" t="s">
        <v>185</v>
      </c>
      <c r="O1637" t="s">
        <v>185</v>
      </c>
      <c r="P1637" t="s">
        <v>185</v>
      </c>
      <c r="R1637" t="s">
        <v>7382</v>
      </c>
      <c r="U1637" t="s">
        <v>7383</v>
      </c>
    </row>
    <row r="1638" spans="1:21" x14ac:dyDescent="0.25">
      <c r="A1638" t="s">
        <v>7384</v>
      </c>
      <c r="B1638" t="s">
        <v>38</v>
      </c>
      <c r="C1638" t="s">
        <v>7385</v>
      </c>
      <c r="D1638">
        <f t="shared" si="49"/>
        <v>-805088855</v>
      </c>
      <c r="E1638" t="s">
        <v>7386</v>
      </c>
      <c r="F1638" t="s">
        <v>7066</v>
      </c>
      <c r="G1638" t="s">
        <v>7067</v>
      </c>
      <c r="H1638">
        <v>0.111675</v>
      </c>
      <c r="I1638">
        <v>49.522241999999999</v>
      </c>
      <c r="J1638">
        <v>100</v>
      </c>
      <c r="K1638" t="s">
        <v>45</v>
      </c>
      <c r="L1638" t="s">
        <v>45</v>
      </c>
      <c r="M1638" t="s">
        <v>45</v>
      </c>
      <c r="N1638" t="s">
        <v>45</v>
      </c>
      <c r="O1638" t="s">
        <v>45</v>
      </c>
      <c r="P1638" t="s">
        <v>45</v>
      </c>
      <c r="Q1638" t="s">
        <v>717</v>
      </c>
      <c r="R1638" t="s">
        <v>7387</v>
      </c>
      <c r="U1638" t="s">
        <v>7388</v>
      </c>
    </row>
    <row r="1639" spans="1:21" x14ac:dyDescent="0.25">
      <c r="A1639" t="s">
        <v>7389</v>
      </c>
      <c r="B1639" t="s">
        <v>22</v>
      </c>
      <c r="C1639" t="s">
        <v>7390</v>
      </c>
      <c r="D1639">
        <f t="shared" si="49"/>
        <v>-805088855</v>
      </c>
      <c r="E1639" t="s">
        <v>7391</v>
      </c>
      <c r="F1639" t="s">
        <v>7066</v>
      </c>
      <c r="G1639" t="s">
        <v>7067</v>
      </c>
      <c r="H1639">
        <v>3.9195730000000002</v>
      </c>
      <c r="I1639">
        <v>43.603665999999997</v>
      </c>
      <c r="J1639">
        <v>100</v>
      </c>
      <c r="K1639" t="s">
        <v>45</v>
      </c>
      <c r="L1639" t="s">
        <v>45</v>
      </c>
      <c r="M1639" t="s">
        <v>45</v>
      </c>
      <c r="N1639" t="s">
        <v>45</v>
      </c>
      <c r="O1639" t="s">
        <v>45</v>
      </c>
      <c r="P1639" t="s">
        <v>45</v>
      </c>
      <c r="R1639" t="s">
        <v>7392</v>
      </c>
      <c r="U1639" t="s">
        <v>7393</v>
      </c>
    </row>
    <row r="1640" spans="1:21" x14ac:dyDescent="0.25">
      <c r="A1640" t="s">
        <v>7394</v>
      </c>
      <c r="B1640" t="s">
        <v>22</v>
      </c>
      <c r="C1640" t="s">
        <v>7395</v>
      </c>
      <c r="D1640">
        <f t="shared" si="49"/>
        <v>-805088855</v>
      </c>
      <c r="E1640" t="s">
        <v>7396</v>
      </c>
      <c r="F1640" t="s">
        <v>7066</v>
      </c>
      <c r="G1640" t="s">
        <v>7067</v>
      </c>
      <c r="H1640">
        <v>3.121499</v>
      </c>
      <c r="I1640">
        <v>45.783068</v>
      </c>
      <c r="J1640">
        <v>100</v>
      </c>
      <c r="K1640" t="s">
        <v>185</v>
      </c>
      <c r="L1640" t="s">
        <v>185</v>
      </c>
      <c r="M1640" t="s">
        <v>185</v>
      </c>
      <c r="N1640" t="s">
        <v>185</v>
      </c>
      <c r="O1640" t="s">
        <v>185</v>
      </c>
      <c r="P1640" t="s">
        <v>185</v>
      </c>
      <c r="R1640" t="s">
        <v>7397</v>
      </c>
      <c r="U1640" t="s">
        <v>7398</v>
      </c>
    </row>
    <row r="1641" spans="1:21" x14ac:dyDescent="0.25">
      <c r="A1641" t="s">
        <v>7399</v>
      </c>
      <c r="B1641" t="s">
        <v>22</v>
      </c>
      <c r="C1641" t="s">
        <v>7400</v>
      </c>
      <c r="D1641">
        <f t="shared" si="49"/>
        <v>-805088855</v>
      </c>
      <c r="E1641" t="s">
        <v>7401</v>
      </c>
      <c r="F1641" t="s">
        <v>7066</v>
      </c>
      <c r="G1641" t="s">
        <v>7067</v>
      </c>
      <c r="H1641">
        <v>6.2317689999999999</v>
      </c>
      <c r="I1641">
        <v>46.181904000000003</v>
      </c>
      <c r="J1641">
        <v>100</v>
      </c>
      <c r="K1641" t="s">
        <v>185</v>
      </c>
      <c r="L1641" t="s">
        <v>185</v>
      </c>
      <c r="M1641" t="s">
        <v>185</v>
      </c>
      <c r="N1641" t="s">
        <v>185</v>
      </c>
      <c r="O1641" t="s">
        <v>185</v>
      </c>
      <c r="P1641" t="s">
        <v>192</v>
      </c>
      <c r="R1641" t="s">
        <v>7402</v>
      </c>
      <c r="U1641" t="s">
        <v>7403</v>
      </c>
    </row>
    <row r="1642" spans="1:21" x14ac:dyDescent="0.25">
      <c r="A1642" t="s">
        <v>7404</v>
      </c>
      <c r="B1642" t="s">
        <v>22</v>
      </c>
      <c r="C1642" t="s">
        <v>7405</v>
      </c>
      <c r="D1642">
        <f t="shared" si="49"/>
        <v>-805088855</v>
      </c>
      <c r="E1642" t="s">
        <v>7148</v>
      </c>
      <c r="F1642" t="s">
        <v>7066</v>
      </c>
      <c r="G1642" t="s">
        <v>7067</v>
      </c>
      <c r="H1642">
        <v>5.3649509999999996</v>
      </c>
      <c r="I1642">
        <v>43.305912999999997</v>
      </c>
      <c r="J1642">
        <v>100</v>
      </c>
      <c r="K1642" t="s">
        <v>45</v>
      </c>
      <c r="L1642" t="s">
        <v>45</v>
      </c>
      <c r="M1642" t="s">
        <v>45</v>
      </c>
      <c r="N1642" t="s">
        <v>45</v>
      </c>
      <c r="O1642" t="s">
        <v>45</v>
      </c>
      <c r="P1642" t="s">
        <v>45</v>
      </c>
      <c r="Q1642" t="s">
        <v>45</v>
      </c>
      <c r="R1642" t="s">
        <v>7406</v>
      </c>
      <c r="U1642" t="s">
        <v>7407</v>
      </c>
    </row>
    <row r="1643" spans="1:21" x14ac:dyDescent="0.25">
      <c r="A1643" t="s">
        <v>7408</v>
      </c>
      <c r="B1643" t="s">
        <v>22</v>
      </c>
      <c r="C1643" t="s">
        <v>7409</v>
      </c>
      <c r="D1643">
        <f t="shared" si="49"/>
        <v>-805088855</v>
      </c>
      <c r="E1643" t="s">
        <v>7410</v>
      </c>
      <c r="F1643" t="s">
        <v>7066</v>
      </c>
      <c r="G1643" t="s">
        <v>7067</v>
      </c>
      <c r="H1643">
        <v>6.0131550000000002</v>
      </c>
      <c r="I1643">
        <v>43.141672</v>
      </c>
      <c r="J1643">
        <v>100</v>
      </c>
      <c r="K1643" t="s">
        <v>45</v>
      </c>
      <c r="L1643" t="s">
        <v>45</v>
      </c>
      <c r="M1643" t="s">
        <v>45</v>
      </c>
      <c r="N1643" t="s">
        <v>45</v>
      </c>
      <c r="O1643" t="s">
        <v>45</v>
      </c>
      <c r="P1643" t="s">
        <v>45</v>
      </c>
      <c r="R1643" t="s">
        <v>7411</v>
      </c>
      <c r="U1643" t="s">
        <v>7412</v>
      </c>
    </row>
    <row r="1644" spans="1:21" x14ac:dyDescent="0.25">
      <c r="A1644" t="s">
        <v>7413</v>
      </c>
      <c r="B1644" t="s">
        <v>38</v>
      </c>
      <c r="C1644" t="s">
        <v>7414</v>
      </c>
      <c r="D1644">
        <f t="shared" si="49"/>
        <v>-805088855</v>
      </c>
      <c r="E1644" t="s">
        <v>7415</v>
      </c>
      <c r="F1644" t="s">
        <v>7066</v>
      </c>
      <c r="G1644" t="s">
        <v>7067</v>
      </c>
      <c r="H1644">
        <v>-2.7601300000000002</v>
      </c>
      <c r="I1644">
        <v>48.511657</v>
      </c>
      <c r="J1644">
        <v>100</v>
      </c>
      <c r="K1644" t="s">
        <v>774</v>
      </c>
      <c r="L1644" t="s">
        <v>774</v>
      </c>
      <c r="M1644" t="s">
        <v>774</v>
      </c>
      <c r="N1644" t="s">
        <v>774</v>
      </c>
      <c r="O1644" t="s">
        <v>774</v>
      </c>
      <c r="P1644" t="s">
        <v>774</v>
      </c>
      <c r="R1644" t="s">
        <v>7416</v>
      </c>
      <c r="U1644" t="s">
        <v>7417</v>
      </c>
    </row>
    <row r="1645" spans="1:21" x14ac:dyDescent="0.25">
      <c r="A1645" t="s">
        <v>7418</v>
      </c>
      <c r="B1645" t="s">
        <v>22</v>
      </c>
      <c r="C1645" t="s">
        <v>7419</v>
      </c>
      <c r="D1645">
        <f t="shared" si="49"/>
        <v>-805088855</v>
      </c>
      <c r="E1645" t="s">
        <v>7420</v>
      </c>
      <c r="F1645" t="s">
        <v>7066</v>
      </c>
      <c r="G1645" t="s">
        <v>7067</v>
      </c>
      <c r="H1645">
        <v>2.2992689999999998</v>
      </c>
      <c r="I1645">
        <v>49.892501000000003</v>
      </c>
      <c r="J1645">
        <v>100</v>
      </c>
      <c r="K1645" t="s">
        <v>774</v>
      </c>
      <c r="L1645" t="s">
        <v>774</v>
      </c>
      <c r="M1645" t="s">
        <v>774</v>
      </c>
      <c r="N1645" t="s">
        <v>774</v>
      </c>
      <c r="O1645" t="s">
        <v>774</v>
      </c>
      <c r="P1645" t="s">
        <v>774</v>
      </c>
      <c r="R1645" t="s">
        <v>7421</v>
      </c>
      <c r="U1645" t="s">
        <v>7422</v>
      </c>
    </row>
    <row r="1646" spans="1:21" x14ac:dyDescent="0.25">
      <c r="A1646" t="s">
        <v>7423</v>
      </c>
      <c r="B1646" t="s">
        <v>22</v>
      </c>
      <c r="C1646" t="s">
        <v>7424</v>
      </c>
      <c r="D1646">
        <f t="shared" si="49"/>
        <v>-805088855</v>
      </c>
      <c r="E1646" t="s">
        <v>7273</v>
      </c>
      <c r="F1646" t="s">
        <v>7066</v>
      </c>
      <c r="G1646" t="s">
        <v>7067</v>
      </c>
      <c r="H1646">
        <v>1.3703989999999999</v>
      </c>
      <c r="I1646">
        <v>43.513578000000003</v>
      </c>
      <c r="J1646">
        <v>100</v>
      </c>
      <c r="K1646" t="s">
        <v>185</v>
      </c>
      <c r="L1646" t="s">
        <v>185</v>
      </c>
      <c r="M1646" t="s">
        <v>185</v>
      </c>
      <c r="N1646" t="s">
        <v>185</v>
      </c>
      <c r="O1646" t="s">
        <v>185</v>
      </c>
      <c r="P1646" t="s">
        <v>1434</v>
      </c>
      <c r="R1646" t="s">
        <v>7425</v>
      </c>
      <c r="U1646" t="s">
        <v>7426</v>
      </c>
    </row>
    <row r="1647" spans="1:21" x14ac:dyDescent="0.25">
      <c r="A1647" t="s">
        <v>7427</v>
      </c>
      <c r="B1647" t="s">
        <v>22</v>
      </c>
      <c r="C1647" t="s">
        <v>7428</v>
      </c>
      <c r="D1647">
        <f t="shared" si="49"/>
        <v>-805088855</v>
      </c>
      <c r="E1647" t="s">
        <v>7429</v>
      </c>
      <c r="F1647" t="s">
        <v>7066</v>
      </c>
      <c r="G1647" t="s">
        <v>7067</v>
      </c>
      <c r="H1647">
        <v>5.9463629999999998</v>
      </c>
      <c r="I1647">
        <v>47.214458999999998</v>
      </c>
      <c r="J1647">
        <v>100</v>
      </c>
      <c r="K1647" t="s">
        <v>185</v>
      </c>
      <c r="L1647" t="s">
        <v>185</v>
      </c>
      <c r="M1647" t="s">
        <v>185</v>
      </c>
      <c r="N1647" t="s">
        <v>185</v>
      </c>
      <c r="O1647" t="s">
        <v>185</v>
      </c>
      <c r="P1647" t="s">
        <v>185</v>
      </c>
      <c r="R1647" t="s">
        <v>7430</v>
      </c>
      <c r="U1647" t="s">
        <v>7431</v>
      </c>
    </row>
    <row r="1648" spans="1:21" x14ac:dyDescent="0.25">
      <c r="A1648" t="s">
        <v>7432</v>
      </c>
      <c r="B1648" t="s">
        <v>38</v>
      </c>
      <c r="C1648" t="s">
        <v>7433</v>
      </c>
      <c r="D1648">
        <f t="shared" si="49"/>
        <v>-805088855</v>
      </c>
      <c r="E1648" t="s">
        <v>7434</v>
      </c>
      <c r="F1648" t="s">
        <v>7066</v>
      </c>
      <c r="G1648" t="s">
        <v>7067</v>
      </c>
      <c r="H1648">
        <v>-2.2086380000000001</v>
      </c>
      <c r="I1648">
        <v>47.276381999999998</v>
      </c>
      <c r="J1648">
        <v>100</v>
      </c>
      <c r="K1648" t="s">
        <v>774</v>
      </c>
      <c r="L1648" t="s">
        <v>774</v>
      </c>
      <c r="M1648" t="s">
        <v>774</v>
      </c>
      <c r="N1648" t="s">
        <v>774</v>
      </c>
      <c r="O1648" t="s">
        <v>774</v>
      </c>
      <c r="P1648" t="s">
        <v>774</v>
      </c>
      <c r="R1648" t="s">
        <v>7435</v>
      </c>
      <c r="U1648" t="s">
        <v>7436</v>
      </c>
    </row>
    <row r="1649" spans="1:21" x14ac:dyDescent="0.25">
      <c r="A1649" t="s">
        <v>7437</v>
      </c>
      <c r="B1649" t="s">
        <v>22</v>
      </c>
      <c r="C1649" t="s">
        <v>7438</v>
      </c>
      <c r="D1649">
        <f t="shared" si="49"/>
        <v>-805088855</v>
      </c>
      <c r="E1649" t="s">
        <v>7118</v>
      </c>
      <c r="F1649" t="s">
        <v>7066</v>
      </c>
      <c r="G1649" t="s">
        <v>7067</v>
      </c>
      <c r="H1649">
        <v>1.0655957999999801</v>
      </c>
      <c r="I1649">
        <v>49.445826099999998</v>
      </c>
      <c r="J1649">
        <v>100</v>
      </c>
      <c r="K1649" t="s">
        <v>45</v>
      </c>
      <c r="L1649" t="s">
        <v>45</v>
      </c>
      <c r="M1649" t="s">
        <v>45</v>
      </c>
      <c r="N1649" t="s">
        <v>45</v>
      </c>
      <c r="O1649" t="s">
        <v>45</v>
      </c>
      <c r="P1649" t="s">
        <v>45</v>
      </c>
      <c r="R1649" t="s">
        <v>7439</v>
      </c>
      <c r="U1649" t="s">
        <v>7440</v>
      </c>
    </row>
    <row r="1650" spans="1:21" x14ac:dyDescent="0.25">
      <c r="A1650" t="s">
        <v>7441</v>
      </c>
      <c r="B1650" t="s">
        <v>22</v>
      </c>
      <c r="C1650" t="s">
        <v>7442</v>
      </c>
      <c r="D1650">
        <f t="shared" si="49"/>
        <v>-805088855</v>
      </c>
      <c r="E1650" t="s">
        <v>7443</v>
      </c>
      <c r="F1650" t="s">
        <v>7066</v>
      </c>
      <c r="G1650" t="s">
        <v>7067</v>
      </c>
      <c r="H1650">
        <v>2.3628809999999998</v>
      </c>
      <c r="I1650">
        <v>48.811827000000001</v>
      </c>
      <c r="J1650">
        <v>100</v>
      </c>
      <c r="K1650" t="s">
        <v>45</v>
      </c>
      <c r="L1650" t="s">
        <v>45</v>
      </c>
      <c r="M1650" t="s">
        <v>45</v>
      </c>
      <c r="N1650" t="s">
        <v>45</v>
      </c>
      <c r="O1650" t="s">
        <v>45</v>
      </c>
      <c r="P1650" t="s">
        <v>45</v>
      </c>
      <c r="R1650" t="s">
        <v>7444</v>
      </c>
      <c r="U1650" t="s">
        <v>7445</v>
      </c>
    </row>
    <row r="1651" spans="1:21" x14ac:dyDescent="0.25">
      <c r="A1651" t="s">
        <v>7446</v>
      </c>
      <c r="B1651" t="s">
        <v>38</v>
      </c>
      <c r="C1651" t="s">
        <v>7447</v>
      </c>
      <c r="D1651">
        <f t="shared" si="49"/>
        <v>-805088855</v>
      </c>
      <c r="E1651" t="s">
        <v>7448</v>
      </c>
      <c r="F1651" t="s">
        <v>7066</v>
      </c>
      <c r="G1651" t="s">
        <v>7067</v>
      </c>
      <c r="H1651">
        <v>4.9206200000000004</v>
      </c>
      <c r="I1651">
        <v>45.764223000000001</v>
      </c>
      <c r="J1651">
        <v>100</v>
      </c>
      <c r="K1651" t="s">
        <v>45</v>
      </c>
      <c r="L1651" t="s">
        <v>45</v>
      </c>
      <c r="M1651" t="s">
        <v>45</v>
      </c>
      <c r="N1651" t="s">
        <v>45</v>
      </c>
      <c r="O1651" t="s">
        <v>45</v>
      </c>
      <c r="P1651" t="s">
        <v>45</v>
      </c>
      <c r="R1651" t="s">
        <v>7449</v>
      </c>
      <c r="U1651" t="s">
        <v>7450</v>
      </c>
    </row>
    <row r="1652" spans="1:21" x14ac:dyDescent="0.25">
      <c r="A1652" t="s">
        <v>7451</v>
      </c>
      <c r="B1652" t="s">
        <v>22</v>
      </c>
      <c r="C1652" t="s">
        <v>7452</v>
      </c>
      <c r="D1652">
        <f t="shared" si="49"/>
        <v>-805088855</v>
      </c>
      <c r="E1652" t="s">
        <v>7453</v>
      </c>
      <c r="F1652" t="s">
        <v>7066</v>
      </c>
      <c r="G1652" t="s">
        <v>7067</v>
      </c>
      <c r="H1652">
        <v>4.8908619</v>
      </c>
      <c r="I1652">
        <v>44.9295501</v>
      </c>
      <c r="J1652">
        <v>100</v>
      </c>
      <c r="K1652" t="s">
        <v>184</v>
      </c>
      <c r="L1652" t="s">
        <v>184</v>
      </c>
      <c r="M1652" t="s">
        <v>184</v>
      </c>
      <c r="N1652" t="s">
        <v>184</v>
      </c>
      <c r="O1652" t="s">
        <v>184</v>
      </c>
      <c r="P1652" t="s">
        <v>184</v>
      </c>
      <c r="R1652" t="s">
        <v>7454</v>
      </c>
      <c r="U1652" t="s">
        <v>7455</v>
      </c>
    </row>
    <row r="1653" spans="1:21" x14ac:dyDescent="0.25">
      <c r="A1653" t="s">
        <v>7456</v>
      </c>
      <c r="B1653" t="s">
        <v>32</v>
      </c>
      <c r="C1653" t="s">
        <v>7457</v>
      </c>
      <c r="D1653">
        <f t="shared" si="49"/>
        <v>-805088855</v>
      </c>
      <c r="E1653" t="s">
        <v>7098</v>
      </c>
      <c r="F1653" t="s">
        <v>7066</v>
      </c>
      <c r="G1653" t="s">
        <v>7067</v>
      </c>
      <c r="H1653">
        <v>2.3334145545959499</v>
      </c>
      <c r="I1653">
        <v>48.873366936513598</v>
      </c>
      <c r="J1653">
        <v>100</v>
      </c>
      <c r="K1653" t="s">
        <v>1434</v>
      </c>
      <c r="L1653" t="s">
        <v>1434</v>
      </c>
      <c r="M1653" t="s">
        <v>1434</v>
      </c>
      <c r="N1653" t="s">
        <v>1434</v>
      </c>
      <c r="O1653" t="s">
        <v>1434</v>
      </c>
      <c r="P1653" t="s">
        <v>1434</v>
      </c>
      <c r="Q1653" t="s">
        <v>535</v>
      </c>
      <c r="R1653" t="s">
        <v>7458</v>
      </c>
      <c r="U1653" t="s">
        <v>7459</v>
      </c>
    </row>
    <row r="1654" spans="1:21" x14ac:dyDescent="0.25">
      <c r="A1654" t="s">
        <v>7460</v>
      </c>
      <c r="B1654" t="s">
        <v>38</v>
      </c>
      <c r="C1654" t="s">
        <v>7461</v>
      </c>
      <c r="D1654">
        <f t="shared" si="49"/>
        <v>-805088855</v>
      </c>
      <c r="E1654" t="s">
        <v>7462</v>
      </c>
      <c r="F1654" t="s">
        <v>7066</v>
      </c>
      <c r="G1654" t="s">
        <v>7067</v>
      </c>
      <c r="H1654">
        <v>-0.38302999999999998</v>
      </c>
      <c r="I1654">
        <v>46.340674999999997</v>
      </c>
      <c r="J1654">
        <v>100</v>
      </c>
      <c r="K1654" t="s">
        <v>185</v>
      </c>
      <c r="L1654" t="s">
        <v>185</v>
      </c>
      <c r="M1654" t="s">
        <v>185</v>
      </c>
      <c r="N1654" t="s">
        <v>185</v>
      </c>
      <c r="O1654" t="s">
        <v>185</v>
      </c>
      <c r="P1654" t="s">
        <v>185</v>
      </c>
      <c r="R1654" t="s">
        <v>7463</v>
      </c>
      <c r="U1654" t="s">
        <v>7464</v>
      </c>
    </row>
    <row r="1655" spans="1:21" x14ac:dyDescent="0.25">
      <c r="A1655" t="s">
        <v>7465</v>
      </c>
      <c r="B1655" t="s">
        <v>38</v>
      </c>
      <c r="C1655" t="s">
        <v>7466</v>
      </c>
      <c r="D1655">
        <f t="shared" si="49"/>
        <v>-805088855</v>
      </c>
      <c r="E1655" t="s">
        <v>7467</v>
      </c>
      <c r="F1655" t="s">
        <v>7066</v>
      </c>
      <c r="G1655" t="s">
        <v>7067</v>
      </c>
      <c r="H1655">
        <v>-0.88358300000000001</v>
      </c>
      <c r="I1655">
        <v>47.061520000000002</v>
      </c>
      <c r="J1655">
        <v>100</v>
      </c>
      <c r="K1655" t="s">
        <v>45</v>
      </c>
      <c r="L1655" t="s">
        <v>45</v>
      </c>
      <c r="M1655" t="s">
        <v>45</v>
      </c>
      <c r="N1655" t="s">
        <v>45</v>
      </c>
      <c r="O1655" t="s">
        <v>45</v>
      </c>
      <c r="P1655" t="s">
        <v>45</v>
      </c>
      <c r="R1655" t="s">
        <v>7468</v>
      </c>
      <c r="U1655" t="s">
        <v>7469</v>
      </c>
    </row>
    <row r="1656" spans="1:21" x14ac:dyDescent="0.25">
      <c r="A1656" t="s">
        <v>7470</v>
      </c>
      <c r="B1656" t="s">
        <v>22</v>
      </c>
      <c r="C1656" t="s">
        <v>7471</v>
      </c>
      <c r="D1656">
        <f t="shared" si="49"/>
        <v>-805088855</v>
      </c>
      <c r="E1656" t="s">
        <v>7472</v>
      </c>
      <c r="F1656" t="s">
        <v>7066</v>
      </c>
      <c r="G1656" t="s">
        <v>7067</v>
      </c>
      <c r="H1656">
        <v>-1.4324699999999999</v>
      </c>
      <c r="I1656">
        <v>46.701031999999998</v>
      </c>
      <c r="J1656">
        <v>100</v>
      </c>
      <c r="K1656" t="s">
        <v>759</v>
      </c>
      <c r="L1656" t="s">
        <v>759</v>
      </c>
      <c r="M1656" t="s">
        <v>759</v>
      </c>
      <c r="N1656" t="s">
        <v>759</v>
      </c>
      <c r="O1656" t="s">
        <v>759</v>
      </c>
      <c r="P1656" t="s">
        <v>759</v>
      </c>
      <c r="R1656" t="s">
        <v>7473</v>
      </c>
      <c r="U1656" t="s">
        <v>7474</v>
      </c>
    </row>
    <row r="1657" spans="1:21" x14ac:dyDescent="0.25">
      <c r="A1657" t="s">
        <v>7475</v>
      </c>
      <c r="B1657" t="s">
        <v>22</v>
      </c>
      <c r="C1657" t="s">
        <v>7476</v>
      </c>
      <c r="D1657">
        <f t="shared" si="49"/>
        <v>-805088855</v>
      </c>
      <c r="E1657" t="s">
        <v>7273</v>
      </c>
      <c r="F1657" t="s">
        <v>7066</v>
      </c>
      <c r="G1657" t="s">
        <v>7067</v>
      </c>
      <c r="H1657">
        <v>1.4846710000000001</v>
      </c>
      <c r="I1657">
        <v>43.631124</v>
      </c>
      <c r="J1657">
        <v>100</v>
      </c>
      <c r="K1657" t="s">
        <v>185</v>
      </c>
      <c r="L1657" t="s">
        <v>185</v>
      </c>
      <c r="M1657" t="s">
        <v>185</v>
      </c>
      <c r="N1657" t="s">
        <v>185</v>
      </c>
      <c r="O1657" t="s">
        <v>185</v>
      </c>
      <c r="P1657" t="s">
        <v>185</v>
      </c>
      <c r="R1657" t="s">
        <v>7477</v>
      </c>
      <c r="U1657" t="s">
        <v>7478</v>
      </c>
    </row>
    <row r="1658" spans="1:21" x14ac:dyDescent="0.25">
      <c r="A1658" t="s">
        <v>7479</v>
      </c>
      <c r="B1658" t="s">
        <v>38</v>
      </c>
      <c r="C1658" t="s">
        <v>7480</v>
      </c>
      <c r="D1658">
        <f t="shared" si="49"/>
        <v>-805088855</v>
      </c>
      <c r="E1658" t="s">
        <v>7263</v>
      </c>
      <c r="F1658" t="s">
        <v>7066</v>
      </c>
      <c r="G1658" t="s">
        <v>7067</v>
      </c>
      <c r="H1658">
        <v>0.17459123433127</v>
      </c>
      <c r="I1658">
        <v>48.042647596638403</v>
      </c>
      <c r="J1658">
        <v>100</v>
      </c>
      <c r="K1658" t="s">
        <v>185</v>
      </c>
      <c r="L1658" t="s">
        <v>185</v>
      </c>
      <c r="M1658" t="s">
        <v>185</v>
      </c>
      <c r="N1658" t="s">
        <v>185</v>
      </c>
      <c r="O1658" t="s">
        <v>185</v>
      </c>
      <c r="P1658" t="s">
        <v>185</v>
      </c>
      <c r="R1658" t="s">
        <v>7481</v>
      </c>
      <c r="U1658" t="s">
        <v>7482</v>
      </c>
    </row>
    <row r="1659" spans="1:21" x14ac:dyDescent="0.25">
      <c r="A1659" t="s">
        <v>7483</v>
      </c>
      <c r="B1659" t="s">
        <v>22</v>
      </c>
      <c r="C1659" t="s">
        <v>7484</v>
      </c>
      <c r="D1659">
        <f t="shared" si="49"/>
        <v>-805088855</v>
      </c>
      <c r="E1659" t="s">
        <v>7182</v>
      </c>
      <c r="F1659" t="s">
        <v>7066</v>
      </c>
      <c r="G1659" t="s">
        <v>7067</v>
      </c>
      <c r="H1659">
        <v>5.7253819999999997</v>
      </c>
      <c r="I1659">
        <v>45.184584999999998</v>
      </c>
      <c r="J1659">
        <v>100</v>
      </c>
      <c r="K1659" t="s">
        <v>774</v>
      </c>
      <c r="L1659" t="s">
        <v>774</v>
      </c>
      <c r="M1659" t="s">
        <v>774</v>
      </c>
      <c r="N1659" t="s">
        <v>774</v>
      </c>
      <c r="O1659" t="s">
        <v>774</v>
      </c>
      <c r="P1659" t="s">
        <v>774</v>
      </c>
      <c r="R1659" t="s">
        <v>7485</v>
      </c>
      <c r="U1659" t="s">
        <v>7486</v>
      </c>
    </row>
    <row r="1660" spans="1:21" x14ac:dyDescent="0.25">
      <c r="A1660" t="s">
        <v>7487</v>
      </c>
      <c r="B1660" t="s">
        <v>38</v>
      </c>
      <c r="C1660" t="s">
        <v>7488</v>
      </c>
      <c r="D1660">
        <f t="shared" si="49"/>
        <v>-805088855</v>
      </c>
      <c r="E1660" t="s">
        <v>7489</v>
      </c>
      <c r="F1660" t="s">
        <v>7066</v>
      </c>
      <c r="G1660" t="s">
        <v>7067</v>
      </c>
      <c r="H1660">
        <v>5.2408669999999997</v>
      </c>
      <c r="I1660">
        <v>46.221423000000001</v>
      </c>
      <c r="J1660">
        <v>100</v>
      </c>
      <c r="K1660" t="s">
        <v>185</v>
      </c>
      <c r="L1660" t="s">
        <v>185</v>
      </c>
      <c r="M1660" t="s">
        <v>185</v>
      </c>
      <c r="N1660" t="s">
        <v>185</v>
      </c>
      <c r="O1660" t="s">
        <v>185</v>
      </c>
      <c r="P1660" t="s">
        <v>185</v>
      </c>
      <c r="R1660" t="s">
        <v>7490</v>
      </c>
      <c r="U1660" t="s">
        <v>7491</v>
      </c>
    </row>
    <row r="1661" spans="1:21" x14ac:dyDescent="0.25">
      <c r="A1661" t="s">
        <v>7492</v>
      </c>
      <c r="B1661" t="s">
        <v>38</v>
      </c>
      <c r="C1661" t="s">
        <v>7493</v>
      </c>
      <c r="D1661">
        <f t="shared" si="49"/>
        <v>-805088855</v>
      </c>
      <c r="E1661" t="s">
        <v>7494</v>
      </c>
      <c r="F1661" t="s">
        <v>7066</v>
      </c>
      <c r="G1661" t="s">
        <v>7067</v>
      </c>
      <c r="H1661">
        <v>1.3692740000000001</v>
      </c>
      <c r="I1661">
        <v>44.031025</v>
      </c>
      <c r="J1661">
        <v>100</v>
      </c>
      <c r="K1661" t="s">
        <v>759</v>
      </c>
      <c r="L1661" t="s">
        <v>759</v>
      </c>
      <c r="M1661" t="s">
        <v>759</v>
      </c>
      <c r="N1661" t="s">
        <v>759</v>
      </c>
      <c r="O1661" t="s">
        <v>759</v>
      </c>
      <c r="P1661" t="s">
        <v>759</v>
      </c>
      <c r="R1661" t="s">
        <v>7495</v>
      </c>
      <c r="U1661" t="s">
        <v>7496</v>
      </c>
    </row>
    <row r="1662" spans="1:21" x14ac:dyDescent="0.25">
      <c r="A1662" t="s">
        <v>7497</v>
      </c>
      <c r="B1662" t="s">
        <v>38</v>
      </c>
      <c r="C1662" t="s">
        <v>7498</v>
      </c>
      <c r="D1662">
        <f t="shared" si="49"/>
        <v>-805088855</v>
      </c>
      <c r="E1662" t="s">
        <v>7499</v>
      </c>
      <c r="F1662" t="s">
        <v>7066</v>
      </c>
      <c r="G1662" t="s">
        <v>7067</v>
      </c>
      <c r="H1662">
        <v>3.1598865237151599</v>
      </c>
      <c r="I1662">
        <v>46.994165566035797</v>
      </c>
      <c r="J1662">
        <v>100</v>
      </c>
      <c r="K1662" t="s">
        <v>535</v>
      </c>
      <c r="L1662" t="s">
        <v>535</v>
      </c>
      <c r="M1662" t="s">
        <v>535</v>
      </c>
      <c r="N1662" t="s">
        <v>535</v>
      </c>
      <c r="O1662" t="s">
        <v>535</v>
      </c>
      <c r="P1662" t="s">
        <v>535</v>
      </c>
      <c r="R1662" t="s">
        <v>7500</v>
      </c>
      <c r="U1662" t="s">
        <v>7501</v>
      </c>
    </row>
    <row r="1663" spans="1:21" x14ac:dyDescent="0.25">
      <c r="A1663" t="s">
        <v>7502</v>
      </c>
      <c r="B1663" t="s">
        <v>38</v>
      </c>
      <c r="C1663" t="s">
        <v>7503</v>
      </c>
      <c r="D1663">
        <f t="shared" si="49"/>
        <v>-805088855</v>
      </c>
      <c r="E1663" t="s">
        <v>7504</v>
      </c>
      <c r="F1663" t="s">
        <v>7066</v>
      </c>
      <c r="G1663" t="s">
        <v>7067</v>
      </c>
      <c r="H1663">
        <v>-0.241142</v>
      </c>
      <c r="I1663">
        <v>44.916038</v>
      </c>
      <c r="J1663">
        <v>100</v>
      </c>
      <c r="K1663" t="s">
        <v>535</v>
      </c>
      <c r="L1663" t="s">
        <v>535</v>
      </c>
      <c r="M1663" t="s">
        <v>535</v>
      </c>
      <c r="N1663" t="s">
        <v>535</v>
      </c>
      <c r="O1663" t="s">
        <v>535</v>
      </c>
      <c r="P1663" t="s">
        <v>535</v>
      </c>
      <c r="R1663" t="s">
        <v>7505</v>
      </c>
      <c r="U1663" t="s">
        <v>7506</v>
      </c>
    </row>
    <row r="1664" spans="1:21" x14ac:dyDescent="0.25">
      <c r="A1664" t="s">
        <v>7507</v>
      </c>
      <c r="B1664" t="s">
        <v>22</v>
      </c>
      <c r="C1664" t="s">
        <v>7508</v>
      </c>
      <c r="D1664">
        <f t="shared" si="49"/>
        <v>-805088855</v>
      </c>
      <c r="E1664" t="s">
        <v>7191</v>
      </c>
      <c r="F1664" t="s">
        <v>7066</v>
      </c>
      <c r="G1664" t="s">
        <v>7067</v>
      </c>
      <c r="H1664">
        <v>-4.4657739999999997</v>
      </c>
      <c r="I1664">
        <v>48.408802000000001</v>
      </c>
      <c r="J1664">
        <v>100</v>
      </c>
      <c r="K1664" t="s">
        <v>185</v>
      </c>
      <c r="L1664" t="s">
        <v>185</v>
      </c>
      <c r="M1664" t="s">
        <v>185</v>
      </c>
      <c r="N1664" t="s">
        <v>185</v>
      </c>
      <c r="O1664" t="s">
        <v>185</v>
      </c>
      <c r="P1664" t="s">
        <v>192</v>
      </c>
      <c r="R1664" t="s">
        <v>7509</v>
      </c>
      <c r="U1664" t="s">
        <v>7510</v>
      </c>
    </row>
    <row r="1665" spans="1:21" x14ac:dyDescent="0.25">
      <c r="A1665" t="s">
        <v>7511</v>
      </c>
      <c r="B1665" t="s">
        <v>38</v>
      </c>
      <c r="C1665" t="s">
        <v>7512</v>
      </c>
      <c r="D1665">
        <f t="shared" si="49"/>
        <v>-805088855</v>
      </c>
      <c r="E1665" t="s">
        <v>7513</v>
      </c>
      <c r="F1665" t="s">
        <v>7066</v>
      </c>
      <c r="G1665" t="s">
        <v>7067</v>
      </c>
      <c r="H1665">
        <v>2.556022</v>
      </c>
      <c r="I1665">
        <v>48.795549999999999</v>
      </c>
      <c r="J1665">
        <v>100</v>
      </c>
      <c r="K1665" t="s">
        <v>1434</v>
      </c>
      <c r="L1665" t="s">
        <v>1434</v>
      </c>
      <c r="M1665" t="s">
        <v>1434</v>
      </c>
      <c r="N1665" t="s">
        <v>1434</v>
      </c>
      <c r="O1665" t="s">
        <v>1434</v>
      </c>
      <c r="P1665" t="s">
        <v>1434</v>
      </c>
      <c r="R1665" t="s">
        <v>7514</v>
      </c>
      <c r="U1665" t="s">
        <v>7515</v>
      </c>
    </row>
    <row r="1666" spans="1:21" x14ac:dyDescent="0.25">
      <c r="A1666" t="s">
        <v>7516</v>
      </c>
      <c r="B1666" t="s">
        <v>22</v>
      </c>
      <c r="C1666" t="s">
        <v>7517</v>
      </c>
      <c r="D1666">
        <f t="shared" si="49"/>
        <v>-805088855</v>
      </c>
      <c r="E1666" t="s">
        <v>7148</v>
      </c>
      <c r="F1666" t="s">
        <v>7066</v>
      </c>
      <c r="G1666" t="s">
        <v>7067</v>
      </c>
      <c r="H1666">
        <v>5.4777769999999997</v>
      </c>
      <c r="I1666">
        <v>43.294781999999998</v>
      </c>
      <c r="J1666">
        <v>100</v>
      </c>
      <c r="K1666" t="s">
        <v>192</v>
      </c>
      <c r="L1666" t="s">
        <v>192</v>
      </c>
      <c r="M1666" t="s">
        <v>192</v>
      </c>
      <c r="N1666" t="s">
        <v>192</v>
      </c>
      <c r="O1666" t="s">
        <v>192</v>
      </c>
      <c r="P1666" t="s">
        <v>192</v>
      </c>
      <c r="R1666" t="s">
        <v>7518</v>
      </c>
      <c r="U1666" t="s">
        <v>7519</v>
      </c>
    </row>
    <row r="1667" spans="1:21" x14ac:dyDescent="0.25">
      <c r="A1667" t="s">
        <v>7520</v>
      </c>
      <c r="B1667" t="s">
        <v>38</v>
      </c>
      <c r="C1667" t="s">
        <v>7521</v>
      </c>
      <c r="D1667">
        <f t="shared" si="49"/>
        <v>-805088855</v>
      </c>
      <c r="E1667" t="s">
        <v>7522</v>
      </c>
      <c r="F1667" t="s">
        <v>7066</v>
      </c>
      <c r="G1667" t="s">
        <v>7067</v>
      </c>
      <c r="H1667">
        <v>2.3744070000000002</v>
      </c>
      <c r="I1667">
        <v>48.985790000000001</v>
      </c>
      <c r="J1667">
        <v>100</v>
      </c>
      <c r="K1667" t="s">
        <v>45</v>
      </c>
      <c r="L1667" t="s">
        <v>45</v>
      </c>
      <c r="M1667" t="s">
        <v>45</v>
      </c>
      <c r="N1667" t="s">
        <v>45</v>
      </c>
      <c r="O1667" t="s">
        <v>45</v>
      </c>
      <c r="P1667" t="s">
        <v>45</v>
      </c>
      <c r="R1667" t="s">
        <v>7523</v>
      </c>
      <c r="U1667" t="s">
        <v>7524</v>
      </c>
    </row>
    <row r="1668" spans="1:21" x14ac:dyDescent="0.25">
      <c r="A1668" t="s">
        <v>7525</v>
      </c>
      <c r="B1668" t="s">
        <v>22</v>
      </c>
      <c r="C1668" t="s">
        <v>7526</v>
      </c>
      <c r="D1668">
        <f t="shared" ref="D1668:D1699" si="50">33-805088888</f>
        <v>-805088855</v>
      </c>
      <c r="E1668" t="s">
        <v>7527</v>
      </c>
      <c r="F1668" t="s">
        <v>7066</v>
      </c>
      <c r="G1668" t="s">
        <v>7067</v>
      </c>
      <c r="H1668">
        <v>3.5718817996196299</v>
      </c>
      <c r="I1668">
        <v>47.817213761163103</v>
      </c>
      <c r="J1668">
        <v>100</v>
      </c>
      <c r="K1668" t="s">
        <v>185</v>
      </c>
      <c r="L1668" t="s">
        <v>185</v>
      </c>
      <c r="M1668" t="s">
        <v>185</v>
      </c>
      <c r="N1668" t="s">
        <v>185</v>
      </c>
      <c r="O1668" t="s">
        <v>185</v>
      </c>
      <c r="P1668" t="s">
        <v>185</v>
      </c>
      <c r="R1668" t="s">
        <v>7528</v>
      </c>
      <c r="U1668" t="s">
        <v>7529</v>
      </c>
    </row>
    <row r="1669" spans="1:21" x14ac:dyDescent="0.25">
      <c r="A1669" t="s">
        <v>7530</v>
      </c>
      <c r="B1669" t="s">
        <v>38</v>
      </c>
      <c r="C1669" t="s">
        <v>7531</v>
      </c>
      <c r="D1669">
        <f t="shared" si="50"/>
        <v>-805088855</v>
      </c>
      <c r="E1669" t="s">
        <v>7532</v>
      </c>
      <c r="F1669" t="s">
        <v>7066</v>
      </c>
      <c r="G1669" t="s">
        <v>7067</v>
      </c>
      <c r="H1669">
        <v>-1.6181945085918401</v>
      </c>
      <c r="I1669">
        <v>49.636235817772302</v>
      </c>
      <c r="J1669">
        <v>100</v>
      </c>
      <c r="K1669" t="s">
        <v>759</v>
      </c>
      <c r="L1669" t="s">
        <v>759</v>
      </c>
      <c r="M1669" t="s">
        <v>759</v>
      </c>
      <c r="N1669" t="s">
        <v>759</v>
      </c>
      <c r="O1669" t="s">
        <v>759</v>
      </c>
      <c r="P1669" t="s">
        <v>759</v>
      </c>
      <c r="R1669" t="s">
        <v>7533</v>
      </c>
      <c r="U1669" t="s">
        <v>7534</v>
      </c>
    </row>
    <row r="1670" spans="1:21" x14ac:dyDescent="0.25">
      <c r="A1670" t="s">
        <v>7535</v>
      </c>
      <c r="B1670" t="s">
        <v>38</v>
      </c>
      <c r="C1670" t="s">
        <v>7536</v>
      </c>
      <c r="D1670">
        <f t="shared" si="50"/>
        <v>-805088855</v>
      </c>
      <c r="E1670" t="s">
        <v>7537</v>
      </c>
      <c r="F1670" t="s">
        <v>7066</v>
      </c>
      <c r="G1670" t="s">
        <v>7067</v>
      </c>
      <c r="H1670">
        <v>2.035882</v>
      </c>
      <c r="I1670">
        <v>48.908650000000002</v>
      </c>
      <c r="J1670">
        <v>100</v>
      </c>
      <c r="K1670" t="s">
        <v>185</v>
      </c>
      <c r="L1670" t="s">
        <v>185</v>
      </c>
      <c r="M1670" t="s">
        <v>185</v>
      </c>
      <c r="N1670" t="s">
        <v>185</v>
      </c>
      <c r="O1670" t="s">
        <v>185</v>
      </c>
      <c r="P1670" t="s">
        <v>185</v>
      </c>
      <c r="R1670" t="s">
        <v>7538</v>
      </c>
      <c r="U1670" t="s">
        <v>7539</v>
      </c>
    </row>
    <row r="1671" spans="1:21" x14ac:dyDescent="0.25">
      <c r="A1671" t="s">
        <v>7540</v>
      </c>
      <c r="B1671" t="s">
        <v>38</v>
      </c>
      <c r="C1671" t="s">
        <v>7541</v>
      </c>
      <c r="D1671">
        <f t="shared" si="50"/>
        <v>-805088855</v>
      </c>
      <c r="E1671" t="s">
        <v>7258</v>
      </c>
      <c r="F1671" t="s">
        <v>7066</v>
      </c>
      <c r="G1671" t="s">
        <v>7067</v>
      </c>
      <c r="H1671">
        <v>-0.52132699999999998</v>
      </c>
      <c r="I1671">
        <v>47.467086000000002</v>
      </c>
      <c r="J1671">
        <v>100</v>
      </c>
      <c r="K1671" t="s">
        <v>1434</v>
      </c>
      <c r="L1671" t="s">
        <v>1434</v>
      </c>
      <c r="M1671" t="s">
        <v>1434</v>
      </c>
      <c r="N1671" t="s">
        <v>1434</v>
      </c>
      <c r="O1671" t="s">
        <v>1434</v>
      </c>
      <c r="P1671" t="s">
        <v>1434</v>
      </c>
      <c r="R1671" t="s">
        <v>7542</v>
      </c>
      <c r="U1671" t="s">
        <v>7543</v>
      </c>
    </row>
    <row r="1672" spans="1:21" x14ac:dyDescent="0.25">
      <c r="A1672" t="s">
        <v>7544</v>
      </c>
      <c r="B1672" t="s">
        <v>38</v>
      </c>
      <c r="C1672" t="s">
        <v>7545</v>
      </c>
      <c r="D1672">
        <f t="shared" si="50"/>
        <v>-805088855</v>
      </c>
      <c r="E1672" t="s">
        <v>7546</v>
      </c>
      <c r="F1672" t="s">
        <v>7066</v>
      </c>
      <c r="G1672" t="s">
        <v>7067</v>
      </c>
      <c r="H1672">
        <v>2.8800720000000002</v>
      </c>
      <c r="I1672">
        <v>42.669339999999998</v>
      </c>
      <c r="J1672">
        <v>100</v>
      </c>
      <c r="K1672" t="s">
        <v>192</v>
      </c>
      <c r="L1672" t="s">
        <v>192</v>
      </c>
      <c r="M1672" t="s">
        <v>192</v>
      </c>
      <c r="N1672" t="s">
        <v>192</v>
      </c>
      <c r="O1672" t="s">
        <v>192</v>
      </c>
      <c r="P1672" t="s">
        <v>192</v>
      </c>
      <c r="R1672" t="s">
        <v>7547</v>
      </c>
      <c r="U1672" t="s">
        <v>7548</v>
      </c>
    </row>
    <row r="1673" spans="1:21" x14ac:dyDescent="0.25">
      <c r="A1673" t="s">
        <v>7549</v>
      </c>
      <c r="B1673" t="s">
        <v>38</v>
      </c>
      <c r="C1673" t="s">
        <v>7550</v>
      </c>
      <c r="D1673">
        <f t="shared" si="50"/>
        <v>-805088855</v>
      </c>
      <c r="E1673" t="s">
        <v>7551</v>
      </c>
      <c r="F1673" t="s">
        <v>7066</v>
      </c>
      <c r="G1673" t="s">
        <v>7067</v>
      </c>
      <c r="H1673">
        <v>2.329094</v>
      </c>
      <c r="I1673">
        <v>48.925744999999999</v>
      </c>
      <c r="J1673">
        <v>100</v>
      </c>
      <c r="K1673" t="s">
        <v>1189</v>
      </c>
      <c r="L1673" t="s">
        <v>1189</v>
      </c>
      <c r="M1673" t="s">
        <v>1189</v>
      </c>
      <c r="N1673" t="s">
        <v>1189</v>
      </c>
      <c r="O1673" t="s">
        <v>1189</v>
      </c>
      <c r="P1673" t="s">
        <v>1189</v>
      </c>
      <c r="Q1673" t="s">
        <v>717</v>
      </c>
      <c r="R1673" t="s">
        <v>7552</v>
      </c>
      <c r="U1673" t="s">
        <v>7553</v>
      </c>
    </row>
    <row r="1674" spans="1:21" x14ac:dyDescent="0.25">
      <c r="A1674" t="s">
        <v>7554</v>
      </c>
      <c r="B1674" t="s">
        <v>38</v>
      </c>
      <c r="C1674" t="s">
        <v>7555</v>
      </c>
      <c r="D1674">
        <f t="shared" si="50"/>
        <v>-805088855</v>
      </c>
      <c r="E1674" t="s">
        <v>7556</v>
      </c>
      <c r="F1674" t="s">
        <v>7066</v>
      </c>
      <c r="G1674" t="s">
        <v>7067</v>
      </c>
      <c r="H1674">
        <v>-9.1245000000000007E-2</v>
      </c>
      <c r="I1674">
        <v>47.262134000000003</v>
      </c>
      <c r="J1674">
        <v>100</v>
      </c>
      <c r="K1674" t="s">
        <v>185</v>
      </c>
      <c r="L1674" t="s">
        <v>185</v>
      </c>
      <c r="M1674" t="s">
        <v>185</v>
      </c>
      <c r="N1674" t="s">
        <v>185</v>
      </c>
      <c r="O1674" t="s">
        <v>185</v>
      </c>
      <c r="P1674" t="s">
        <v>185</v>
      </c>
      <c r="R1674" t="s">
        <v>7557</v>
      </c>
      <c r="U1674" t="s">
        <v>7558</v>
      </c>
    </row>
    <row r="1675" spans="1:21" x14ac:dyDescent="0.25">
      <c r="A1675" t="s">
        <v>7559</v>
      </c>
      <c r="B1675" t="s">
        <v>38</v>
      </c>
      <c r="C1675" t="s">
        <v>7560</v>
      </c>
      <c r="D1675">
        <f t="shared" si="50"/>
        <v>-805088855</v>
      </c>
      <c r="E1675" t="s">
        <v>7561</v>
      </c>
      <c r="F1675" t="s">
        <v>7066</v>
      </c>
      <c r="G1675" t="s">
        <v>7067</v>
      </c>
      <c r="H1675">
        <v>-0.29183649054937</v>
      </c>
      <c r="I1675">
        <v>49.164923437013599</v>
      </c>
      <c r="J1675">
        <v>100</v>
      </c>
      <c r="K1675" t="s">
        <v>185</v>
      </c>
      <c r="L1675" t="s">
        <v>185</v>
      </c>
      <c r="M1675" t="s">
        <v>185</v>
      </c>
      <c r="N1675" t="s">
        <v>185</v>
      </c>
      <c r="O1675" t="s">
        <v>185</v>
      </c>
      <c r="P1675" t="s">
        <v>185</v>
      </c>
      <c r="R1675" t="s">
        <v>7562</v>
      </c>
      <c r="U1675" t="s">
        <v>7563</v>
      </c>
    </row>
    <row r="1676" spans="1:21" x14ac:dyDescent="0.25">
      <c r="A1676" t="s">
        <v>7564</v>
      </c>
      <c r="B1676" t="s">
        <v>38</v>
      </c>
      <c r="C1676" t="s">
        <v>7565</v>
      </c>
      <c r="D1676">
        <f t="shared" si="50"/>
        <v>-805088855</v>
      </c>
      <c r="E1676" t="s">
        <v>7566</v>
      </c>
      <c r="F1676" t="s">
        <v>7066</v>
      </c>
      <c r="G1676" t="s">
        <v>7067</v>
      </c>
      <c r="H1676">
        <v>4.3619269999999997</v>
      </c>
      <c r="I1676">
        <v>48.957242000000001</v>
      </c>
      <c r="J1676">
        <v>100</v>
      </c>
      <c r="K1676" t="s">
        <v>535</v>
      </c>
      <c r="L1676" t="s">
        <v>535</v>
      </c>
      <c r="M1676" t="s">
        <v>535</v>
      </c>
      <c r="N1676" t="s">
        <v>535</v>
      </c>
      <c r="O1676" t="s">
        <v>535</v>
      </c>
      <c r="P1676" t="s">
        <v>535</v>
      </c>
      <c r="R1676" t="s">
        <v>7567</v>
      </c>
      <c r="U1676" t="s">
        <v>7568</v>
      </c>
    </row>
    <row r="1677" spans="1:21" x14ac:dyDescent="0.25">
      <c r="A1677" t="s">
        <v>7569</v>
      </c>
      <c r="B1677" t="s">
        <v>38</v>
      </c>
      <c r="C1677" t="s">
        <v>7570</v>
      </c>
      <c r="D1677">
        <f t="shared" si="50"/>
        <v>-805088855</v>
      </c>
      <c r="E1677" t="s">
        <v>7571</v>
      </c>
      <c r="F1677" t="s">
        <v>7066</v>
      </c>
      <c r="G1677" t="s">
        <v>7067</v>
      </c>
      <c r="H1677">
        <v>3.3293539999999999</v>
      </c>
      <c r="I1677">
        <v>46.564366</v>
      </c>
      <c r="J1677">
        <v>100</v>
      </c>
      <c r="K1677" t="s">
        <v>535</v>
      </c>
      <c r="L1677" t="s">
        <v>535</v>
      </c>
      <c r="M1677" t="s">
        <v>535</v>
      </c>
      <c r="N1677" t="s">
        <v>535</v>
      </c>
      <c r="O1677" t="s">
        <v>535</v>
      </c>
      <c r="P1677" t="s">
        <v>535</v>
      </c>
      <c r="R1677" t="s">
        <v>7572</v>
      </c>
      <c r="U1677" t="s">
        <v>7573</v>
      </c>
    </row>
    <row r="1678" spans="1:21" x14ac:dyDescent="0.25">
      <c r="A1678" t="s">
        <v>7574</v>
      </c>
      <c r="B1678" t="s">
        <v>22</v>
      </c>
      <c r="C1678" t="s">
        <v>7575</v>
      </c>
      <c r="D1678">
        <f t="shared" si="50"/>
        <v>-805088855</v>
      </c>
      <c r="E1678" t="s">
        <v>7118</v>
      </c>
      <c r="F1678" t="s">
        <v>7066</v>
      </c>
      <c r="G1678" t="s">
        <v>7067</v>
      </c>
      <c r="H1678">
        <v>1.0941314193415801</v>
      </c>
      <c r="I1678">
        <v>49.4408675455131</v>
      </c>
      <c r="J1678">
        <v>100</v>
      </c>
      <c r="K1678" t="s">
        <v>184</v>
      </c>
      <c r="L1678" t="s">
        <v>184</v>
      </c>
      <c r="M1678" t="s">
        <v>184</v>
      </c>
      <c r="N1678" t="s">
        <v>184</v>
      </c>
      <c r="O1678" t="s">
        <v>184</v>
      </c>
      <c r="P1678" t="s">
        <v>184</v>
      </c>
      <c r="R1678" t="s">
        <v>7576</v>
      </c>
      <c r="U1678" t="s">
        <v>7577</v>
      </c>
    </row>
    <row r="1679" spans="1:21" x14ac:dyDescent="0.25">
      <c r="A1679" t="s">
        <v>7578</v>
      </c>
      <c r="B1679" t="s">
        <v>38</v>
      </c>
      <c r="C1679" t="s">
        <v>7579</v>
      </c>
      <c r="D1679">
        <f t="shared" si="50"/>
        <v>-805088855</v>
      </c>
      <c r="E1679" t="s">
        <v>7580</v>
      </c>
      <c r="F1679" t="s">
        <v>7066</v>
      </c>
      <c r="G1679" t="s">
        <v>7067</v>
      </c>
      <c r="H1679">
        <v>6.2375639999999999</v>
      </c>
      <c r="I1679">
        <v>46.196770999999998</v>
      </c>
      <c r="J1679">
        <v>100</v>
      </c>
      <c r="K1679" t="s">
        <v>774</v>
      </c>
      <c r="L1679" t="s">
        <v>774</v>
      </c>
      <c r="M1679" t="s">
        <v>774</v>
      </c>
      <c r="N1679" t="s">
        <v>774</v>
      </c>
      <c r="O1679" t="s">
        <v>774</v>
      </c>
      <c r="P1679" t="s">
        <v>774</v>
      </c>
      <c r="R1679" t="s">
        <v>7581</v>
      </c>
      <c r="U1679" t="s">
        <v>7582</v>
      </c>
    </row>
    <row r="1680" spans="1:21" x14ac:dyDescent="0.25">
      <c r="A1680" t="s">
        <v>7583</v>
      </c>
      <c r="B1680" t="s">
        <v>38</v>
      </c>
      <c r="C1680" t="s">
        <v>7584</v>
      </c>
      <c r="D1680">
        <f t="shared" si="50"/>
        <v>-805088855</v>
      </c>
      <c r="E1680" t="s">
        <v>7585</v>
      </c>
      <c r="F1680" t="s">
        <v>7066</v>
      </c>
      <c r="G1680" t="s">
        <v>7067</v>
      </c>
      <c r="H1680">
        <v>2.9820859999999998</v>
      </c>
      <c r="I1680">
        <v>43.161234</v>
      </c>
      <c r="J1680">
        <v>100</v>
      </c>
      <c r="K1680" t="s">
        <v>185</v>
      </c>
      <c r="L1680" t="s">
        <v>185</v>
      </c>
      <c r="M1680" t="s">
        <v>185</v>
      </c>
      <c r="N1680" t="s">
        <v>185</v>
      </c>
      <c r="O1680" t="s">
        <v>185</v>
      </c>
      <c r="P1680" t="s">
        <v>185</v>
      </c>
      <c r="R1680" t="s">
        <v>7586</v>
      </c>
      <c r="U1680" t="s">
        <v>7587</v>
      </c>
    </row>
    <row r="1681" spans="1:21" x14ac:dyDescent="0.25">
      <c r="A1681" t="s">
        <v>7588</v>
      </c>
      <c r="B1681" t="s">
        <v>38</v>
      </c>
      <c r="C1681" t="s">
        <v>7589</v>
      </c>
      <c r="D1681">
        <f t="shared" si="50"/>
        <v>-805088855</v>
      </c>
      <c r="E1681" t="s">
        <v>7201</v>
      </c>
      <c r="F1681" t="s">
        <v>7066</v>
      </c>
      <c r="G1681" t="s">
        <v>7067</v>
      </c>
      <c r="H1681">
        <v>-1.5467869999999999</v>
      </c>
      <c r="I1681">
        <v>47.160147000000002</v>
      </c>
      <c r="J1681">
        <v>100</v>
      </c>
      <c r="K1681" t="s">
        <v>185</v>
      </c>
      <c r="L1681" t="s">
        <v>185</v>
      </c>
      <c r="M1681" t="s">
        <v>185</v>
      </c>
      <c r="N1681" t="s">
        <v>185</v>
      </c>
      <c r="O1681" t="s">
        <v>185</v>
      </c>
      <c r="P1681" t="s">
        <v>1434</v>
      </c>
      <c r="R1681" t="s">
        <v>7590</v>
      </c>
      <c r="U1681" t="s">
        <v>7591</v>
      </c>
    </row>
    <row r="1682" spans="1:21" x14ac:dyDescent="0.25">
      <c r="A1682" t="s">
        <v>7592</v>
      </c>
      <c r="B1682" t="s">
        <v>38</v>
      </c>
      <c r="C1682" t="s">
        <v>7593</v>
      </c>
      <c r="D1682">
        <f t="shared" si="50"/>
        <v>-805088855</v>
      </c>
      <c r="E1682" t="s">
        <v>7594</v>
      </c>
      <c r="F1682" t="s">
        <v>7066</v>
      </c>
      <c r="G1682" t="s">
        <v>7067</v>
      </c>
      <c r="H1682">
        <v>-0.47904799999999997</v>
      </c>
      <c r="I1682">
        <v>43.865071999999998</v>
      </c>
      <c r="J1682">
        <v>100</v>
      </c>
      <c r="K1682" t="s">
        <v>185</v>
      </c>
      <c r="L1682" t="s">
        <v>185</v>
      </c>
      <c r="M1682" t="s">
        <v>185</v>
      </c>
      <c r="N1682" t="s">
        <v>185</v>
      </c>
      <c r="O1682" t="s">
        <v>185</v>
      </c>
      <c r="P1682" t="s">
        <v>185</v>
      </c>
      <c r="R1682" t="s">
        <v>7595</v>
      </c>
      <c r="U1682" t="s">
        <v>7596</v>
      </c>
    </row>
    <row r="1683" spans="1:21" x14ac:dyDescent="0.25">
      <c r="A1683" t="s">
        <v>7597</v>
      </c>
      <c r="B1683" t="s">
        <v>22</v>
      </c>
      <c r="C1683" t="s">
        <v>7598</v>
      </c>
      <c r="D1683">
        <f t="shared" si="50"/>
        <v>-805088855</v>
      </c>
      <c r="E1683" t="s">
        <v>7599</v>
      </c>
      <c r="F1683" t="s">
        <v>7066</v>
      </c>
      <c r="G1683" t="s">
        <v>7067</v>
      </c>
      <c r="H1683">
        <v>1.5325960000000001</v>
      </c>
      <c r="I1683">
        <v>45.160981999999997</v>
      </c>
      <c r="J1683">
        <v>100</v>
      </c>
      <c r="K1683" t="s">
        <v>774</v>
      </c>
      <c r="L1683" t="s">
        <v>774</v>
      </c>
      <c r="M1683" t="s">
        <v>774</v>
      </c>
      <c r="N1683" t="s">
        <v>774</v>
      </c>
      <c r="O1683" t="s">
        <v>774</v>
      </c>
      <c r="P1683" t="s">
        <v>774</v>
      </c>
      <c r="R1683" t="s">
        <v>7600</v>
      </c>
      <c r="U1683" t="s">
        <v>7601</v>
      </c>
    </row>
    <row r="1684" spans="1:21" x14ac:dyDescent="0.25">
      <c r="A1684" t="s">
        <v>7602</v>
      </c>
      <c r="B1684" t="s">
        <v>38</v>
      </c>
      <c r="C1684" t="s">
        <v>7603</v>
      </c>
      <c r="D1684">
        <f t="shared" si="50"/>
        <v>-805088855</v>
      </c>
      <c r="E1684" t="s">
        <v>7604</v>
      </c>
      <c r="F1684" t="s">
        <v>7066</v>
      </c>
      <c r="G1684" t="s">
        <v>7067</v>
      </c>
      <c r="H1684">
        <v>3.2880600000000002</v>
      </c>
      <c r="I1684">
        <v>49.846859000000002</v>
      </c>
      <c r="J1684">
        <v>100</v>
      </c>
      <c r="K1684" t="s">
        <v>184</v>
      </c>
      <c r="L1684" t="s">
        <v>184</v>
      </c>
      <c r="M1684" t="s">
        <v>184</v>
      </c>
      <c r="N1684" t="s">
        <v>184</v>
      </c>
      <c r="O1684" t="s">
        <v>184</v>
      </c>
      <c r="P1684" t="s">
        <v>184</v>
      </c>
      <c r="R1684" t="s">
        <v>7605</v>
      </c>
      <c r="U1684" t="s">
        <v>7606</v>
      </c>
    </row>
    <row r="1685" spans="1:21" x14ac:dyDescent="0.25">
      <c r="A1685" t="s">
        <v>7607</v>
      </c>
      <c r="B1685" t="s">
        <v>22</v>
      </c>
      <c r="C1685" t="s">
        <v>7608</v>
      </c>
      <c r="D1685">
        <f t="shared" si="50"/>
        <v>-805088855</v>
      </c>
      <c r="E1685" t="s">
        <v>7322</v>
      </c>
      <c r="F1685" t="s">
        <v>7066</v>
      </c>
      <c r="G1685" t="s">
        <v>7067</v>
      </c>
      <c r="H1685">
        <v>0.33930453089590001</v>
      </c>
      <c r="I1685">
        <v>46.580599750416098</v>
      </c>
      <c r="J1685">
        <v>100</v>
      </c>
      <c r="K1685" t="s">
        <v>774</v>
      </c>
      <c r="L1685" t="s">
        <v>774</v>
      </c>
      <c r="M1685" t="s">
        <v>774</v>
      </c>
      <c r="N1685" t="s">
        <v>774</v>
      </c>
      <c r="O1685" t="s">
        <v>774</v>
      </c>
      <c r="P1685" t="s">
        <v>774</v>
      </c>
      <c r="R1685" t="s">
        <v>7609</v>
      </c>
      <c r="U1685" t="s">
        <v>7610</v>
      </c>
    </row>
    <row r="1686" spans="1:21" x14ac:dyDescent="0.25">
      <c r="A1686" t="s">
        <v>7611</v>
      </c>
      <c r="B1686" t="s">
        <v>22</v>
      </c>
      <c r="C1686" t="s">
        <v>7612</v>
      </c>
      <c r="D1686">
        <f t="shared" si="50"/>
        <v>-805088855</v>
      </c>
      <c r="E1686" t="s">
        <v>7133</v>
      </c>
      <c r="F1686" t="s">
        <v>7066</v>
      </c>
      <c r="G1686" t="s">
        <v>7067</v>
      </c>
      <c r="H1686">
        <v>6.0755850000000002</v>
      </c>
      <c r="I1686">
        <v>45.938927</v>
      </c>
      <c r="J1686">
        <v>100</v>
      </c>
      <c r="K1686" t="s">
        <v>185</v>
      </c>
      <c r="L1686" t="s">
        <v>185</v>
      </c>
      <c r="M1686" t="s">
        <v>185</v>
      </c>
      <c r="N1686" t="s">
        <v>185</v>
      </c>
      <c r="O1686" t="s">
        <v>185</v>
      </c>
      <c r="P1686" t="s">
        <v>185</v>
      </c>
      <c r="R1686" t="s">
        <v>7613</v>
      </c>
      <c r="U1686" t="s">
        <v>7614</v>
      </c>
    </row>
    <row r="1687" spans="1:21" x14ac:dyDescent="0.25">
      <c r="A1687" t="s">
        <v>7615</v>
      </c>
      <c r="B1687" t="s">
        <v>38</v>
      </c>
      <c r="C1687" t="s">
        <v>7616</v>
      </c>
      <c r="D1687">
        <f t="shared" si="50"/>
        <v>-805088855</v>
      </c>
      <c r="E1687" t="s">
        <v>7617</v>
      </c>
      <c r="F1687" t="s">
        <v>7066</v>
      </c>
      <c r="G1687" t="s">
        <v>7067</v>
      </c>
      <c r="H1687">
        <v>4.0254490000000001</v>
      </c>
      <c r="I1687">
        <v>48.306550999999999</v>
      </c>
      <c r="J1687">
        <v>100</v>
      </c>
      <c r="K1687" t="s">
        <v>759</v>
      </c>
      <c r="L1687" t="s">
        <v>759</v>
      </c>
      <c r="M1687" t="s">
        <v>759</v>
      </c>
      <c r="N1687" t="s">
        <v>759</v>
      </c>
      <c r="O1687" t="s">
        <v>759</v>
      </c>
      <c r="P1687" t="s">
        <v>759</v>
      </c>
      <c r="R1687" t="s">
        <v>7618</v>
      </c>
      <c r="U1687" t="s">
        <v>7619</v>
      </c>
    </row>
    <row r="1688" spans="1:21" x14ac:dyDescent="0.25">
      <c r="A1688" t="s">
        <v>7620</v>
      </c>
      <c r="B1688" t="s">
        <v>22</v>
      </c>
      <c r="C1688" t="s">
        <v>7621</v>
      </c>
      <c r="D1688">
        <f t="shared" si="50"/>
        <v>-805088855</v>
      </c>
      <c r="E1688" t="s">
        <v>7622</v>
      </c>
      <c r="F1688" t="s">
        <v>7066</v>
      </c>
      <c r="G1688" t="s">
        <v>7067</v>
      </c>
      <c r="H1688">
        <v>2.296106</v>
      </c>
      <c r="I1688">
        <v>48.892144000000002</v>
      </c>
      <c r="J1688">
        <v>100</v>
      </c>
      <c r="K1688" t="s">
        <v>1189</v>
      </c>
      <c r="L1688" t="s">
        <v>1189</v>
      </c>
      <c r="M1688" t="s">
        <v>1189</v>
      </c>
      <c r="N1688" t="s">
        <v>1189</v>
      </c>
      <c r="O1688" t="s">
        <v>1189</v>
      </c>
      <c r="P1688" t="s">
        <v>1189</v>
      </c>
      <c r="R1688" t="s">
        <v>7623</v>
      </c>
      <c r="U1688" t="s">
        <v>7624</v>
      </c>
    </row>
    <row r="1689" spans="1:21" x14ac:dyDescent="0.25">
      <c r="A1689" t="s">
        <v>7625</v>
      </c>
      <c r="B1689" t="s">
        <v>22</v>
      </c>
      <c r="C1689" t="s">
        <v>7626</v>
      </c>
      <c r="D1689">
        <f t="shared" si="50"/>
        <v>-805088855</v>
      </c>
      <c r="E1689" t="s">
        <v>7627</v>
      </c>
      <c r="F1689" t="s">
        <v>7066</v>
      </c>
      <c r="G1689" t="s">
        <v>7067</v>
      </c>
      <c r="H1689">
        <v>2.6637810000000002</v>
      </c>
      <c r="I1689">
        <v>48.947237000000001</v>
      </c>
      <c r="J1689">
        <v>100</v>
      </c>
      <c r="K1689" t="s">
        <v>1189</v>
      </c>
      <c r="L1689" t="s">
        <v>1189</v>
      </c>
      <c r="M1689" t="s">
        <v>1189</v>
      </c>
      <c r="N1689" t="s">
        <v>1189</v>
      </c>
      <c r="O1689" t="s">
        <v>1189</v>
      </c>
      <c r="P1689" t="s">
        <v>7628</v>
      </c>
      <c r="R1689" t="s">
        <v>7629</v>
      </c>
      <c r="U1689" t="s">
        <v>7630</v>
      </c>
    </row>
    <row r="1690" spans="1:21" x14ac:dyDescent="0.25">
      <c r="A1690" t="s">
        <v>7631</v>
      </c>
      <c r="B1690" t="s">
        <v>38</v>
      </c>
      <c r="C1690" t="s">
        <v>7632</v>
      </c>
      <c r="D1690">
        <f t="shared" si="50"/>
        <v>-805088855</v>
      </c>
      <c r="E1690" t="s">
        <v>7283</v>
      </c>
      <c r="F1690" t="s">
        <v>7066</v>
      </c>
      <c r="G1690" t="s">
        <v>7067</v>
      </c>
      <c r="H1690">
        <v>-1.682097</v>
      </c>
      <c r="I1690">
        <v>48.139415999999997</v>
      </c>
      <c r="J1690">
        <v>100</v>
      </c>
      <c r="K1690" t="s">
        <v>185</v>
      </c>
      <c r="L1690" t="s">
        <v>185</v>
      </c>
      <c r="M1690" t="s">
        <v>185</v>
      </c>
      <c r="N1690" t="s">
        <v>185</v>
      </c>
      <c r="O1690" t="s">
        <v>185</v>
      </c>
      <c r="P1690" t="s">
        <v>185</v>
      </c>
      <c r="R1690" t="s">
        <v>7633</v>
      </c>
      <c r="U1690" t="s">
        <v>7634</v>
      </c>
    </row>
    <row r="1691" spans="1:21" x14ac:dyDescent="0.25">
      <c r="A1691" t="s">
        <v>7635</v>
      </c>
      <c r="B1691" t="s">
        <v>38</v>
      </c>
      <c r="C1691" t="s">
        <v>7636</v>
      </c>
      <c r="D1691">
        <f t="shared" si="50"/>
        <v>-805088855</v>
      </c>
      <c r="E1691" t="s">
        <v>7637</v>
      </c>
      <c r="F1691" t="s">
        <v>7066</v>
      </c>
      <c r="G1691" t="s">
        <v>7067</v>
      </c>
      <c r="H1691">
        <v>2.3415840000000001</v>
      </c>
      <c r="I1691">
        <v>49.040284</v>
      </c>
      <c r="J1691">
        <v>100</v>
      </c>
      <c r="K1691" t="s">
        <v>45</v>
      </c>
      <c r="L1691" t="s">
        <v>45</v>
      </c>
      <c r="M1691" t="s">
        <v>45</v>
      </c>
      <c r="N1691" t="s">
        <v>45</v>
      </c>
      <c r="O1691" t="s">
        <v>45</v>
      </c>
      <c r="P1691" t="s">
        <v>192</v>
      </c>
      <c r="R1691" t="s">
        <v>7638</v>
      </c>
      <c r="U1691" t="s">
        <v>7639</v>
      </c>
    </row>
    <row r="1692" spans="1:21" x14ac:dyDescent="0.25">
      <c r="A1692" t="s">
        <v>7640</v>
      </c>
      <c r="B1692" t="s">
        <v>22</v>
      </c>
      <c r="C1692" t="s">
        <v>7641</v>
      </c>
      <c r="D1692">
        <f t="shared" si="50"/>
        <v>-805088855</v>
      </c>
      <c r="E1692" t="s">
        <v>7344</v>
      </c>
      <c r="F1692" t="s">
        <v>7066</v>
      </c>
      <c r="G1692" t="s">
        <v>7067</v>
      </c>
      <c r="H1692">
        <v>7.7439539999999996</v>
      </c>
      <c r="I1692">
        <v>48.585219000000002</v>
      </c>
      <c r="J1692">
        <v>100</v>
      </c>
      <c r="K1692" t="s">
        <v>185</v>
      </c>
      <c r="L1692" t="s">
        <v>185</v>
      </c>
      <c r="M1692" t="s">
        <v>185</v>
      </c>
      <c r="N1692" t="s">
        <v>185</v>
      </c>
      <c r="O1692" t="s">
        <v>185</v>
      </c>
      <c r="P1692" t="s">
        <v>185</v>
      </c>
      <c r="R1692" t="s">
        <v>7642</v>
      </c>
      <c r="U1692" t="s">
        <v>7643</v>
      </c>
    </row>
    <row r="1693" spans="1:21" x14ac:dyDescent="0.25">
      <c r="A1693" t="s">
        <v>7644</v>
      </c>
      <c r="B1693" t="s">
        <v>38</v>
      </c>
      <c r="C1693" t="s">
        <v>7645</v>
      </c>
      <c r="D1693">
        <f t="shared" si="50"/>
        <v>-805088855</v>
      </c>
      <c r="E1693" t="s">
        <v>7646</v>
      </c>
      <c r="F1693" t="s">
        <v>7066</v>
      </c>
      <c r="G1693" t="s">
        <v>7067</v>
      </c>
      <c r="H1693">
        <v>1.1479988694190999</v>
      </c>
      <c r="I1693">
        <v>49.0266466538177</v>
      </c>
      <c r="J1693">
        <v>100</v>
      </c>
      <c r="K1693" t="s">
        <v>535</v>
      </c>
      <c r="L1693" t="s">
        <v>535</v>
      </c>
      <c r="M1693" t="s">
        <v>535</v>
      </c>
      <c r="N1693" t="s">
        <v>535</v>
      </c>
      <c r="O1693" t="s">
        <v>535</v>
      </c>
      <c r="P1693" t="s">
        <v>535</v>
      </c>
      <c r="R1693" t="s">
        <v>7647</v>
      </c>
      <c r="U1693" t="s">
        <v>7648</v>
      </c>
    </row>
    <row r="1694" spans="1:21" x14ac:dyDescent="0.25">
      <c r="A1694" t="s">
        <v>7649</v>
      </c>
      <c r="B1694" t="s">
        <v>38</v>
      </c>
      <c r="C1694" t="s">
        <v>7650</v>
      </c>
      <c r="D1694">
        <f t="shared" si="50"/>
        <v>-805088855</v>
      </c>
      <c r="E1694" t="s">
        <v>7651</v>
      </c>
      <c r="F1694" t="s">
        <v>7066</v>
      </c>
      <c r="G1694" t="s">
        <v>7067</v>
      </c>
      <c r="H1694">
        <v>2.3016269999999999</v>
      </c>
      <c r="I1694">
        <v>48.585723999999999</v>
      </c>
      <c r="J1694">
        <v>100</v>
      </c>
      <c r="K1694" t="s">
        <v>185</v>
      </c>
      <c r="L1694" t="s">
        <v>185</v>
      </c>
      <c r="M1694" t="s">
        <v>185</v>
      </c>
      <c r="N1694" t="s">
        <v>185</v>
      </c>
      <c r="O1694" t="s">
        <v>185</v>
      </c>
      <c r="P1694" t="s">
        <v>185</v>
      </c>
      <c r="R1694" t="s">
        <v>7652</v>
      </c>
      <c r="U1694" t="s">
        <v>7653</v>
      </c>
    </row>
    <row r="1695" spans="1:21" x14ac:dyDescent="0.25">
      <c r="A1695" t="s">
        <v>7654</v>
      </c>
      <c r="B1695" t="s">
        <v>22</v>
      </c>
      <c r="C1695" t="s">
        <v>7655</v>
      </c>
      <c r="D1695">
        <f t="shared" si="50"/>
        <v>-805088855</v>
      </c>
      <c r="E1695" t="s">
        <v>7396</v>
      </c>
      <c r="F1695" t="s">
        <v>7066</v>
      </c>
      <c r="G1695" t="s">
        <v>7067</v>
      </c>
      <c r="H1695">
        <v>3.0812819999999999</v>
      </c>
      <c r="I1695">
        <v>45.774403</v>
      </c>
      <c r="J1695">
        <v>100</v>
      </c>
      <c r="K1695" t="s">
        <v>535</v>
      </c>
      <c r="L1695" t="s">
        <v>535</v>
      </c>
      <c r="M1695" t="s">
        <v>535</v>
      </c>
      <c r="N1695" t="s">
        <v>535</v>
      </c>
      <c r="O1695" t="s">
        <v>535</v>
      </c>
      <c r="P1695" t="s">
        <v>535</v>
      </c>
      <c r="R1695" t="s">
        <v>7656</v>
      </c>
      <c r="U1695" t="s">
        <v>7657</v>
      </c>
    </row>
    <row r="1696" spans="1:21" x14ac:dyDescent="0.25">
      <c r="A1696" t="s">
        <v>7658</v>
      </c>
      <c r="B1696" t="s">
        <v>22</v>
      </c>
      <c r="C1696" t="s">
        <v>7659</v>
      </c>
      <c r="D1696">
        <f t="shared" si="50"/>
        <v>-805088855</v>
      </c>
      <c r="E1696" t="s">
        <v>7098</v>
      </c>
      <c r="F1696" t="s">
        <v>7066</v>
      </c>
      <c r="G1696" t="s">
        <v>7067</v>
      </c>
      <c r="H1696">
        <v>2.2821600000000002</v>
      </c>
      <c r="I1696">
        <v>48.848208</v>
      </c>
      <c r="J1696">
        <v>100</v>
      </c>
      <c r="K1696" t="s">
        <v>1189</v>
      </c>
      <c r="L1696" t="s">
        <v>1189</v>
      </c>
      <c r="M1696" t="s">
        <v>1189</v>
      </c>
      <c r="N1696" t="s">
        <v>1189</v>
      </c>
      <c r="O1696" t="s">
        <v>1189</v>
      </c>
      <c r="P1696" t="s">
        <v>1189</v>
      </c>
      <c r="Q1696" t="s">
        <v>717</v>
      </c>
      <c r="R1696" t="s">
        <v>7660</v>
      </c>
      <c r="U1696" t="s">
        <v>7661</v>
      </c>
    </row>
    <row r="1697" spans="1:21" x14ac:dyDescent="0.25">
      <c r="A1697" t="s">
        <v>7662</v>
      </c>
      <c r="B1697" t="s">
        <v>22</v>
      </c>
      <c r="C1697" t="s">
        <v>7663</v>
      </c>
      <c r="D1697">
        <f t="shared" si="50"/>
        <v>-805088855</v>
      </c>
      <c r="E1697" t="s">
        <v>7664</v>
      </c>
      <c r="F1697" t="s">
        <v>7066</v>
      </c>
      <c r="G1697" t="s">
        <v>7067</v>
      </c>
      <c r="H1697">
        <v>-0.53441899999999998</v>
      </c>
      <c r="I1697">
        <v>44.794829</v>
      </c>
      <c r="J1697">
        <v>100</v>
      </c>
      <c r="K1697" t="s">
        <v>1434</v>
      </c>
      <c r="L1697" t="s">
        <v>1434</v>
      </c>
      <c r="M1697" t="s">
        <v>1434</v>
      </c>
      <c r="N1697" t="s">
        <v>1434</v>
      </c>
      <c r="O1697" t="s">
        <v>1434</v>
      </c>
      <c r="P1697" t="s">
        <v>1434</v>
      </c>
      <c r="R1697" t="s">
        <v>7665</v>
      </c>
      <c r="U1697" t="s">
        <v>7666</v>
      </c>
    </row>
    <row r="1698" spans="1:21" x14ac:dyDescent="0.25">
      <c r="A1698" t="s">
        <v>7667</v>
      </c>
      <c r="B1698" t="s">
        <v>38</v>
      </c>
      <c r="C1698" t="s">
        <v>7668</v>
      </c>
      <c r="D1698">
        <f t="shared" si="50"/>
        <v>-805088855</v>
      </c>
      <c r="E1698" t="s">
        <v>7561</v>
      </c>
      <c r="F1698" t="s">
        <v>7066</v>
      </c>
      <c r="G1698" t="s">
        <v>7067</v>
      </c>
      <c r="H1698">
        <v>-0.35159198024666999</v>
      </c>
      <c r="I1698">
        <v>49.177378505059799</v>
      </c>
      <c r="J1698">
        <v>100</v>
      </c>
      <c r="K1698" t="s">
        <v>45</v>
      </c>
      <c r="L1698" t="s">
        <v>45</v>
      </c>
      <c r="M1698" t="s">
        <v>45</v>
      </c>
      <c r="N1698" t="s">
        <v>45</v>
      </c>
      <c r="O1698" t="s">
        <v>45</v>
      </c>
      <c r="P1698" t="s">
        <v>45</v>
      </c>
      <c r="R1698" t="s">
        <v>7669</v>
      </c>
      <c r="U1698" t="s">
        <v>7670</v>
      </c>
    </row>
    <row r="1699" spans="1:21" x14ac:dyDescent="0.25">
      <c r="A1699" t="s">
        <v>7671</v>
      </c>
      <c r="B1699" t="s">
        <v>38</v>
      </c>
      <c r="C1699" t="s">
        <v>7672</v>
      </c>
      <c r="D1699">
        <f t="shared" si="50"/>
        <v>-805088855</v>
      </c>
      <c r="E1699" t="s">
        <v>7673</v>
      </c>
      <c r="F1699" t="s">
        <v>7066</v>
      </c>
      <c r="G1699" t="s">
        <v>7067</v>
      </c>
      <c r="H1699">
        <v>2.0893329999999999</v>
      </c>
      <c r="I1699">
        <v>49.432153999999997</v>
      </c>
      <c r="J1699">
        <v>100</v>
      </c>
      <c r="K1699" t="s">
        <v>184</v>
      </c>
      <c r="L1699" t="s">
        <v>184</v>
      </c>
      <c r="M1699" t="s">
        <v>184</v>
      </c>
      <c r="N1699" t="s">
        <v>184</v>
      </c>
      <c r="O1699" t="s">
        <v>184</v>
      </c>
      <c r="P1699" t="s">
        <v>184</v>
      </c>
      <c r="R1699" t="s">
        <v>7674</v>
      </c>
      <c r="U1699" t="s">
        <v>7675</v>
      </c>
    </row>
    <row r="1700" spans="1:21" x14ac:dyDescent="0.25">
      <c r="A1700" t="s">
        <v>7676</v>
      </c>
      <c r="B1700" t="s">
        <v>22</v>
      </c>
      <c r="C1700" t="s">
        <v>7677</v>
      </c>
      <c r="D1700">
        <f t="shared" ref="D1700:D1731" si="51">33-805088888</f>
        <v>-805088855</v>
      </c>
      <c r="E1700" t="s">
        <v>7678</v>
      </c>
      <c r="F1700" t="s">
        <v>7066</v>
      </c>
      <c r="G1700" t="s">
        <v>7067</v>
      </c>
      <c r="H1700">
        <v>7.338673</v>
      </c>
      <c r="I1700">
        <v>47.748435000000001</v>
      </c>
      <c r="J1700">
        <v>100</v>
      </c>
      <c r="K1700" t="s">
        <v>535</v>
      </c>
      <c r="L1700" t="s">
        <v>535</v>
      </c>
      <c r="M1700" t="s">
        <v>535</v>
      </c>
      <c r="N1700" t="s">
        <v>535</v>
      </c>
      <c r="O1700" t="s">
        <v>535</v>
      </c>
      <c r="P1700" t="s">
        <v>535</v>
      </c>
      <c r="R1700" t="s">
        <v>7679</v>
      </c>
      <c r="U1700" t="s">
        <v>7680</v>
      </c>
    </row>
    <row r="1701" spans="1:21" x14ac:dyDescent="0.25">
      <c r="A1701" t="s">
        <v>7681</v>
      </c>
      <c r="B1701" t="s">
        <v>38</v>
      </c>
      <c r="C1701" t="s">
        <v>7682</v>
      </c>
      <c r="D1701">
        <f t="shared" si="51"/>
        <v>-805088855</v>
      </c>
      <c r="E1701" t="s">
        <v>7683</v>
      </c>
      <c r="F1701" t="s">
        <v>7066</v>
      </c>
      <c r="G1701" t="s">
        <v>7067</v>
      </c>
      <c r="H1701">
        <v>3.0825689999999999</v>
      </c>
      <c r="I1701">
        <v>44.100402000000003</v>
      </c>
      <c r="J1701">
        <v>100</v>
      </c>
      <c r="K1701" t="s">
        <v>184</v>
      </c>
      <c r="L1701" t="s">
        <v>184</v>
      </c>
      <c r="M1701" t="s">
        <v>184</v>
      </c>
      <c r="N1701" t="s">
        <v>184</v>
      </c>
      <c r="O1701" t="s">
        <v>184</v>
      </c>
      <c r="P1701" t="s">
        <v>184</v>
      </c>
      <c r="R1701" t="s">
        <v>7684</v>
      </c>
      <c r="U1701" t="s">
        <v>7685</v>
      </c>
    </row>
    <row r="1702" spans="1:21" x14ac:dyDescent="0.25">
      <c r="A1702" t="s">
        <v>7686</v>
      </c>
      <c r="B1702" t="s">
        <v>22</v>
      </c>
      <c r="C1702" t="s">
        <v>7687</v>
      </c>
      <c r="D1702">
        <f t="shared" si="51"/>
        <v>-805088855</v>
      </c>
      <c r="E1702" t="s">
        <v>7688</v>
      </c>
      <c r="F1702" t="s">
        <v>7066</v>
      </c>
      <c r="G1702" t="s">
        <v>7067</v>
      </c>
      <c r="H1702">
        <v>2.5226000000000002</v>
      </c>
      <c r="I1702">
        <v>48.989986000000002</v>
      </c>
      <c r="J1702">
        <v>100</v>
      </c>
      <c r="K1702" t="s">
        <v>45</v>
      </c>
      <c r="L1702" t="s">
        <v>45</v>
      </c>
      <c r="M1702" t="s">
        <v>45</v>
      </c>
      <c r="N1702" t="s">
        <v>45</v>
      </c>
      <c r="O1702" t="s">
        <v>45</v>
      </c>
      <c r="P1702" t="s">
        <v>45</v>
      </c>
      <c r="Q1702" t="s">
        <v>45</v>
      </c>
      <c r="R1702" t="s">
        <v>7689</v>
      </c>
      <c r="U1702" t="s">
        <v>7690</v>
      </c>
    </row>
    <row r="1703" spans="1:21" x14ac:dyDescent="0.25">
      <c r="A1703" t="s">
        <v>7691</v>
      </c>
      <c r="B1703" t="s">
        <v>38</v>
      </c>
      <c r="C1703" t="s">
        <v>7692</v>
      </c>
      <c r="D1703">
        <f t="shared" si="51"/>
        <v>-805088855</v>
      </c>
      <c r="E1703" t="s">
        <v>7693</v>
      </c>
      <c r="F1703" t="s">
        <v>7066</v>
      </c>
      <c r="G1703" t="s">
        <v>7067</v>
      </c>
      <c r="H1703">
        <v>2.4643060000000001</v>
      </c>
      <c r="I1703">
        <v>49.233381999999999</v>
      </c>
      <c r="J1703">
        <v>100</v>
      </c>
      <c r="K1703" t="s">
        <v>774</v>
      </c>
      <c r="L1703" t="s">
        <v>774</v>
      </c>
      <c r="M1703" t="s">
        <v>774</v>
      </c>
      <c r="N1703" t="s">
        <v>774</v>
      </c>
      <c r="O1703" t="s">
        <v>774</v>
      </c>
      <c r="P1703" t="s">
        <v>45</v>
      </c>
      <c r="R1703" t="s">
        <v>7694</v>
      </c>
      <c r="U1703" t="s">
        <v>7695</v>
      </c>
    </row>
    <row r="1704" spans="1:21" x14ac:dyDescent="0.25">
      <c r="A1704" t="s">
        <v>7696</v>
      </c>
      <c r="B1704" t="s">
        <v>38</v>
      </c>
      <c r="C1704" t="s">
        <v>7697</v>
      </c>
      <c r="D1704">
        <f t="shared" si="51"/>
        <v>-805088855</v>
      </c>
      <c r="E1704" t="s">
        <v>7698</v>
      </c>
      <c r="F1704" t="s">
        <v>7066</v>
      </c>
      <c r="G1704" t="s">
        <v>7067</v>
      </c>
      <c r="H1704">
        <v>-1.116692</v>
      </c>
      <c r="I1704">
        <v>44.613236000000001</v>
      </c>
      <c r="J1704">
        <v>100</v>
      </c>
      <c r="K1704" t="s">
        <v>192</v>
      </c>
      <c r="L1704" t="s">
        <v>192</v>
      </c>
      <c r="M1704" t="s">
        <v>192</v>
      </c>
      <c r="N1704" t="s">
        <v>192</v>
      </c>
      <c r="O1704" t="s">
        <v>192</v>
      </c>
      <c r="P1704" t="s">
        <v>192</v>
      </c>
      <c r="R1704" t="s">
        <v>7699</v>
      </c>
      <c r="U1704" t="s">
        <v>7700</v>
      </c>
    </row>
    <row r="1705" spans="1:21" x14ac:dyDescent="0.25">
      <c r="A1705" t="s">
        <v>7701</v>
      </c>
      <c r="B1705" t="s">
        <v>38</v>
      </c>
      <c r="C1705" t="s">
        <v>7702</v>
      </c>
      <c r="D1705">
        <f t="shared" si="51"/>
        <v>-805088855</v>
      </c>
      <c r="E1705" t="s">
        <v>7128</v>
      </c>
      <c r="F1705" t="s">
        <v>7066</v>
      </c>
      <c r="G1705" t="s">
        <v>7067</v>
      </c>
      <c r="H1705">
        <v>-0.69367400000000001</v>
      </c>
      <c r="I1705">
        <v>44.884000999999998</v>
      </c>
      <c r="J1705">
        <v>100</v>
      </c>
      <c r="K1705" t="s">
        <v>185</v>
      </c>
      <c r="L1705" t="s">
        <v>185</v>
      </c>
      <c r="M1705" t="s">
        <v>185</v>
      </c>
      <c r="N1705" t="s">
        <v>185</v>
      </c>
      <c r="O1705" t="s">
        <v>185</v>
      </c>
      <c r="P1705" t="s">
        <v>185</v>
      </c>
      <c r="R1705" t="s">
        <v>7703</v>
      </c>
      <c r="U1705" t="s">
        <v>7704</v>
      </c>
    </row>
    <row r="1706" spans="1:21" x14ac:dyDescent="0.25">
      <c r="A1706" t="s">
        <v>7705</v>
      </c>
      <c r="B1706" t="s">
        <v>38</v>
      </c>
      <c r="C1706" t="s">
        <v>7706</v>
      </c>
      <c r="D1706">
        <f t="shared" si="51"/>
        <v>-805088855</v>
      </c>
      <c r="E1706" t="s">
        <v>7707</v>
      </c>
      <c r="F1706" t="s">
        <v>7066</v>
      </c>
      <c r="G1706" t="s">
        <v>7067</v>
      </c>
      <c r="H1706">
        <v>-0.35910599999999998</v>
      </c>
      <c r="I1706">
        <v>43.316634999999998</v>
      </c>
      <c r="J1706">
        <v>100</v>
      </c>
      <c r="K1706" t="s">
        <v>192</v>
      </c>
      <c r="L1706" t="s">
        <v>192</v>
      </c>
      <c r="M1706" t="s">
        <v>192</v>
      </c>
      <c r="N1706" t="s">
        <v>192</v>
      </c>
      <c r="O1706" t="s">
        <v>192</v>
      </c>
      <c r="P1706" t="s">
        <v>192</v>
      </c>
      <c r="R1706" t="s">
        <v>7708</v>
      </c>
      <c r="U1706" t="s">
        <v>7709</v>
      </c>
    </row>
    <row r="1707" spans="1:21" x14ac:dyDescent="0.25">
      <c r="A1707" t="s">
        <v>7710</v>
      </c>
      <c r="B1707" t="s">
        <v>22</v>
      </c>
      <c r="C1707" t="s">
        <v>7711</v>
      </c>
      <c r="D1707">
        <f t="shared" si="51"/>
        <v>-805088855</v>
      </c>
      <c r="E1707" t="s">
        <v>7712</v>
      </c>
      <c r="F1707" t="s">
        <v>7066</v>
      </c>
      <c r="G1707" t="s">
        <v>7067</v>
      </c>
      <c r="H1707">
        <v>5.7984330000000002</v>
      </c>
      <c r="I1707">
        <v>49.545561999999997</v>
      </c>
      <c r="J1707">
        <v>100</v>
      </c>
      <c r="K1707" t="s">
        <v>759</v>
      </c>
      <c r="L1707" t="s">
        <v>759</v>
      </c>
      <c r="M1707" t="s">
        <v>759</v>
      </c>
      <c r="N1707" t="s">
        <v>759</v>
      </c>
      <c r="O1707" t="s">
        <v>759</v>
      </c>
      <c r="P1707" t="s">
        <v>759</v>
      </c>
      <c r="R1707" t="s">
        <v>7713</v>
      </c>
      <c r="U1707" t="s">
        <v>7714</v>
      </c>
    </row>
    <row r="1708" spans="1:21" x14ac:dyDescent="0.25">
      <c r="A1708" t="s">
        <v>7715</v>
      </c>
      <c r="B1708" t="s">
        <v>38</v>
      </c>
      <c r="C1708" t="s">
        <v>7716</v>
      </c>
      <c r="D1708">
        <f t="shared" si="51"/>
        <v>-805088855</v>
      </c>
      <c r="E1708" t="s">
        <v>7717</v>
      </c>
      <c r="F1708" t="s">
        <v>7066</v>
      </c>
      <c r="G1708" t="s">
        <v>7067</v>
      </c>
      <c r="H1708">
        <v>2.8604229999999999</v>
      </c>
      <c r="I1708">
        <v>48.958126999999998</v>
      </c>
      <c r="J1708">
        <v>100</v>
      </c>
      <c r="K1708" t="s">
        <v>45</v>
      </c>
      <c r="L1708" t="s">
        <v>45</v>
      </c>
      <c r="M1708" t="s">
        <v>45</v>
      </c>
      <c r="N1708" t="s">
        <v>45</v>
      </c>
      <c r="O1708" t="s">
        <v>45</v>
      </c>
      <c r="P1708" t="s">
        <v>45</v>
      </c>
      <c r="R1708" t="s">
        <v>7718</v>
      </c>
      <c r="U1708" t="s">
        <v>7719</v>
      </c>
    </row>
    <row r="1709" spans="1:21" x14ac:dyDescent="0.25">
      <c r="A1709" t="s">
        <v>7720</v>
      </c>
      <c r="B1709" t="s">
        <v>38</v>
      </c>
      <c r="C1709" t="s">
        <v>7721</v>
      </c>
      <c r="D1709">
        <f t="shared" si="51"/>
        <v>-805088855</v>
      </c>
      <c r="E1709" t="s">
        <v>7344</v>
      </c>
      <c r="F1709" t="s">
        <v>7066</v>
      </c>
      <c r="G1709" t="s">
        <v>7067</v>
      </c>
      <c r="H1709">
        <v>7.7248270000000003</v>
      </c>
      <c r="I1709">
        <v>48.653613999999997</v>
      </c>
      <c r="J1709">
        <v>100</v>
      </c>
      <c r="K1709" t="s">
        <v>192</v>
      </c>
      <c r="L1709" t="s">
        <v>192</v>
      </c>
      <c r="M1709" t="s">
        <v>192</v>
      </c>
      <c r="N1709" t="s">
        <v>192</v>
      </c>
      <c r="O1709" t="s">
        <v>192</v>
      </c>
      <c r="P1709" t="s">
        <v>192</v>
      </c>
      <c r="R1709" t="s">
        <v>7722</v>
      </c>
      <c r="U1709" t="s">
        <v>7723</v>
      </c>
    </row>
    <row r="1710" spans="1:21" x14ac:dyDescent="0.25">
      <c r="A1710" t="s">
        <v>7724</v>
      </c>
      <c r="B1710" t="s">
        <v>22</v>
      </c>
      <c r="C1710" t="s">
        <v>7725</v>
      </c>
      <c r="D1710">
        <f t="shared" si="51"/>
        <v>-805088855</v>
      </c>
      <c r="E1710" t="s">
        <v>7726</v>
      </c>
      <c r="F1710" t="s">
        <v>7066</v>
      </c>
      <c r="G1710" t="s">
        <v>7067</v>
      </c>
      <c r="H1710">
        <v>2.8250500000000001</v>
      </c>
      <c r="I1710">
        <v>49.418671000000003</v>
      </c>
      <c r="J1710">
        <v>100</v>
      </c>
      <c r="K1710" t="s">
        <v>759</v>
      </c>
      <c r="L1710" t="s">
        <v>759</v>
      </c>
      <c r="M1710" t="s">
        <v>759</v>
      </c>
      <c r="N1710" t="s">
        <v>759</v>
      </c>
      <c r="O1710" t="s">
        <v>759</v>
      </c>
      <c r="P1710" t="s">
        <v>759</v>
      </c>
      <c r="R1710" t="s">
        <v>7727</v>
      </c>
      <c r="U1710" t="s">
        <v>7728</v>
      </c>
    </row>
    <row r="1711" spans="1:21" x14ac:dyDescent="0.25">
      <c r="A1711" t="s">
        <v>7729</v>
      </c>
      <c r="B1711" t="s">
        <v>38</v>
      </c>
      <c r="C1711" t="s">
        <v>7730</v>
      </c>
      <c r="D1711">
        <f t="shared" si="51"/>
        <v>-805088855</v>
      </c>
      <c r="E1711" t="s">
        <v>7731</v>
      </c>
      <c r="F1711" t="s">
        <v>7066</v>
      </c>
      <c r="G1711" t="s">
        <v>7067</v>
      </c>
      <c r="H1711">
        <v>2.8285520000000002</v>
      </c>
      <c r="I1711">
        <v>50.429437999999998</v>
      </c>
      <c r="J1711">
        <v>100</v>
      </c>
      <c r="K1711" t="s">
        <v>759</v>
      </c>
      <c r="L1711" t="s">
        <v>759</v>
      </c>
      <c r="M1711" t="s">
        <v>759</v>
      </c>
      <c r="N1711" t="s">
        <v>759</v>
      </c>
      <c r="O1711" t="s">
        <v>759</v>
      </c>
      <c r="P1711" t="s">
        <v>759</v>
      </c>
      <c r="R1711" t="s">
        <v>7732</v>
      </c>
      <c r="U1711" t="s">
        <v>7733</v>
      </c>
    </row>
    <row r="1712" spans="1:21" x14ac:dyDescent="0.25">
      <c r="A1712" t="s">
        <v>7734</v>
      </c>
      <c r="B1712" t="s">
        <v>38</v>
      </c>
      <c r="C1712" t="s">
        <v>7735</v>
      </c>
      <c r="D1712">
        <f t="shared" si="51"/>
        <v>-805088855</v>
      </c>
      <c r="E1712" t="s">
        <v>7736</v>
      </c>
      <c r="F1712" t="s">
        <v>7066</v>
      </c>
      <c r="G1712" t="s">
        <v>7067</v>
      </c>
      <c r="H1712">
        <v>5.2243786999999999</v>
      </c>
      <c r="I1712">
        <v>45.612392700000001</v>
      </c>
      <c r="J1712">
        <v>100</v>
      </c>
      <c r="K1712" t="s">
        <v>185</v>
      </c>
      <c r="L1712" t="s">
        <v>185</v>
      </c>
      <c r="M1712" t="s">
        <v>185</v>
      </c>
      <c r="N1712" t="s">
        <v>185</v>
      </c>
      <c r="O1712" t="s">
        <v>185</v>
      </c>
      <c r="P1712" t="s">
        <v>185</v>
      </c>
      <c r="R1712" t="s">
        <v>7737</v>
      </c>
      <c r="U1712" t="s">
        <v>7738</v>
      </c>
    </row>
    <row r="1713" spans="1:21" x14ac:dyDescent="0.25">
      <c r="A1713" t="s">
        <v>7739</v>
      </c>
      <c r="B1713" t="s">
        <v>22</v>
      </c>
      <c r="C1713" t="s">
        <v>7740</v>
      </c>
      <c r="D1713">
        <f t="shared" si="51"/>
        <v>-805088855</v>
      </c>
      <c r="E1713" t="s">
        <v>7098</v>
      </c>
      <c r="F1713" t="s">
        <v>7066</v>
      </c>
      <c r="G1713" t="s">
        <v>7067</v>
      </c>
      <c r="H1713">
        <v>2.3763559000000201</v>
      </c>
      <c r="I1713">
        <v>48.830567799999997</v>
      </c>
      <c r="J1713">
        <v>100</v>
      </c>
      <c r="K1713" t="s">
        <v>45</v>
      </c>
      <c r="L1713" t="s">
        <v>45</v>
      </c>
      <c r="M1713" t="s">
        <v>45</v>
      </c>
      <c r="N1713" t="s">
        <v>45</v>
      </c>
      <c r="O1713" t="s">
        <v>45</v>
      </c>
      <c r="P1713" t="s">
        <v>45</v>
      </c>
      <c r="R1713" t="s">
        <v>7741</v>
      </c>
      <c r="U1713" t="s">
        <v>7742</v>
      </c>
    </row>
    <row r="1714" spans="1:21" x14ac:dyDescent="0.25">
      <c r="A1714" t="s">
        <v>7743</v>
      </c>
      <c r="B1714" t="s">
        <v>22</v>
      </c>
      <c r="C1714" t="s">
        <v>7744</v>
      </c>
      <c r="D1714">
        <f t="shared" si="51"/>
        <v>-805088855</v>
      </c>
      <c r="E1714" t="s">
        <v>7745</v>
      </c>
      <c r="F1714" t="s">
        <v>7066</v>
      </c>
      <c r="G1714" t="s">
        <v>7067</v>
      </c>
      <c r="H1714">
        <v>-1.1498029999999999</v>
      </c>
      <c r="I1714">
        <v>46.160625000000003</v>
      </c>
      <c r="J1714">
        <v>100</v>
      </c>
      <c r="K1714" t="s">
        <v>535</v>
      </c>
      <c r="L1714" t="s">
        <v>535</v>
      </c>
      <c r="M1714" t="s">
        <v>535</v>
      </c>
      <c r="N1714" t="s">
        <v>535</v>
      </c>
      <c r="O1714" t="s">
        <v>535</v>
      </c>
      <c r="P1714" t="s">
        <v>774</v>
      </c>
      <c r="R1714" t="s">
        <v>7746</v>
      </c>
      <c r="U1714" t="s">
        <v>7747</v>
      </c>
    </row>
    <row r="1715" spans="1:21" x14ac:dyDescent="0.25">
      <c r="A1715" t="s">
        <v>7748</v>
      </c>
      <c r="B1715" t="s">
        <v>22</v>
      </c>
      <c r="C1715" t="s">
        <v>7749</v>
      </c>
      <c r="D1715">
        <f t="shared" si="51"/>
        <v>-805088855</v>
      </c>
      <c r="E1715" t="s">
        <v>7750</v>
      </c>
      <c r="F1715" t="s">
        <v>7066</v>
      </c>
      <c r="G1715" t="s">
        <v>7067</v>
      </c>
      <c r="H1715">
        <v>-2.756081</v>
      </c>
      <c r="I1715">
        <v>47.659190000000002</v>
      </c>
      <c r="J1715">
        <v>100</v>
      </c>
      <c r="K1715" t="s">
        <v>774</v>
      </c>
      <c r="L1715" t="s">
        <v>774</v>
      </c>
      <c r="M1715" t="s">
        <v>774</v>
      </c>
      <c r="N1715" t="s">
        <v>774</v>
      </c>
      <c r="O1715" t="s">
        <v>774</v>
      </c>
      <c r="P1715" t="s">
        <v>774</v>
      </c>
      <c r="R1715" t="s">
        <v>7751</v>
      </c>
      <c r="U1715" t="s">
        <v>7752</v>
      </c>
    </row>
    <row r="1716" spans="1:21" x14ac:dyDescent="0.25">
      <c r="A1716" t="s">
        <v>7753</v>
      </c>
      <c r="B1716" t="s">
        <v>32</v>
      </c>
      <c r="C1716" t="s">
        <v>7754</v>
      </c>
      <c r="D1716">
        <f t="shared" si="51"/>
        <v>-805088855</v>
      </c>
      <c r="E1716" t="s">
        <v>7755</v>
      </c>
      <c r="F1716" t="s">
        <v>7066</v>
      </c>
      <c r="G1716" t="s">
        <v>7067</v>
      </c>
      <c r="H1716">
        <v>7.2684559999999996</v>
      </c>
      <c r="I1716">
        <v>43.699423000000003</v>
      </c>
      <c r="J1716">
        <v>100</v>
      </c>
      <c r="K1716" t="s">
        <v>774</v>
      </c>
      <c r="L1716" t="s">
        <v>774</v>
      </c>
      <c r="M1716" t="s">
        <v>774</v>
      </c>
      <c r="N1716" t="s">
        <v>774</v>
      </c>
      <c r="O1716" t="s">
        <v>774</v>
      </c>
      <c r="P1716" t="s">
        <v>774</v>
      </c>
      <c r="Q1716" t="s">
        <v>535</v>
      </c>
      <c r="R1716" t="s">
        <v>7756</v>
      </c>
      <c r="U1716" t="s">
        <v>7757</v>
      </c>
    </row>
    <row r="1717" spans="1:21" x14ac:dyDescent="0.25">
      <c r="A1717" t="s">
        <v>7758</v>
      </c>
      <c r="B1717" t="s">
        <v>22</v>
      </c>
      <c r="C1717" t="s">
        <v>7759</v>
      </c>
      <c r="D1717">
        <f t="shared" si="51"/>
        <v>-805088855</v>
      </c>
      <c r="E1717" t="s">
        <v>7760</v>
      </c>
      <c r="F1717" t="s">
        <v>7066</v>
      </c>
      <c r="G1717" t="s">
        <v>7067</v>
      </c>
      <c r="H1717">
        <v>1.69352836156088</v>
      </c>
      <c r="I1717">
        <v>46.811227351379998</v>
      </c>
      <c r="J1717">
        <v>100</v>
      </c>
      <c r="K1717" t="s">
        <v>535</v>
      </c>
      <c r="L1717" t="s">
        <v>535</v>
      </c>
      <c r="M1717" t="s">
        <v>535</v>
      </c>
      <c r="N1717" t="s">
        <v>535</v>
      </c>
      <c r="O1717" t="s">
        <v>535</v>
      </c>
      <c r="P1717" t="s">
        <v>535</v>
      </c>
      <c r="R1717" t="s">
        <v>7761</v>
      </c>
      <c r="U1717" t="s">
        <v>7762</v>
      </c>
    </row>
    <row r="1718" spans="1:21" x14ac:dyDescent="0.25">
      <c r="A1718" t="s">
        <v>7763</v>
      </c>
      <c r="B1718" t="s">
        <v>22</v>
      </c>
      <c r="C1718" t="s">
        <v>7764</v>
      </c>
      <c r="D1718">
        <f t="shared" si="51"/>
        <v>-805088855</v>
      </c>
      <c r="E1718" t="s">
        <v>7765</v>
      </c>
      <c r="F1718" t="s">
        <v>7066</v>
      </c>
      <c r="G1718" t="s">
        <v>7067</v>
      </c>
      <c r="H1718">
        <v>1.4645113556065299</v>
      </c>
      <c r="I1718">
        <v>48.411355603050303</v>
      </c>
      <c r="J1718">
        <v>100</v>
      </c>
      <c r="K1718" t="s">
        <v>185</v>
      </c>
      <c r="L1718" t="s">
        <v>185</v>
      </c>
      <c r="M1718" t="s">
        <v>185</v>
      </c>
      <c r="N1718" t="s">
        <v>185</v>
      </c>
      <c r="O1718" t="s">
        <v>185</v>
      </c>
      <c r="P1718" t="s">
        <v>185</v>
      </c>
      <c r="R1718" t="s">
        <v>7766</v>
      </c>
      <c r="U1718" t="s">
        <v>7767</v>
      </c>
    </row>
    <row r="1719" spans="1:21" x14ac:dyDescent="0.25">
      <c r="A1719" t="s">
        <v>7768</v>
      </c>
      <c r="B1719" t="s">
        <v>38</v>
      </c>
      <c r="C1719" t="s">
        <v>7769</v>
      </c>
      <c r="D1719">
        <f t="shared" si="51"/>
        <v>-805088855</v>
      </c>
      <c r="E1719" t="s">
        <v>7143</v>
      </c>
      <c r="F1719" t="s">
        <v>7066</v>
      </c>
      <c r="G1719" t="s">
        <v>7067</v>
      </c>
      <c r="H1719">
        <v>2.03873732183001</v>
      </c>
      <c r="I1719">
        <v>47.905845732482703</v>
      </c>
      <c r="J1719">
        <v>100</v>
      </c>
      <c r="K1719" t="s">
        <v>759</v>
      </c>
      <c r="L1719" t="s">
        <v>759</v>
      </c>
      <c r="M1719" t="s">
        <v>759</v>
      </c>
      <c r="N1719" t="s">
        <v>759</v>
      </c>
      <c r="O1719" t="s">
        <v>759</v>
      </c>
      <c r="P1719" t="s">
        <v>759</v>
      </c>
      <c r="R1719" t="s">
        <v>7770</v>
      </c>
      <c r="U1719" t="s">
        <v>7771</v>
      </c>
    </row>
    <row r="1720" spans="1:21" x14ac:dyDescent="0.25">
      <c r="A1720" t="s">
        <v>7772</v>
      </c>
      <c r="B1720" t="s">
        <v>22</v>
      </c>
      <c r="C1720" t="s">
        <v>7773</v>
      </c>
      <c r="D1720">
        <f t="shared" si="51"/>
        <v>-805088855</v>
      </c>
      <c r="E1720" t="s">
        <v>7462</v>
      </c>
      <c r="F1720" t="s">
        <v>7066</v>
      </c>
      <c r="G1720" t="s">
        <v>7067</v>
      </c>
      <c r="H1720">
        <v>-0.461947</v>
      </c>
      <c r="I1720">
        <v>46.324323</v>
      </c>
      <c r="J1720">
        <v>100</v>
      </c>
      <c r="K1720" t="s">
        <v>759</v>
      </c>
      <c r="L1720" t="s">
        <v>759</v>
      </c>
      <c r="M1720" t="s">
        <v>759</v>
      </c>
      <c r="N1720" t="s">
        <v>759</v>
      </c>
      <c r="O1720" t="s">
        <v>759</v>
      </c>
      <c r="P1720" t="s">
        <v>759</v>
      </c>
      <c r="R1720" t="s">
        <v>7774</v>
      </c>
      <c r="U1720" t="s">
        <v>7775</v>
      </c>
    </row>
    <row r="1721" spans="1:21" x14ac:dyDescent="0.25">
      <c r="A1721" t="s">
        <v>7776</v>
      </c>
      <c r="B1721" t="s">
        <v>32</v>
      </c>
      <c r="C1721" t="s">
        <v>7777</v>
      </c>
      <c r="D1721">
        <f t="shared" si="51"/>
        <v>-805088855</v>
      </c>
      <c r="E1721" t="s">
        <v>7778</v>
      </c>
      <c r="F1721" t="s">
        <v>7066</v>
      </c>
      <c r="G1721" t="s">
        <v>7067</v>
      </c>
      <c r="H1721">
        <v>7.1258689999999998</v>
      </c>
      <c r="I1721">
        <v>43.665232000000003</v>
      </c>
      <c r="J1721">
        <v>100</v>
      </c>
      <c r="K1721" t="s">
        <v>45</v>
      </c>
      <c r="L1721" t="s">
        <v>45</v>
      </c>
      <c r="M1721" t="s">
        <v>45</v>
      </c>
      <c r="N1721" t="s">
        <v>45</v>
      </c>
      <c r="O1721" t="s">
        <v>45</v>
      </c>
      <c r="P1721" t="s">
        <v>45</v>
      </c>
      <c r="Q1721" t="s">
        <v>717</v>
      </c>
      <c r="R1721" t="s">
        <v>7779</v>
      </c>
      <c r="U1721" t="s">
        <v>7780</v>
      </c>
    </row>
    <row r="1722" spans="1:21" x14ac:dyDescent="0.25">
      <c r="A1722" t="s">
        <v>7781</v>
      </c>
      <c r="B1722" t="s">
        <v>22</v>
      </c>
      <c r="C1722" t="s">
        <v>7782</v>
      </c>
      <c r="D1722">
        <f t="shared" si="51"/>
        <v>-805088855</v>
      </c>
      <c r="E1722" t="s">
        <v>7429</v>
      </c>
      <c r="F1722" t="s">
        <v>7066</v>
      </c>
      <c r="G1722" t="s">
        <v>7067</v>
      </c>
      <c r="H1722">
        <v>6.0206239999999998</v>
      </c>
      <c r="I1722">
        <v>47.238472000000002</v>
      </c>
      <c r="J1722">
        <v>100</v>
      </c>
      <c r="K1722" t="s">
        <v>774</v>
      </c>
      <c r="L1722" t="s">
        <v>774</v>
      </c>
      <c r="M1722" t="s">
        <v>774</v>
      </c>
      <c r="N1722" t="s">
        <v>774</v>
      </c>
      <c r="O1722" t="s">
        <v>774</v>
      </c>
      <c r="P1722" t="s">
        <v>774</v>
      </c>
      <c r="R1722" t="s">
        <v>7783</v>
      </c>
      <c r="U1722" t="s">
        <v>7784</v>
      </c>
    </row>
    <row r="1723" spans="1:21" x14ac:dyDescent="0.25">
      <c r="A1723" t="s">
        <v>7785</v>
      </c>
      <c r="B1723" t="s">
        <v>38</v>
      </c>
      <c r="C1723" t="s">
        <v>7786</v>
      </c>
      <c r="D1723">
        <f t="shared" si="51"/>
        <v>-805088855</v>
      </c>
      <c r="E1723" t="s">
        <v>7787</v>
      </c>
      <c r="F1723" t="s">
        <v>7066</v>
      </c>
      <c r="G1723" t="s">
        <v>7067</v>
      </c>
      <c r="H1723">
        <v>-1.042468</v>
      </c>
      <c r="I1723">
        <v>43.730977000000003</v>
      </c>
      <c r="J1723">
        <v>100</v>
      </c>
      <c r="K1723" t="s">
        <v>185</v>
      </c>
      <c r="L1723" t="s">
        <v>185</v>
      </c>
      <c r="M1723" t="s">
        <v>185</v>
      </c>
      <c r="N1723" t="s">
        <v>185</v>
      </c>
      <c r="O1723" t="s">
        <v>185</v>
      </c>
      <c r="P1723" t="s">
        <v>185</v>
      </c>
      <c r="R1723" t="s">
        <v>7788</v>
      </c>
      <c r="U1723" t="s">
        <v>7789</v>
      </c>
    </row>
    <row r="1724" spans="1:21" x14ac:dyDescent="0.25">
      <c r="A1724" t="s">
        <v>7790</v>
      </c>
      <c r="B1724" t="s">
        <v>32</v>
      </c>
      <c r="C1724" t="s">
        <v>7791</v>
      </c>
      <c r="D1724">
        <f t="shared" si="51"/>
        <v>-805088855</v>
      </c>
      <c r="E1724" t="s">
        <v>7148</v>
      </c>
      <c r="F1724" t="s">
        <v>7066</v>
      </c>
      <c r="G1724" t="s">
        <v>7067</v>
      </c>
      <c r="H1724">
        <v>5.3792619999999998</v>
      </c>
      <c r="I1724">
        <v>43.292172000000001</v>
      </c>
      <c r="J1724">
        <v>100</v>
      </c>
      <c r="K1724" t="s">
        <v>774</v>
      </c>
      <c r="L1724" t="s">
        <v>774</v>
      </c>
      <c r="M1724" t="s">
        <v>774</v>
      </c>
      <c r="N1724" t="s">
        <v>774</v>
      </c>
      <c r="O1724" t="s">
        <v>774</v>
      </c>
      <c r="P1724" t="s">
        <v>774</v>
      </c>
      <c r="R1724" t="s">
        <v>7792</v>
      </c>
      <c r="U1724" t="s">
        <v>7793</v>
      </c>
    </row>
    <row r="1725" spans="1:21" x14ac:dyDescent="0.25">
      <c r="A1725" t="s">
        <v>7794</v>
      </c>
      <c r="B1725" t="s">
        <v>22</v>
      </c>
      <c r="C1725" t="s">
        <v>7795</v>
      </c>
      <c r="D1725">
        <f t="shared" si="51"/>
        <v>-805088855</v>
      </c>
      <c r="E1725" t="s">
        <v>7077</v>
      </c>
      <c r="F1725" t="s">
        <v>7066</v>
      </c>
      <c r="G1725" t="s">
        <v>7067</v>
      </c>
      <c r="H1725">
        <v>3.0423599000000698</v>
      </c>
      <c r="I1725">
        <v>50.613811099999999</v>
      </c>
      <c r="J1725">
        <v>100</v>
      </c>
      <c r="K1725" t="s">
        <v>45</v>
      </c>
      <c r="L1725" t="s">
        <v>45</v>
      </c>
      <c r="M1725" t="s">
        <v>45</v>
      </c>
      <c r="N1725" t="s">
        <v>45</v>
      </c>
      <c r="O1725" t="s">
        <v>45</v>
      </c>
      <c r="P1725" t="s">
        <v>45</v>
      </c>
      <c r="R1725" t="s">
        <v>7796</v>
      </c>
      <c r="S1725" t="s">
        <v>7797</v>
      </c>
      <c r="U1725" t="s">
        <v>7798</v>
      </c>
    </row>
    <row r="1726" spans="1:21" x14ac:dyDescent="0.25">
      <c r="A1726" t="s">
        <v>7799</v>
      </c>
      <c r="B1726" t="s">
        <v>38</v>
      </c>
      <c r="C1726" t="s">
        <v>7800</v>
      </c>
      <c r="D1726">
        <f t="shared" si="51"/>
        <v>-805088855</v>
      </c>
      <c r="E1726" t="s">
        <v>7801</v>
      </c>
      <c r="F1726" t="s">
        <v>7066</v>
      </c>
      <c r="G1726" t="s">
        <v>7067</v>
      </c>
      <c r="H1726">
        <v>6.1041169999999996</v>
      </c>
      <c r="I1726">
        <v>49.080798999999999</v>
      </c>
      <c r="J1726">
        <v>100</v>
      </c>
      <c r="K1726" t="s">
        <v>45</v>
      </c>
      <c r="L1726" t="s">
        <v>45</v>
      </c>
      <c r="M1726" t="s">
        <v>45</v>
      </c>
      <c r="N1726" t="s">
        <v>45</v>
      </c>
      <c r="O1726" t="s">
        <v>45</v>
      </c>
      <c r="P1726" t="s">
        <v>45</v>
      </c>
      <c r="R1726" t="s">
        <v>7802</v>
      </c>
      <c r="U1726" t="s">
        <v>7803</v>
      </c>
    </row>
    <row r="1727" spans="1:21" x14ac:dyDescent="0.25">
      <c r="A1727" t="s">
        <v>7804</v>
      </c>
      <c r="B1727" t="s">
        <v>22</v>
      </c>
      <c r="C1727" t="s">
        <v>7805</v>
      </c>
      <c r="D1727">
        <f t="shared" si="51"/>
        <v>-805088855</v>
      </c>
      <c r="E1727" t="s">
        <v>7806</v>
      </c>
      <c r="F1727" t="s">
        <v>7066</v>
      </c>
      <c r="G1727" t="s">
        <v>7067</v>
      </c>
      <c r="H1727">
        <v>6.9324820000000003</v>
      </c>
      <c r="I1727">
        <v>43.531498999999997</v>
      </c>
      <c r="J1727">
        <v>100</v>
      </c>
      <c r="K1727" t="s">
        <v>192</v>
      </c>
      <c r="L1727" t="s">
        <v>192</v>
      </c>
      <c r="M1727" t="s">
        <v>192</v>
      </c>
      <c r="N1727" t="s">
        <v>192</v>
      </c>
      <c r="O1727" t="s">
        <v>192</v>
      </c>
      <c r="P1727" t="s">
        <v>192</v>
      </c>
      <c r="R1727" t="s">
        <v>7807</v>
      </c>
      <c r="U1727" t="s">
        <v>7808</v>
      </c>
    </row>
    <row r="1728" spans="1:21" x14ac:dyDescent="0.25">
      <c r="A1728" t="s">
        <v>7809</v>
      </c>
      <c r="B1728" t="s">
        <v>38</v>
      </c>
      <c r="C1728" t="s">
        <v>7810</v>
      </c>
      <c r="D1728">
        <f t="shared" si="51"/>
        <v>-805088855</v>
      </c>
      <c r="E1728" t="s">
        <v>7312</v>
      </c>
      <c r="F1728" t="s">
        <v>7066</v>
      </c>
      <c r="G1728" t="s">
        <v>7067</v>
      </c>
      <c r="H1728">
        <v>-3.3442289999999999</v>
      </c>
      <c r="I1728">
        <v>47.776015999999998</v>
      </c>
      <c r="J1728">
        <v>100</v>
      </c>
      <c r="K1728" t="s">
        <v>185</v>
      </c>
      <c r="L1728" t="s">
        <v>185</v>
      </c>
      <c r="M1728" t="s">
        <v>185</v>
      </c>
      <c r="N1728" t="s">
        <v>185</v>
      </c>
      <c r="O1728" t="s">
        <v>185</v>
      </c>
      <c r="P1728" t="s">
        <v>185</v>
      </c>
      <c r="R1728" t="s">
        <v>7811</v>
      </c>
      <c r="U1728" t="s">
        <v>7812</v>
      </c>
    </row>
    <row r="1729" spans="1:21" x14ac:dyDescent="0.25">
      <c r="A1729" t="s">
        <v>7813</v>
      </c>
      <c r="B1729" t="s">
        <v>22</v>
      </c>
      <c r="C1729" t="s">
        <v>7814</v>
      </c>
      <c r="D1729">
        <f t="shared" si="51"/>
        <v>-805088855</v>
      </c>
      <c r="E1729" t="s">
        <v>7339</v>
      </c>
      <c r="F1729" t="s">
        <v>7066</v>
      </c>
      <c r="G1729" t="s">
        <v>7067</v>
      </c>
      <c r="H1729">
        <v>0.18365200000000001</v>
      </c>
      <c r="I1729">
        <v>45.693862000000003</v>
      </c>
      <c r="J1729">
        <v>100</v>
      </c>
      <c r="K1729" t="s">
        <v>185</v>
      </c>
      <c r="L1729" t="s">
        <v>185</v>
      </c>
      <c r="M1729" t="s">
        <v>185</v>
      </c>
      <c r="N1729" t="s">
        <v>185</v>
      </c>
      <c r="O1729" t="s">
        <v>185</v>
      </c>
      <c r="P1729" t="s">
        <v>185</v>
      </c>
      <c r="R1729" t="s">
        <v>7815</v>
      </c>
      <c r="U1729" t="s">
        <v>7816</v>
      </c>
    </row>
    <row r="1730" spans="1:21" x14ac:dyDescent="0.25">
      <c r="A1730" t="s">
        <v>7817</v>
      </c>
      <c r="B1730" t="s">
        <v>38</v>
      </c>
      <c r="C1730" t="s">
        <v>7818</v>
      </c>
      <c r="D1730">
        <f t="shared" si="51"/>
        <v>-805088855</v>
      </c>
      <c r="E1730" t="s">
        <v>7819</v>
      </c>
      <c r="F1730" t="s">
        <v>7066</v>
      </c>
      <c r="G1730" t="s">
        <v>7067</v>
      </c>
      <c r="H1730">
        <v>-3.8525830000000001</v>
      </c>
      <c r="I1730">
        <v>48.573753000000004</v>
      </c>
      <c r="J1730">
        <v>100</v>
      </c>
      <c r="K1730" t="s">
        <v>759</v>
      </c>
      <c r="L1730" t="s">
        <v>759</v>
      </c>
      <c r="M1730" t="s">
        <v>759</v>
      </c>
      <c r="N1730" t="s">
        <v>759</v>
      </c>
      <c r="O1730" t="s">
        <v>759</v>
      </c>
      <c r="P1730" t="s">
        <v>759</v>
      </c>
      <c r="R1730" t="s">
        <v>7820</v>
      </c>
      <c r="U1730" t="s">
        <v>7821</v>
      </c>
    </row>
    <row r="1731" spans="1:21" x14ac:dyDescent="0.25">
      <c r="A1731" t="s">
        <v>7822</v>
      </c>
      <c r="B1731" t="s">
        <v>22</v>
      </c>
      <c r="C1731" t="s">
        <v>7823</v>
      </c>
      <c r="D1731">
        <f t="shared" si="51"/>
        <v>-805088855</v>
      </c>
      <c r="E1731" t="s">
        <v>7824</v>
      </c>
      <c r="F1731" t="s">
        <v>7066</v>
      </c>
      <c r="G1731" t="s">
        <v>7067</v>
      </c>
      <c r="H1731">
        <v>2.4563004788817602</v>
      </c>
      <c r="I1731">
        <v>48.779747551914703</v>
      </c>
      <c r="J1731">
        <v>100</v>
      </c>
      <c r="K1731" t="s">
        <v>1189</v>
      </c>
      <c r="L1731" t="s">
        <v>1189</v>
      </c>
      <c r="M1731" t="s">
        <v>1189</v>
      </c>
      <c r="N1731" t="s">
        <v>1189</v>
      </c>
      <c r="O1731" t="s">
        <v>1189</v>
      </c>
      <c r="P1731" t="s">
        <v>1189</v>
      </c>
      <c r="Q1731" t="s">
        <v>717</v>
      </c>
      <c r="R1731" t="s">
        <v>7825</v>
      </c>
      <c r="U1731" t="s">
        <v>7826</v>
      </c>
    </row>
    <row r="1732" spans="1:21" x14ac:dyDescent="0.25">
      <c r="A1732" t="s">
        <v>7827</v>
      </c>
      <c r="B1732" t="s">
        <v>38</v>
      </c>
      <c r="C1732" t="s">
        <v>7828</v>
      </c>
      <c r="D1732">
        <f t="shared" ref="D1732:D1745" si="52">33-805088888</f>
        <v>-805088855</v>
      </c>
      <c r="E1732" t="s">
        <v>7298</v>
      </c>
      <c r="F1732" t="s">
        <v>7066</v>
      </c>
      <c r="G1732" t="s">
        <v>7067</v>
      </c>
      <c r="H1732">
        <v>5.4197860000000002</v>
      </c>
      <c r="I1732">
        <v>43.533735999999998</v>
      </c>
      <c r="J1732">
        <v>100</v>
      </c>
      <c r="K1732" t="s">
        <v>185</v>
      </c>
      <c r="L1732" t="s">
        <v>185</v>
      </c>
      <c r="M1732" t="s">
        <v>185</v>
      </c>
      <c r="N1732" t="s">
        <v>185</v>
      </c>
      <c r="O1732" t="s">
        <v>185</v>
      </c>
      <c r="P1732" t="s">
        <v>185</v>
      </c>
      <c r="R1732" t="s">
        <v>7829</v>
      </c>
      <c r="U1732" t="s">
        <v>7830</v>
      </c>
    </row>
    <row r="1733" spans="1:21" x14ac:dyDescent="0.25">
      <c r="A1733" t="s">
        <v>7831</v>
      </c>
      <c r="B1733" t="s">
        <v>38</v>
      </c>
      <c r="C1733" t="s">
        <v>7832</v>
      </c>
      <c r="D1733">
        <f t="shared" si="52"/>
        <v>-805088855</v>
      </c>
      <c r="E1733" t="s">
        <v>7273</v>
      </c>
      <c r="F1733" t="s">
        <v>7066</v>
      </c>
      <c r="G1733" t="s">
        <v>7067</v>
      </c>
      <c r="H1733">
        <v>1.400668</v>
      </c>
      <c r="I1733">
        <v>43.68967</v>
      </c>
      <c r="J1733">
        <v>100</v>
      </c>
      <c r="K1733" t="s">
        <v>185</v>
      </c>
      <c r="L1733" t="s">
        <v>185</v>
      </c>
      <c r="M1733" t="s">
        <v>185</v>
      </c>
      <c r="N1733" t="s">
        <v>185</v>
      </c>
      <c r="O1733" t="s">
        <v>185</v>
      </c>
      <c r="P1733" t="s">
        <v>185</v>
      </c>
      <c r="R1733" t="s">
        <v>7833</v>
      </c>
      <c r="U1733" t="s">
        <v>7834</v>
      </c>
    </row>
    <row r="1734" spans="1:21" x14ac:dyDescent="0.25">
      <c r="A1734" t="s">
        <v>7835</v>
      </c>
      <c r="B1734" t="s">
        <v>38</v>
      </c>
      <c r="C1734" t="s">
        <v>7836</v>
      </c>
      <c r="D1734">
        <f t="shared" si="52"/>
        <v>-805088855</v>
      </c>
      <c r="E1734" t="s">
        <v>7163</v>
      </c>
      <c r="F1734" t="s">
        <v>7066</v>
      </c>
      <c r="G1734" t="s">
        <v>7067</v>
      </c>
      <c r="H1734">
        <v>5.1045600000000002</v>
      </c>
      <c r="I1734">
        <v>47.310330999999998</v>
      </c>
      <c r="J1734">
        <v>100</v>
      </c>
      <c r="K1734" t="s">
        <v>185</v>
      </c>
      <c r="L1734" t="s">
        <v>185</v>
      </c>
      <c r="M1734" t="s">
        <v>185</v>
      </c>
      <c r="N1734" t="s">
        <v>185</v>
      </c>
      <c r="O1734" t="s">
        <v>185</v>
      </c>
      <c r="P1734" t="s">
        <v>185</v>
      </c>
      <c r="R1734" t="s">
        <v>7837</v>
      </c>
      <c r="U1734" t="s">
        <v>7838</v>
      </c>
    </row>
    <row r="1735" spans="1:21" x14ac:dyDescent="0.25">
      <c r="A1735" t="s">
        <v>7839</v>
      </c>
      <c r="B1735" t="s">
        <v>38</v>
      </c>
      <c r="C1735" t="s">
        <v>7840</v>
      </c>
      <c r="D1735">
        <f t="shared" si="52"/>
        <v>-805088855</v>
      </c>
      <c r="E1735" t="s">
        <v>7707</v>
      </c>
      <c r="F1735" t="s">
        <v>7066</v>
      </c>
      <c r="G1735" t="s">
        <v>7067</v>
      </c>
      <c r="H1735">
        <v>-0.42691099999999998</v>
      </c>
      <c r="I1735">
        <v>43.316175000000001</v>
      </c>
      <c r="J1735">
        <v>100</v>
      </c>
      <c r="K1735" t="s">
        <v>759</v>
      </c>
      <c r="L1735" t="s">
        <v>759</v>
      </c>
      <c r="M1735" t="s">
        <v>759</v>
      </c>
      <c r="N1735" t="s">
        <v>759</v>
      </c>
      <c r="O1735" t="s">
        <v>759</v>
      </c>
      <c r="P1735" t="s">
        <v>759</v>
      </c>
      <c r="R1735" t="s">
        <v>7841</v>
      </c>
      <c r="U1735" t="s">
        <v>7842</v>
      </c>
    </row>
    <row r="1736" spans="1:21" x14ac:dyDescent="0.25">
      <c r="A1736" t="s">
        <v>7843</v>
      </c>
      <c r="B1736" t="s">
        <v>38</v>
      </c>
      <c r="C1736" t="s">
        <v>7844</v>
      </c>
      <c r="D1736">
        <f t="shared" si="52"/>
        <v>-805088855</v>
      </c>
      <c r="E1736" t="s">
        <v>7845</v>
      </c>
      <c r="F1736" t="s">
        <v>7066</v>
      </c>
      <c r="G1736" t="s">
        <v>7067</v>
      </c>
      <c r="H1736">
        <v>2.3696704234008599</v>
      </c>
      <c r="I1736">
        <v>43.2359274219978</v>
      </c>
      <c r="J1736">
        <v>100</v>
      </c>
      <c r="K1736" t="s">
        <v>759</v>
      </c>
      <c r="L1736" t="s">
        <v>759</v>
      </c>
      <c r="M1736" t="s">
        <v>759</v>
      </c>
      <c r="N1736" t="s">
        <v>759</v>
      </c>
      <c r="O1736" t="s">
        <v>759</v>
      </c>
      <c r="P1736" t="s">
        <v>759</v>
      </c>
      <c r="R1736" t="s">
        <v>7846</v>
      </c>
      <c r="U1736" t="s">
        <v>7847</v>
      </c>
    </row>
    <row r="1737" spans="1:21" x14ac:dyDescent="0.25">
      <c r="A1737" t="s">
        <v>7848</v>
      </c>
      <c r="B1737" t="s">
        <v>38</v>
      </c>
      <c r="C1737" t="s">
        <v>7849</v>
      </c>
      <c r="D1737">
        <f t="shared" si="52"/>
        <v>-805088855</v>
      </c>
      <c r="E1737" t="s">
        <v>7850</v>
      </c>
      <c r="F1737" t="s">
        <v>7066</v>
      </c>
      <c r="G1737" t="s">
        <v>7067</v>
      </c>
      <c r="H1737">
        <v>2.253234</v>
      </c>
      <c r="I1737">
        <v>48.706460999999997</v>
      </c>
      <c r="J1737">
        <v>100</v>
      </c>
      <c r="K1737" t="s">
        <v>185</v>
      </c>
      <c r="L1737" t="s">
        <v>185</v>
      </c>
      <c r="M1737" t="s">
        <v>185</v>
      </c>
      <c r="N1737" t="s">
        <v>185</v>
      </c>
      <c r="O1737" t="s">
        <v>185</v>
      </c>
      <c r="P1737" t="s">
        <v>185</v>
      </c>
      <c r="R1737" t="s">
        <v>7851</v>
      </c>
      <c r="U1737" t="s">
        <v>7852</v>
      </c>
    </row>
    <row r="1738" spans="1:21" x14ac:dyDescent="0.25">
      <c r="A1738" t="s">
        <v>7853</v>
      </c>
      <c r="B1738" t="s">
        <v>22</v>
      </c>
      <c r="C1738" t="s">
        <v>7854</v>
      </c>
      <c r="D1738">
        <f t="shared" si="52"/>
        <v>-805088855</v>
      </c>
      <c r="E1738" t="s">
        <v>7801</v>
      </c>
      <c r="F1738" t="s">
        <v>7066</v>
      </c>
      <c r="G1738" t="s">
        <v>7067</v>
      </c>
      <c r="H1738">
        <v>6.177289</v>
      </c>
      <c r="I1738">
        <v>49.118108999999997</v>
      </c>
      <c r="J1738">
        <v>100</v>
      </c>
      <c r="K1738" t="s">
        <v>774</v>
      </c>
      <c r="L1738" t="s">
        <v>774</v>
      </c>
      <c r="M1738" t="s">
        <v>774</v>
      </c>
      <c r="N1738" t="s">
        <v>774</v>
      </c>
      <c r="O1738" t="s">
        <v>774</v>
      </c>
      <c r="P1738" t="s">
        <v>774</v>
      </c>
      <c r="R1738" t="s">
        <v>7855</v>
      </c>
      <c r="U1738" t="s">
        <v>7856</v>
      </c>
    </row>
    <row r="1739" spans="1:21" x14ac:dyDescent="0.25">
      <c r="A1739" t="s">
        <v>7857</v>
      </c>
      <c r="B1739" t="s">
        <v>38</v>
      </c>
      <c r="C1739" t="s">
        <v>7858</v>
      </c>
      <c r="D1739">
        <f t="shared" si="52"/>
        <v>-805088855</v>
      </c>
      <c r="E1739" t="s">
        <v>7859</v>
      </c>
      <c r="F1739" t="s">
        <v>7066</v>
      </c>
      <c r="G1739" t="s">
        <v>7067</v>
      </c>
      <c r="H1739">
        <v>6.8541189999999999</v>
      </c>
      <c r="I1739">
        <v>49.112223999999998</v>
      </c>
      <c r="J1739">
        <v>100</v>
      </c>
      <c r="K1739" t="s">
        <v>759</v>
      </c>
      <c r="L1739" t="s">
        <v>759</v>
      </c>
      <c r="M1739" t="s">
        <v>759</v>
      </c>
      <c r="N1739" t="s">
        <v>759</v>
      </c>
      <c r="O1739" t="s">
        <v>759</v>
      </c>
      <c r="P1739" t="s">
        <v>759</v>
      </c>
      <c r="R1739" t="s">
        <v>7860</v>
      </c>
      <c r="U1739" t="s">
        <v>7861</v>
      </c>
    </row>
    <row r="1740" spans="1:21" x14ac:dyDescent="0.25">
      <c r="A1740" t="s">
        <v>7862</v>
      </c>
      <c r="B1740" t="s">
        <v>38</v>
      </c>
      <c r="C1740" t="s">
        <v>7863</v>
      </c>
      <c r="D1740">
        <f t="shared" si="52"/>
        <v>-805088855</v>
      </c>
      <c r="E1740" t="s">
        <v>7864</v>
      </c>
      <c r="F1740" t="s">
        <v>7066</v>
      </c>
      <c r="G1740" t="s">
        <v>7067</v>
      </c>
      <c r="H1740">
        <v>-1.445057</v>
      </c>
      <c r="I1740">
        <v>43.480162</v>
      </c>
      <c r="J1740">
        <v>100</v>
      </c>
      <c r="K1740" t="s">
        <v>45</v>
      </c>
      <c r="L1740" t="s">
        <v>45</v>
      </c>
      <c r="M1740" t="s">
        <v>45</v>
      </c>
      <c r="N1740" t="s">
        <v>45</v>
      </c>
      <c r="O1740" t="s">
        <v>45</v>
      </c>
      <c r="P1740" t="s">
        <v>45</v>
      </c>
      <c r="R1740" t="s">
        <v>7865</v>
      </c>
      <c r="U1740" t="s">
        <v>7866</v>
      </c>
    </row>
    <row r="1741" spans="1:21" x14ac:dyDescent="0.25">
      <c r="A1741" t="s">
        <v>7867</v>
      </c>
      <c r="B1741" t="s">
        <v>38</v>
      </c>
      <c r="C1741" t="s">
        <v>7868</v>
      </c>
      <c r="D1741">
        <f t="shared" si="52"/>
        <v>-805088855</v>
      </c>
      <c r="E1741" t="s">
        <v>7420</v>
      </c>
      <c r="F1741" t="s">
        <v>7066</v>
      </c>
      <c r="G1741" t="s">
        <v>7067</v>
      </c>
      <c r="H1741">
        <v>2.3758330323486199</v>
      </c>
      <c r="I1741">
        <v>49.867132101419998</v>
      </c>
      <c r="J1741">
        <v>100</v>
      </c>
      <c r="K1741" t="s">
        <v>185</v>
      </c>
      <c r="L1741" t="s">
        <v>185</v>
      </c>
      <c r="M1741" t="s">
        <v>185</v>
      </c>
      <c r="N1741" t="s">
        <v>185</v>
      </c>
      <c r="O1741" t="s">
        <v>185</v>
      </c>
      <c r="P1741" t="s">
        <v>185</v>
      </c>
      <c r="R1741" t="s">
        <v>7869</v>
      </c>
      <c r="U1741" t="s">
        <v>7870</v>
      </c>
    </row>
    <row r="1742" spans="1:21" x14ac:dyDescent="0.25">
      <c r="A1742" t="s">
        <v>7871</v>
      </c>
      <c r="B1742" t="s">
        <v>38</v>
      </c>
      <c r="C1742" t="s">
        <v>7872</v>
      </c>
      <c r="D1742">
        <f t="shared" si="52"/>
        <v>-805088855</v>
      </c>
      <c r="E1742" t="s">
        <v>7873</v>
      </c>
      <c r="F1742" t="s">
        <v>7066</v>
      </c>
      <c r="G1742" t="s">
        <v>7067</v>
      </c>
      <c r="H1742">
        <v>4.7196113000000004</v>
      </c>
      <c r="I1742">
        <v>49.770892799999999</v>
      </c>
      <c r="J1742">
        <v>100</v>
      </c>
      <c r="K1742" t="s">
        <v>184</v>
      </c>
      <c r="L1742" t="s">
        <v>184</v>
      </c>
      <c r="M1742" t="s">
        <v>184</v>
      </c>
      <c r="N1742" t="s">
        <v>184</v>
      </c>
      <c r="O1742" t="s">
        <v>184</v>
      </c>
      <c r="P1742" t="s">
        <v>184</v>
      </c>
      <c r="R1742" t="s">
        <v>7874</v>
      </c>
      <c r="U1742" t="s">
        <v>7875</v>
      </c>
    </row>
    <row r="1743" spans="1:21" x14ac:dyDescent="0.25">
      <c r="A1743" t="s">
        <v>7876</v>
      </c>
      <c r="B1743" t="s">
        <v>22</v>
      </c>
      <c r="C1743" t="s">
        <v>7877</v>
      </c>
      <c r="D1743">
        <f t="shared" si="52"/>
        <v>-805088855</v>
      </c>
      <c r="E1743" t="s">
        <v>7878</v>
      </c>
      <c r="F1743" t="s">
        <v>7066</v>
      </c>
      <c r="G1743" t="s">
        <v>7067</v>
      </c>
      <c r="H1743">
        <v>8.7931589999999993</v>
      </c>
      <c r="I1743">
        <v>41.953544000000001</v>
      </c>
      <c r="J1743">
        <v>100</v>
      </c>
      <c r="K1743" t="s">
        <v>185</v>
      </c>
      <c r="L1743" t="s">
        <v>185</v>
      </c>
      <c r="M1743" t="s">
        <v>185</v>
      </c>
      <c r="N1743" t="s">
        <v>185</v>
      </c>
      <c r="O1743" t="s">
        <v>185</v>
      </c>
      <c r="P1743" t="s">
        <v>185</v>
      </c>
      <c r="R1743" t="s">
        <v>7879</v>
      </c>
      <c r="U1743" t="s">
        <v>7880</v>
      </c>
    </row>
    <row r="1744" spans="1:21" x14ac:dyDescent="0.25">
      <c r="A1744" t="s">
        <v>7881</v>
      </c>
      <c r="B1744" t="s">
        <v>38</v>
      </c>
      <c r="C1744" t="s">
        <v>7882</v>
      </c>
      <c r="D1744">
        <f t="shared" si="52"/>
        <v>-805088855</v>
      </c>
      <c r="E1744" t="s">
        <v>7883</v>
      </c>
      <c r="F1744" t="s">
        <v>7066</v>
      </c>
      <c r="G1744" t="s">
        <v>7067</v>
      </c>
      <c r="H1744">
        <v>0.76210800000000001</v>
      </c>
      <c r="I1744">
        <v>45.191161999999998</v>
      </c>
      <c r="J1744">
        <v>100</v>
      </c>
      <c r="K1744" t="s">
        <v>759</v>
      </c>
      <c r="L1744" t="s">
        <v>759</v>
      </c>
      <c r="M1744" t="s">
        <v>759</v>
      </c>
      <c r="N1744" t="s">
        <v>759</v>
      </c>
      <c r="O1744" t="s">
        <v>759</v>
      </c>
      <c r="P1744" t="s">
        <v>759</v>
      </c>
      <c r="R1744" t="s">
        <v>7884</v>
      </c>
      <c r="U1744" t="s">
        <v>7885</v>
      </c>
    </row>
    <row r="1745" spans="1:21" x14ac:dyDescent="0.25">
      <c r="A1745" t="s">
        <v>7886</v>
      </c>
      <c r="B1745" t="s">
        <v>38</v>
      </c>
      <c r="C1745" t="s">
        <v>7887</v>
      </c>
      <c r="D1745">
        <f t="shared" si="52"/>
        <v>-805088855</v>
      </c>
      <c r="E1745" t="s">
        <v>7888</v>
      </c>
      <c r="F1745" t="s">
        <v>7066</v>
      </c>
      <c r="G1745" t="s">
        <v>7067</v>
      </c>
      <c r="H1745">
        <v>0.62084765347287996</v>
      </c>
      <c r="I1745">
        <v>44.205049388256398</v>
      </c>
      <c r="J1745">
        <v>100</v>
      </c>
      <c r="K1745" t="s">
        <v>535</v>
      </c>
      <c r="L1745" t="s">
        <v>535</v>
      </c>
      <c r="M1745" t="s">
        <v>535</v>
      </c>
      <c r="N1745" t="s">
        <v>535</v>
      </c>
      <c r="O1745" t="s">
        <v>535</v>
      </c>
      <c r="P1745" t="s">
        <v>535</v>
      </c>
      <c r="R1745" t="s">
        <v>7889</v>
      </c>
      <c r="U1745" t="s">
        <v>7890</v>
      </c>
    </row>
    <row r="1746" spans="1:21" x14ac:dyDescent="0.25">
      <c r="A1746" t="s">
        <v>7891</v>
      </c>
      <c r="B1746" t="s">
        <v>38</v>
      </c>
      <c r="C1746" t="s">
        <v>7892</v>
      </c>
      <c r="E1746" t="s">
        <v>7755</v>
      </c>
      <c r="F1746" t="s">
        <v>7066</v>
      </c>
      <c r="G1746" t="s">
        <v>7067</v>
      </c>
      <c r="H1746">
        <v>7.1872805010253797</v>
      </c>
      <c r="I1746">
        <v>43.729154718131198</v>
      </c>
      <c r="J1746">
        <v>100</v>
      </c>
      <c r="K1746" t="s">
        <v>192</v>
      </c>
      <c r="L1746" t="s">
        <v>192</v>
      </c>
      <c r="M1746" t="s">
        <v>192</v>
      </c>
      <c r="N1746" t="s">
        <v>192</v>
      </c>
      <c r="O1746" t="s">
        <v>192</v>
      </c>
      <c r="P1746" t="s">
        <v>192</v>
      </c>
      <c r="R1746" t="s">
        <v>7893</v>
      </c>
      <c r="U1746" t="s">
        <v>7894</v>
      </c>
    </row>
    <row r="1747" spans="1:21" x14ac:dyDescent="0.25">
      <c r="A1747" t="s">
        <v>7895</v>
      </c>
      <c r="B1747" t="s">
        <v>38</v>
      </c>
      <c r="C1747" t="s">
        <v>7896</v>
      </c>
      <c r="D1747">
        <f t="shared" ref="D1747:D1756" si="53">33-805088888</f>
        <v>-805088855</v>
      </c>
      <c r="E1747" t="s">
        <v>7897</v>
      </c>
      <c r="F1747" t="s">
        <v>7066</v>
      </c>
      <c r="G1747" t="s">
        <v>7067</v>
      </c>
      <c r="H1747">
        <v>4.7914820000000002</v>
      </c>
      <c r="I1747">
        <v>46.253697000000003</v>
      </c>
      <c r="J1747">
        <v>100</v>
      </c>
      <c r="K1747" t="s">
        <v>759</v>
      </c>
      <c r="L1747" t="s">
        <v>759</v>
      </c>
      <c r="M1747" t="s">
        <v>759</v>
      </c>
      <c r="N1747" t="s">
        <v>759</v>
      </c>
      <c r="O1747" t="s">
        <v>759</v>
      </c>
      <c r="P1747" t="s">
        <v>759</v>
      </c>
      <c r="R1747" t="s">
        <v>7898</v>
      </c>
      <c r="U1747" t="s">
        <v>7899</v>
      </c>
    </row>
    <row r="1748" spans="1:21" x14ac:dyDescent="0.25">
      <c r="A1748" t="s">
        <v>7900</v>
      </c>
      <c r="B1748" t="s">
        <v>38</v>
      </c>
      <c r="C1748" t="s">
        <v>7901</v>
      </c>
      <c r="D1748">
        <f t="shared" si="53"/>
        <v>-805088855</v>
      </c>
      <c r="E1748" t="s">
        <v>7902</v>
      </c>
      <c r="F1748" t="s">
        <v>7066</v>
      </c>
      <c r="G1748" t="s">
        <v>7067</v>
      </c>
      <c r="H1748">
        <v>2.3735461798096402</v>
      </c>
      <c r="I1748">
        <v>48.713460615865699</v>
      </c>
      <c r="J1748">
        <v>100</v>
      </c>
      <c r="K1748" t="s">
        <v>45</v>
      </c>
      <c r="L1748" t="s">
        <v>45</v>
      </c>
      <c r="M1748" t="s">
        <v>45</v>
      </c>
      <c r="N1748" t="s">
        <v>45</v>
      </c>
      <c r="O1748" t="s">
        <v>45</v>
      </c>
      <c r="P1748" t="s">
        <v>45</v>
      </c>
      <c r="R1748" t="s">
        <v>7903</v>
      </c>
      <c r="U1748" t="s">
        <v>7904</v>
      </c>
    </row>
    <row r="1749" spans="1:21" x14ac:dyDescent="0.25">
      <c r="A1749" t="s">
        <v>7905</v>
      </c>
      <c r="B1749" t="s">
        <v>38</v>
      </c>
      <c r="C1749" t="s">
        <v>7906</v>
      </c>
      <c r="D1749">
        <f t="shared" si="53"/>
        <v>-805088855</v>
      </c>
      <c r="E1749" t="s">
        <v>7907</v>
      </c>
      <c r="F1749" t="s">
        <v>7066</v>
      </c>
      <c r="G1749" t="s">
        <v>7067</v>
      </c>
      <c r="H1749">
        <v>-4.0959289999999999</v>
      </c>
      <c r="I1749">
        <v>47.974817000000002</v>
      </c>
      <c r="J1749">
        <v>100</v>
      </c>
      <c r="K1749" t="s">
        <v>759</v>
      </c>
      <c r="L1749" t="s">
        <v>759</v>
      </c>
      <c r="M1749" t="s">
        <v>759</v>
      </c>
      <c r="N1749" t="s">
        <v>759</v>
      </c>
      <c r="O1749" t="s">
        <v>759</v>
      </c>
      <c r="P1749" t="s">
        <v>759</v>
      </c>
      <c r="R1749" t="s">
        <v>7908</v>
      </c>
      <c r="U1749" t="s">
        <v>7909</v>
      </c>
    </row>
    <row r="1750" spans="1:21" x14ac:dyDescent="0.25">
      <c r="A1750" t="s">
        <v>7910</v>
      </c>
      <c r="B1750" t="s">
        <v>38</v>
      </c>
      <c r="C1750" t="s">
        <v>7911</v>
      </c>
      <c r="D1750">
        <f t="shared" si="53"/>
        <v>-805088855</v>
      </c>
      <c r="E1750" t="s">
        <v>7912</v>
      </c>
      <c r="F1750" t="s">
        <v>7066</v>
      </c>
      <c r="G1750" t="s">
        <v>7067</v>
      </c>
      <c r="H1750">
        <v>7.36730964556887</v>
      </c>
      <c r="I1750">
        <v>48.127189829028303</v>
      </c>
      <c r="J1750">
        <v>100</v>
      </c>
      <c r="K1750" t="s">
        <v>192</v>
      </c>
      <c r="L1750" t="s">
        <v>192</v>
      </c>
      <c r="M1750" t="s">
        <v>192</v>
      </c>
      <c r="N1750" t="s">
        <v>192</v>
      </c>
      <c r="O1750" t="s">
        <v>192</v>
      </c>
      <c r="P1750" t="s">
        <v>192</v>
      </c>
      <c r="R1750" t="s">
        <v>7913</v>
      </c>
      <c r="U1750" t="s">
        <v>7914</v>
      </c>
    </row>
    <row r="1751" spans="1:21" x14ac:dyDescent="0.25">
      <c r="A1751" t="s">
        <v>7915</v>
      </c>
      <c r="B1751" t="s">
        <v>38</v>
      </c>
      <c r="C1751" t="s">
        <v>7916</v>
      </c>
      <c r="D1751">
        <f t="shared" si="53"/>
        <v>-805088855</v>
      </c>
      <c r="E1751" t="s">
        <v>7143</v>
      </c>
      <c r="F1751" t="s">
        <v>7066</v>
      </c>
      <c r="G1751" t="s">
        <v>7067</v>
      </c>
      <c r="H1751">
        <v>1.86146117012231</v>
      </c>
      <c r="I1751">
        <v>47.904378490834297</v>
      </c>
      <c r="J1751">
        <v>100</v>
      </c>
      <c r="K1751" t="s">
        <v>192</v>
      </c>
      <c r="L1751" t="s">
        <v>192</v>
      </c>
      <c r="M1751" t="s">
        <v>192</v>
      </c>
      <c r="N1751" t="s">
        <v>192</v>
      </c>
      <c r="O1751" t="s">
        <v>192</v>
      </c>
      <c r="P1751" t="s">
        <v>192</v>
      </c>
      <c r="R1751" t="s">
        <v>7917</v>
      </c>
      <c r="U1751" t="s">
        <v>7918</v>
      </c>
    </row>
    <row r="1752" spans="1:21" x14ac:dyDescent="0.25">
      <c r="A1752" t="s">
        <v>7919</v>
      </c>
      <c r="B1752" t="s">
        <v>38</v>
      </c>
      <c r="C1752" t="s">
        <v>7920</v>
      </c>
      <c r="D1752">
        <f t="shared" si="53"/>
        <v>-805088855</v>
      </c>
      <c r="E1752" t="s">
        <v>7283</v>
      </c>
      <c r="F1752" t="s">
        <v>7066</v>
      </c>
      <c r="G1752" t="s">
        <v>7067</v>
      </c>
      <c r="H1752">
        <v>-1.5766304047942901</v>
      </c>
      <c r="I1752">
        <v>48.116127124560101</v>
      </c>
      <c r="J1752">
        <v>100</v>
      </c>
      <c r="K1752" t="s">
        <v>185</v>
      </c>
      <c r="L1752" t="s">
        <v>185</v>
      </c>
      <c r="M1752" t="s">
        <v>185</v>
      </c>
      <c r="N1752" t="s">
        <v>185</v>
      </c>
      <c r="O1752" t="s">
        <v>185</v>
      </c>
      <c r="P1752" t="s">
        <v>185</v>
      </c>
      <c r="R1752" t="s">
        <v>7921</v>
      </c>
      <c r="U1752" t="s">
        <v>7922</v>
      </c>
    </row>
    <row r="1753" spans="1:21" x14ac:dyDescent="0.25">
      <c r="A1753" t="s">
        <v>7923</v>
      </c>
      <c r="B1753" t="s">
        <v>38</v>
      </c>
      <c r="C1753" t="s">
        <v>7924</v>
      </c>
      <c r="D1753">
        <f t="shared" si="53"/>
        <v>-805088855</v>
      </c>
      <c r="E1753" t="s">
        <v>7278</v>
      </c>
      <c r="F1753" t="s">
        <v>7066</v>
      </c>
      <c r="G1753" t="s">
        <v>7067</v>
      </c>
      <c r="H1753">
        <v>0.70985964569092996</v>
      </c>
      <c r="I1753">
        <v>47.324810394452903</v>
      </c>
      <c r="J1753">
        <v>100</v>
      </c>
      <c r="K1753" t="s">
        <v>759</v>
      </c>
      <c r="L1753" t="s">
        <v>759</v>
      </c>
      <c r="M1753" t="s">
        <v>759</v>
      </c>
      <c r="N1753" t="s">
        <v>759</v>
      </c>
      <c r="O1753" t="s">
        <v>759</v>
      </c>
      <c r="P1753" t="s">
        <v>759</v>
      </c>
      <c r="R1753" t="s">
        <v>7925</v>
      </c>
      <c r="U1753" t="s">
        <v>7926</v>
      </c>
    </row>
    <row r="1754" spans="1:21" x14ac:dyDescent="0.25">
      <c r="A1754" t="s">
        <v>7927</v>
      </c>
      <c r="B1754" t="s">
        <v>38</v>
      </c>
      <c r="C1754" t="s">
        <v>7928</v>
      </c>
      <c r="D1754">
        <f t="shared" si="53"/>
        <v>-805088855</v>
      </c>
      <c r="E1754" t="s">
        <v>7929</v>
      </c>
      <c r="F1754" t="s">
        <v>7066</v>
      </c>
      <c r="G1754" t="s">
        <v>7067</v>
      </c>
      <c r="H1754">
        <v>4.6446870000000002</v>
      </c>
      <c r="I1754">
        <v>43.707576000000003</v>
      </c>
      <c r="J1754">
        <v>100</v>
      </c>
      <c r="K1754" t="s">
        <v>535</v>
      </c>
      <c r="L1754" t="s">
        <v>535</v>
      </c>
      <c r="M1754" t="s">
        <v>535</v>
      </c>
      <c r="N1754" t="s">
        <v>535</v>
      </c>
      <c r="O1754" t="s">
        <v>535</v>
      </c>
      <c r="P1754" t="s">
        <v>535</v>
      </c>
      <c r="R1754" t="s">
        <v>7930</v>
      </c>
      <c r="U1754" t="s">
        <v>7931</v>
      </c>
    </row>
    <row r="1755" spans="1:21" x14ac:dyDescent="0.25">
      <c r="A1755" t="s">
        <v>7932</v>
      </c>
      <c r="B1755" t="s">
        <v>22</v>
      </c>
      <c r="C1755" t="s">
        <v>7933</v>
      </c>
      <c r="D1755">
        <f t="shared" si="53"/>
        <v>-805088855</v>
      </c>
      <c r="E1755" t="s">
        <v>7934</v>
      </c>
      <c r="F1755" t="s">
        <v>7066</v>
      </c>
      <c r="G1755" t="s">
        <v>7067</v>
      </c>
      <c r="H1755">
        <v>1.9490749999999899</v>
      </c>
      <c r="I1755">
        <v>48.817222999999998</v>
      </c>
      <c r="J1755">
        <v>100</v>
      </c>
      <c r="K1755" t="s">
        <v>45</v>
      </c>
      <c r="L1755" t="s">
        <v>45</v>
      </c>
      <c r="M1755" t="s">
        <v>45</v>
      </c>
      <c r="N1755" t="s">
        <v>45</v>
      </c>
      <c r="O1755" t="s">
        <v>45</v>
      </c>
      <c r="P1755" t="s">
        <v>45</v>
      </c>
      <c r="Q1755" t="s">
        <v>45</v>
      </c>
      <c r="R1755" t="s">
        <v>7935</v>
      </c>
      <c r="U1755" t="s">
        <v>7936</v>
      </c>
    </row>
    <row r="1756" spans="1:21" x14ac:dyDescent="0.25">
      <c r="A1756" t="s">
        <v>7937</v>
      </c>
      <c r="B1756" t="s">
        <v>38</v>
      </c>
      <c r="C1756" t="s">
        <v>7938</v>
      </c>
      <c r="D1756">
        <f t="shared" si="53"/>
        <v>-805088855</v>
      </c>
      <c r="E1756" t="s">
        <v>7177</v>
      </c>
      <c r="F1756" t="s">
        <v>7066</v>
      </c>
      <c r="G1756" t="s">
        <v>7067</v>
      </c>
      <c r="H1756">
        <v>4.4270033394531101</v>
      </c>
      <c r="I1756">
        <v>45.437285991558603</v>
      </c>
      <c r="J1756">
        <v>100</v>
      </c>
      <c r="K1756" t="s">
        <v>45</v>
      </c>
      <c r="L1756" t="s">
        <v>45</v>
      </c>
      <c r="M1756" t="s">
        <v>45</v>
      </c>
      <c r="N1756" t="s">
        <v>45</v>
      </c>
      <c r="O1756" t="s">
        <v>45</v>
      </c>
      <c r="P1756" t="s">
        <v>45</v>
      </c>
      <c r="R1756" t="s">
        <v>7939</v>
      </c>
      <c r="U1756" t="s">
        <v>7940</v>
      </c>
    </row>
    <row r="1757" spans="1:21" x14ac:dyDescent="0.25">
      <c r="A1757" t="s">
        <v>7941</v>
      </c>
      <c r="B1757" t="s">
        <v>32</v>
      </c>
      <c r="C1757" t="s">
        <v>7942</v>
      </c>
      <c r="E1757" t="s">
        <v>7098</v>
      </c>
      <c r="F1757" t="s">
        <v>7066</v>
      </c>
      <c r="G1757" t="s">
        <v>7067</v>
      </c>
      <c r="H1757">
        <v>2.329691</v>
      </c>
      <c r="I1757">
        <v>48.870463999999998</v>
      </c>
      <c r="J1757">
        <v>100</v>
      </c>
      <c r="K1757" t="s">
        <v>45</v>
      </c>
      <c r="L1757" t="s">
        <v>45</v>
      </c>
      <c r="M1757" t="s">
        <v>45</v>
      </c>
      <c r="N1757" t="s">
        <v>45</v>
      </c>
      <c r="O1757" t="s">
        <v>45</v>
      </c>
      <c r="P1757" t="s">
        <v>45</v>
      </c>
      <c r="Q1757" t="s">
        <v>717</v>
      </c>
      <c r="R1757" t="s">
        <v>7943</v>
      </c>
      <c r="U1757" t="s">
        <v>7944</v>
      </c>
    </row>
    <row r="1758" spans="1:21" x14ac:dyDescent="0.25">
      <c r="A1758" t="s">
        <v>7945</v>
      </c>
      <c r="B1758" t="s">
        <v>38</v>
      </c>
      <c r="C1758" t="s">
        <v>7946</v>
      </c>
      <c r="D1758">
        <f t="shared" ref="D1758:D1789" si="54">44-3447369000</f>
        <v>-3447368956</v>
      </c>
      <c r="E1758" t="s">
        <v>7947</v>
      </c>
      <c r="F1758" t="s">
        <v>7948</v>
      </c>
      <c r="G1758" t="s">
        <v>7949</v>
      </c>
      <c r="H1758">
        <v>-3.1051213</v>
      </c>
      <c r="I1758">
        <v>55.935856700000002</v>
      </c>
      <c r="J1758">
        <v>85</v>
      </c>
      <c r="K1758" t="s">
        <v>192</v>
      </c>
      <c r="L1758" t="s">
        <v>192</v>
      </c>
      <c r="M1758" t="s">
        <v>192</v>
      </c>
      <c r="N1758" t="s">
        <v>192</v>
      </c>
      <c r="O1758" t="s">
        <v>192</v>
      </c>
      <c r="P1758" t="s">
        <v>165</v>
      </c>
      <c r="Q1758" t="s">
        <v>535</v>
      </c>
      <c r="R1758" t="s">
        <v>7950</v>
      </c>
      <c r="S1758" t="s">
        <v>7951</v>
      </c>
      <c r="U1758" t="s">
        <v>7952</v>
      </c>
    </row>
    <row r="1759" spans="1:21" x14ac:dyDescent="0.25">
      <c r="A1759" t="s">
        <v>7953</v>
      </c>
      <c r="B1759" t="s">
        <v>38</v>
      </c>
      <c r="C1759" t="s">
        <v>7954</v>
      </c>
      <c r="D1759">
        <f t="shared" si="54"/>
        <v>-3447368956</v>
      </c>
      <c r="E1759" t="s">
        <v>7955</v>
      </c>
      <c r="F1759" t="s">
        <v>7948</v>
      </c>
      <c r="G1759" t="s">
        <v>7949</v>
      </c>
      <c r="H1759">
        <v>-0.14516115188598999</v>
      </c>
      <c r="I1759">
        <v>50.823098729179897</v>
      </c>
      <c r="J1759">
        <v>85</v>
      </c>
      <c r="K1759" t="s">
        <v>166</v>
      </c>
      <c r="L1759" t="s">
        <v>166</v>
      </c>
      <c r="M1759" t="s">
        <v>166</v>
      </c>
      <c r="N1759" t="s">
        <v>166</v>
      </c>
      <c r="O1759" t="s">
        <v>166</v>
      </c>
      <c r="P1759" t="s">
        <v>165</v>
      </c>
      <c r="Q1759" t="s">
        <v>564</v>
      </c>
      <c r="R1759" t="s">
        <v>7956</v>
      </c>
      <c r="U1759" t="s">
        <v>7957</v>
      </c>
    </row>
    <row r="1760" spans="1:21" x14ac:dyDescent="0.25">
      <c r="A1760" t="s">
        <v>7958</v>
      </c>
      <c r="B1760" t="s">
        <v>22</v>
      </c>
      <c r="C1760" t="s">
        <v>7959</v>
      </c>
      <c r="D1760">
        <f t="shared" si="54"/>
        <v>-3447368956</v>
      </c>
      <c r="E1760" t="s">
        <v>7955</v>
      </c>
      <c r="F1760" t="s">
        <v>7948</v>
      </c>
      <c r="G1760" t="s">
        <v>7949</v>
      </c>
      <c r="H1760">
        <v>-0.14398097991943001</v>
      </c>
      <c r="I1760">
        <v>50.823518937642099</v>
      </c>
      <c r="J1760">
        <v>85</v>
      </c>
      <c r="K1760" t="s">
        <v>428</v>
      </c>
      <c r="L1760" t="s">
        <v>428</v>
      </c>
      <c r="M1760" t="s">
        <v>428</v>
      </c>
      <c r="N1760" t="s">
        <v>428</v>
      </c>
      <c r="O1760" t="s">
        <v>428</v>
      </c>
      <c r="P1760" t="s">
        <v>535</v>
      </c>
      <c r="Q1760" t="s">
        <v>564</v>
      </c>
      <c r="R1760" t="s">
        <v>7960</v>
      </c>
      <c r="U1760" t="s">
        <v>7961</v>
      </c>
    </row>
    <row r="1761" spans="1:21" x14ac:dyDescent="0.25">
      <c r="A1761" t="s">
        <v>7962</v>
      </c>
      <c r="B1761" t="s">
        <v>32</v>
      </c>
      <c r="C1761" t="s">
        <v>7963</v>
      </c>
      <c r="D1761">
        <f t="shared" si="54"/>
        <v>-3447368956</v>
      </c>
      <c r="E1761" t="s">
        <v>1226</v>
      </c>
      <c r="F1761" t="s">
        <v>7948</v>
      </c>
      <c r="G1761" t="s">
        <v>7949</v>
      </c>
      <c r="H1761">
        <v>-0.14214366674423001</v>
      </c>
      <c r="I1761">
        <v>51.515337757302603</v>
      </c>
      <c r="J1761">
        <v>85</v>
      </c>
      <c r="K1761" t="s">
        <v>3543</v>
      </c>
      <c r="L1761" t="s">
        <v>3543</v>
      </c>
      <c r="M1761" t="s">
        <v>3543</v>
      </c>
      <c r="N1761" t="s">
        <v>3543</v>
      </c>
      <c r="O1761" t="s">
        <v>3543</v>
      </c>
      <c r="P1761" t="s">
        <v>3543</v>
      </c>
      <c r="Q1761" t="s">
        <v>1492</v>
      </c>
      <c r="R1761" t="s">
        <v>7964</v>
      </c>
      <c r="U1761" t="s">
        <v>7965</v>
      </c>
    </row>
    <row r="1762" spans="1:21" x14ac:dyDescent="0.25">
      <c r="A1762" t="s">
        <v>7966</v>
      </c>
      <c r="B1762" t="s">
        <v>22</v>
      </c>
      <c r="C1762" t="s">
        <v>7967</v>
      </c>
      <c r="D1762">
        <f t="shared" si="54"/>
        <v>-3447368956</v>
      </c>
      <c r="E1762" t="s">
        <v>7968</v>
      </c>
      <c r="F1762" t="s">
        <v>7948</v>
      </c>
      <c r="G1762" t="s">
        <v>7949</v>
      </c>
      <c r="H1762">
        <v>-1.0901784896850599</v>
      </c>
      <c r="I1762">
        <v>50.800347608831501</v>
      </c>
      <c r="J1762">
        <v>85</v>
      </c>
      <c r="K1762" t="s">
        <v>166</v>
      </c>
      <c r="L1762" t="s">
        <v>166</v>
      </c>
      <c r="M1762" t="s">
        <v>166</v>
      </c>
      <c r="N1762" t="s">
        <v>166</v>
      </c>
      <c r="O1762" t="s">
        <v>166</v>
      </c>
      <c r="P1762" t="s">
        <v>166</v>
      </c>
      <c r="Q1762" t="s">
        <v>7969</v>
      </c>
      <c r="R1762" t="s">
        <v>7970</v>
      </c>
      <c r="U1762" t="s">
        <v>7971</v>
      </c>
    </row>
    <row r="1763" spans="1:21" x14ac:dyDescent="0.25">
      <c r="A1763" t="s">
        <v>7972</v>
      </c>
      <c r="B1763" t="s">
        <v>22</v>
      </c>
      <c r="C1763" t="s">
        <v>7973</v>
      </c>
      <c r="D1763">
        <f t="shared" si="54"/>
        <v>-3447368956</v>
      </c>
      <c r="E1763" t="s">
        <v>7974</v>
      </c>
      <c r="F1763" t="s">
        <v>7948</v>
      </c>
      <c r="G1763" t="s">
        <v>7949</v>
      </c>
      <c r="H1763">
        <v>-2.1102762222289999</v>
      </c>
      <c r="I1763">
        <v>52.482100695450796</v>
      </c>
      <c r="J1763">
        <v>85</v>
      </c>
      <c r="K1763" t="s">
        <v>192</v>
      </c>
      <c r="L1763" t="s">
        <v>192</v>
      </c>
      <c r="M1763" t="s">
        <v>192</v>
      </c>
      <c r="N1763" t="s">
        <v>192</v>
      </c>
      <c r="O1763" t="s">
        <v>192</v>
      </c>
      <c r="P1763" t="s">
        <v>165</v>
      </c>
      <c r="Q1763" t="s">
        <v>564</v>
      </c>
      <c r="R1763" t="s">
        <v>7975</v>
      </c>
      <c r="S1763" t="s">
        <v>7976</v>
      </c>
      <c r="U1763" t="s">
        <v>7977</v>
      </c>
    </row>
    <row r="1764" spans="1:21" x14ac:dyDescent="0.25">
      <c r="A1764" t="s">
        <v>7978</v>
      </c>
      <c r="B1764" t="s">
        <v>22</v>
      </c>
      <c r="C1764" t="s">
        <v>7979</v>
      </c>
      <c r="D1764">
        <f t="shared" si="54"/>
        <v>-3447368956</v>
      </c>
      <c r="E1764" t="s">
        <v>7980</v>
      </c>
      <c r="F1764" t="s">
        <v>7948</v>
      </c>
      <c r="G1764" t="s">
        <v>7949</v>
      </c>
      <c r="H1764">
        <v>-0.89194178581238004</v>
      </c>
      <c r="I1764">
        <v>52.238454095515401</v>
      </c>
      <c r="J1764">
        <v>85</v>
      </c>
      <c r="K1764" t="s">
        <v>166</v>
      </c>
      <c r="L1764" t="s">
        <v>166</v>
      </c>
      <c r="M1764" t="s">
        <v>166</v>
      </c>
      <c r="N1764" t="s">
        <v>166</v>
      </c>
      <c r="O1764" t="s">
        <v>166</v>
      </c>
      <c r="P1764" t="s">
        <v>166</v>
      </c>
      <c r="Q1764" t="s">
        <v>564</v>
      </c>
      <c r="R1764" t="s">
        <v>7981</v>
      </c>
      <c r="S1764" t="s">
        <v>7982</v>
      </c>
      <c r="U1764" t="s">
        <v>7983</v>
      </c>
    </row>
    <row r="1765" spans="1:21" x14ac:dyDescent="0.25">
      <c r="A1765" t="s">
        <v>7984</v>
      </c>
      <c r="B1765" t="s">
        <v>22</v>
      </c>
      <c r="C1765" t="s">
        <v>7985</v>
      </c>
      <c r="D1765">
        <f t="shared" si="54"/>
        <v>-3447368956</v>
      </c>
      <c r="E1765" t="s">
        <v>7986</v>
      </c>
      <c r="F1765" t="s">
        <v>7948</v>
      </c>
      <c r="G1765" t="s">
        <v>7949</v>
      </c>
      <c r="H1765">
        <v>-1.1484897136688199</v>
      </c>
      <c r="I1765">
        <v>52.950952097217602</v>
      </c>
      <c r="J1765">
        <v>85</v>
      </c>
      <c r="K1765" t="s">
        <v>262</v>
      </c>
      <c r="L1765" t="s">
        <v>262</v>
      </c>
      <c r="M1765" t="s">
        <v>262</v>
      </c>
      <c r="N1765" t="s">
        <v>262</v>
      </c>
      <c r="O1765" t="s">
        <v>262</v>
      </c>
      <c r="P1765" t="s">
        <v>166</v>
      </c>
      <c r="Q1765" t="s">
        <v>564</v>
      </c>
      <c r="R1765" t="s">
        <v>7987</v>
      </c>
      <c r="U1765" t="s">
        <v>7988</v>
      </c>
    </row>
    <row r="1766" spans="1:21" x14ac:dyDescent="0.25">
      <c r="A1766" t="s">
        <v>7989</v>
      </c>
      <c r="B1766" t="s">
        <v>38</v>
      </c>
      <c r="C1766" t="s">
        <v>7990</v>
      </c>
      <c r="D1766">
        <f t="shared" si="54"/>
        <v>-3447368956</v>
      </c>
      <c r="E1766" t="s">
        <v>7991</v>
      </c>
      <c r="F1766" t="s">
        <v>7948</v>
      </c>
      <c r="G1766" t="s">
        <v>7949</v>
      </c>
      <c r="H1766">
        <v>-1.0855865478515601</v>
      </c>
      <c r="I1766">
        <v>51.2658891858365</v>
      </c>
      <c r="J1766">
        <v>85</v>
      </c>
      <c r="K1766" t="s">
        <v>184</v>
      </c>
      <c r="L1766" t="s">
        <v>184</v>
      </c>
      <c r="M1766" t="s">
        <v>184</v>
      </c>
      <c r="N1766" t="s">
        <v>184</v>
      </c>
      <c r="O1766" t="s">
        <v>184</v>
      </c>
      <c r="P1766" t="s">
        <v>184</v>
      </c>
      <c r="Q1766" t="s">
        <v>564</v>
      </c>
      <c r="R1766" t="s">
        <v>7992</v>
      </c>
      <c r="U1766" t="s">
        <v>7993</v>
      </c>
    </row>
    <row r="1767" spans="1:21" x14ac:dyDescent="0.25">
      <c r="A1767" t="s">
        <v>7994</v>
      </c>
      <c r="B1767" t="s">
        <v>38</v>
      </c>
      <c r="C1767" t="s">
        <v>7995</v>
      </c>
      <c r="D1767">
        <f t="shared" si="54"/>
        <v>-3447368956</v>
      </c>
      <c r="E1767" t="s">
        <v>7996</v>
      </c>
      <c r="F1767" t="s">
        <v>7948</v>
      </c>
      <c r="G1767" t="s">
        <v>7949</v>
      </c>
      <c r="H1767">
        <v>0.18290999999999999</v>
      </c>
      <c r="I1767">
        <v>51.577500000000001</v>
      </c>
      <c r="J1767">
        <v>85</v>
      </c>
      <c r="K1767" t="s">
        <v>165</v>
      </c>
      <c r="L1767" t="s">
        <v>165</v>
      </c>
      <c r="M1767" t="s">
        <v>165</v>
      </c>
      <c r="N1767" t="s">
        <v>165</v>
      </c>
      <c r="O1767" t="s">
        <v>165</v>
      </c>
      <c r="P1767" t="s">
        <v>165</v>
      </c>
      <c r="Q1767" t="s">
        <v>564</v>
      </c>
      <c r="R1767" t="s">
        <v>7997</v>
      </c>
      <c r="S1767" t="s">
        <v>7998</v>
      </c>
      <c r="U1767" t="s">
        <v>7999</v>
      </c>
    </row>
    <row r="1768" spans="1:21" x14ac:dyDescent="0.25">
      <c r="A1768" t="s">
        <v>8000</v>
      </c>
      <c r="B1768" t="s">
        <v>22</v>
      </c>
      <c r="C1768" t="s">
        <v>8001</v>
      </c>
      <c r="D1768">
        <f t="shared" si="54"/>
        <v>-3447368956</v>
      </c>
      <c r="E1768" t="s">
        <v>8002</v>
      </c>
      <c r="F1768" t="s">
        <v>7948</v>
      </c>
      <c r="G1768" t="s">
        <v>7949</v>
      </c>
      <c r="H1768">
        <v>1.2875890731811499</v>
      </c>
      <c r="I1768">
        <v>52.625925686589902</v>
      </c>
      <c r="J1768">
        <v>85</v>
      </c>
      <c r="K1768" t="s">
        <v>166</v>
      </c>
      <c r="L1768" t="s">
        <v>166</v>
      </c>
      <c r="M1768" t="s">
        <v>166</v>
      </c>
      <c r="N1768" t="s">
        <v>166</v>
      </c>
      <c r="O1768" t="s">
        <v>166</v>
      </c>
      <c r="P1768" t="s">
        <v>166</v>
      </c>
      <c r="Q1768" t="s">
        <v>8003</v>
      </c>
      <c r="R1768" t="s">
        <v>8004</v>
      </c>
      <c r="S1768" t="s">
        <v>8005</v>
      </c>
      <c r="U1768" t="s">
        <v>8006</v>
      </c>
    </row>
    <row r="1769" spans="1:21" x14ac:dyDescent="0.25">
      <c r="A1769" t="s">
        <v>8007</v>
      </c>
      <c r="B1769" t="s">
        <v>38</v>
      </c>
      <c r="C1769" t="s">
        <v>8008</v>
      </c>
      <c r="D1769">
        <f t="shared" si="54"/>
        <v>-3447368956</v>
      </c>
      <c r="E1769" t="s">
        <v>8009</v>
      </c>
      <c r="F1769" t="s">
        <v>7948</v>
      </c>
      <c r="G1769" t="s">
        <v>7949</v>
      </c>
      <c r="H1769">
        <v>-0.33907413482665999</v>
      </c>
      <c r="I1769">
        <v>51.581149899054203</v>
      </c>
      <c r="J1769">
        <v>85</v>
      </c>
      <c r="K1769" t="s">
        <v>166</v>
      </c>
      <c r="L1769" t="s">
        <v>166</v>
      </c>
      <c r="M1769" t="s">
        <v>166</v>
      </c>
      <c r="N1769" t="s">
        <v>165</v>
      </c>
      <c r="O1769" t="s">
        <v>166</v>
      </c>
      <c r="P1769" t="s">
        <v>166</v>
      </c>
      <c r="Q1769" t="s">
        <v>564</v>
      </c>
      <c r="R1769" t="s">
        <v>8010</v>
      </c>
      <c r="U1769" t="s">
        <v>8011</v>
      </c>
    </row>
    <row r="1770" spans="1:21" x14ac:dyDescent="0.25">
      <c r="A1770" t="s">
        <v>8012</v>
      </c>
      <c r="B1770" t="s">
        <v>22</v>
      </c>
      <c r="C1770" t="s">
        <v>8013</v>
      </c>
      <c r="D1770">
        <f t="shared" si="54"/>
        <v>-3447368956</v>
      </c>
      <c r="E1770" t="s">
        <v>8014</v>
      </c>
      <c r="F1770" t="s">
        <v>7948</v>
      </c>
      <c r="G1770" t="s">
        <v>7949</v>
      </c>
      <c r="H1770">
        <v>-1.5450811386108401</v>
      </c>
      <c r="I1770">
        <v>53.797913406551899</v>
      </c>
      <c r="J1770">
        <v>85</v>
      </c>
      <c r="K1770" t="s">
        <v>192</v>
      </c>
      <c r="L1770" t="s">
        <v>192</v>
      </c>
      <c r="M1770" t="s">
        <v>192</v>
      </c>
      <c r="N1770" t="s">
        <v>192</v>
      </c>
      <c r="O1770" t="s">
        <v>192</v>
      </c>
      <c r="P1770" t="s">
        <v>192</v>
      </c>
      <c r="Q1770" t="s">
        <v>564</v>
      </c>
      <c r="R1770" t="s">
        <v>8015</v>
      </c>
      <c r="S1770" t="s">
        <v>8016</v>
      </c>
      <c r="U1770" t="s">
        <v>8017</v>
      </c>
    </row>
    <row r="1771" spans="1:21" x14ac:dyDescent="0.25">
      <c r="A1771" t="s">
        <v>8018</v>
      </c>
      <c r="B1771" t="s">
        <v>22</v>
      </c>
      <c r="C1771" t="s">
        <v>8019</v>
      </c>
      <c r="D1771">
        <f t="shared" si="54"/>
        <v>-3447368956</v>
      </c>
      <c r="E1771" t="s">
        <v>8020</v>
      </c>
      <c r="F1771" t="s">
        <v>7948</v>
      </c>
      <c r="G1771" t="s">
        <v>7949</v>
      </c>
      <c r="H1771">
        <v>-2.5997257232665998</v>
      </c>
      <c r="I1771">
        <v>51.528850879232202</v>
      </c>
      <c r="J1771">
        <v>85</v>
      </c>
      <c r="K1771" t="s">
        <v>185</v>
      </c>
      <c r="L1771" t="s">
        <v>185</v>
      </c>
      <c r="M1771" t="s">
        <v>185</v>
      </c>
      <c r="N1771" t="s">
        <v>185</v>
      </c>
      <c r="O1771" t="s">
        <v>185</v>
      </c>
      <c r="P1771" t="s">
        <v>185</v>
      </c>
      <c r="Q1771" t="s">
        <v>564</v>
      </c>
      <c r="R1771" t="s">
        <v>8021</v>
      </c>
      <c r="S1771" t="s">
        <v>8022</v>
      </c>
      <c r="U1771" t="s">
        <v>8023</v>
      </c>
    </row>
    <row r="1772" spans="1:21" x14ac:dyDescent="0.25">
      <c r="A1772" t="s">
        <v>8024</v>
      </c>
      <c r="B1772" t="s">
        <v>32</v>
      </c>
      <c r="C1772" t="s">
        <v>8025</v>
      </c>
      <c r="D1772">
        <f t="shared" si="54"/>
        <v>-3447368956</v>
      </c>
      <c r="E1772" t="s">
        <v>8026</v>
      </c>
      <c r="F1772" t="s">
        <v>7948</v>
      </c>
      <c r="G1772" t="s">
        <v>7949</v>
      </c>
      <c r="H1772">
        <v>-2.3487567901611301</v>
      </c>
      <c r="I1772">
        <v>53.465773849883803</v>
      </c>
      <c r="J1772">
        <v>85</v>
      </c>
      <c r="K1772" t="s">
        <v>8027</v>
      </c>
      <c r="L1772" t="s">
        <v>8027</v>
      </c>
      <c r="M1772" t="s">
        <v>8027</v>
      </c>
      <c r="N1772" t="s">
        <v>8027</v>
      </c>
      <c r="O1772" t="s">
        <v>8027</v>
      </c>
      <c r="P1772" t="s">
        <v>8027</v>
      </c>
      <c r="Q1772" t="s">
        <v>8027</v>
      </c>
      <c r="R1772" t="s">
        <v>8028</v>
      </c>
      <c r="S1772" t="s">
        <v>8029</v>
      </c>
      <c r="U1772" t="s">
        <v>8030</v>
      </c>
    </row>
    <row r="1773" spans="1:21" x14ac:dyDescent="0.25">
      <c r="A1773" t="s">
        <v>8031</v>
      </c>
      <c r="B1773" t="s">
        <v>22</v>
      </c>
      <c r="C1773" t="s">
        <v>8032</v>
      </c>
      <c r="D1773">
        <f t="shared" si="54"/>
        <v>-3447368956</v>
      </c>
      <c r="E1773" t="s">
        <v>8033</v>
      </c>
      <c r="F1773" t="s">
        <v>7948</v>
      </c>
      <c r="G1773" t="s">
        <v>7949</v>
      </c>
      <c r="H1773">
        <v>-0.97211837768554998</v>
      </c>
      <c r="I1773">
        <v>51.452937202256898</v>
      </c>
      <c r="J1773">
        <v>85</v>
      </c>
      <c r="K1773" t="s">
        <v>192</v>
      </c>
      <c r="L1773" t="s">
        <v>192</v>
      </c>
      <c r="M1773" t="s">
        <v>192</v>
      </c>
      <c r="N1773" t="s">
        <v>192</v>
      </c>
      <c r="O1773" t="s">
        <v>192</v>
      </c>
      <c r="P1773" t="s">
        <v>192</v>
      </c>
      <c r="Q1773" t="s">
        <v>564</v>
      </c>
      <c r="R1773" t="s">
        <v>8034</v>
      </c>
      <c r="S1773" t="s">
        <v>8035</v>
      </c>
      <c r="U1773" t="s">
        <v>8036</v>
      </c>
    </row>
    <row r="1774" spans="1:21" x14ac:dyDescent="0.25">
      <c r="A1774" t="s">
        <v>8037</v>
      </c>
      <c r="B1774" t="s">
        <v>22</v>
      </c>
      <c r="C1774" t="s">
        <v>8038</v>
      </c>
      <c r="D1774">
        <f t="shared" si="54"/>
        <v>-3447368956</v>
      </c>
      <c r="E1774" t="s">
        <v>8039</v>
      </c>
      <c r="F1774" t="s">
        <v>7948</v>
      </c>
      <c r="G1774" t="s">
        <v>7949</v>
      </c>
      <c r="H1774">
        <v>-1.40574</v>
      </c>
      <c r="I1774">
        <v>50.903599999999997</v>
      </c>
      <c r="J1774">
        <v>85</v>
      </c>
      <c r="K1774" t="s">
        <v>192</v>
      </c>
      <c r="L1774" t="s">
        <v>192</v>
      </c>
      <c r="M1774" t="s">
        <v>192</v>
      </c>
      <c r="N1774" t="s">
        <v>192</v>
      </c>
      <c r="O1774" t="s">
        <v>192</v>
      </c>
      <c r="P1774" t="s">
        <v>165</v>
      </c>
      <c r="Q1774" t="s">
        <v>564</v>
      </c>
      <c r="R1774" t="s">
        <v>8040</v>
      </c>
      <c r="S1774" t="s">
        <v>8041</v>
      </c>
      <c r="U1774" t="s">
        <v>8042</v>
      </c>
    </row>
    <row r="1775" spans="1:21" x14ac:dyDescent="0.25">
      <c r="A1775" t="s">
        <v>8043</v>
      </c>
      <c r="B1775" t="s">
        <v>38</v>
      </c>
      <c r="C1775" t="s">
        <v>8044</v>
      </c>
      <c r="D1775">
        <f t="shared" si="54"/>
        <v>-3447368956</v>
      </c>
      <c r="E1775" t="s">
        <v>1332</v>
      </c>
      <c r="F1775" t="s">
        <v>7948</v>
      </c>
      <c r="G1775" t="s">
        <v>7949</v>
      </c>
      <c r="H1775">
        <v>-0.2601957321167</v>
      </c>
      <c r="I1775">
        <v>52.542563569570902</v>
      </c>
      <c r="J1775">
        <v>85</v>
      </c>
      <c r="K1775" t="s">
        <v>192</v>
      </c>
      <c r="L1775" t="s">
        <v>192</v>
      </c>
      <c r="M1775" t="s">
        <v>192</v>
      </c>
      <c r="N1775" t="s">
        <v>192</v>
      </c>
      <c r="O1775" t="s">
        <v>192</v>
      </c>
      <c r="P1775" t="s">
        <v>192</v>
      </c>
      <c r="Q1775" t="s">
        <v>622</v>
      </c>
      <c r="R1775" t="s">
        <v>8045</v>
      </c>
      <c r="S1775" t="s">
        <v>8046</v>
      </c>
      <c r="U1775" t="s">
        <v>8047</v>
      </c>
    </row>
    <row r="1776" spans="1:21" x14ac:dyDescent="0.25">
      <c r="A1776" t="s">
        <v>8048</v>
      </c>
      <c r="B1776" t="s">
        <v>22</v>
      </c>
      <c r="C1776" t="s">
        <v>8049</v>
      </c>
      <c r="D1776">
        <f t="shared" si="54"/>
        <v>-3447368956</v>
      </c>
      <c r="E1776" t="s">
        <v>1226</v>
      </c>
      <c r="F1776" t="s">
        <v>7948</v>
      </c>
      <c r="G1776" t="s">
        <v>7949</v>
      </c>
      <c r="H1776">
        <v>-0.20504951477051001</v>
      </c>
      <c r="I1776">
        <v>51.420566692753198</v>
      </c>
      <c r="J1776">
        <v>85</v>
      </c>
      <c r="K1776" t="s">
        <v>184</v>
      </c>
      <c r="L1776" t="s">
        <v>184</v>
      </c>
      <c r="M1776" t="s">
        <v>184</v>
      </c>
      <c r="N1776" t="s">
        <v>185</v>
      </c>
      <c r="O1776" t="s">
        <v>184</v>
      </c>
      <c r="P1776" t="s">
        <v>166</v>
      </c>
      <c r="Q1776" t="s">
        <v>564</v>
      </c>
      <c r="R1776" t="s">
        <v>8050</v>
      </c>
      <c r="S1776" t="s">
        <v>8051</v>
      </c>
      <c r="U1776" t="s">
        <v>8052</v>
      </c>
    </row>
    <row r="1777" spans="1:21" x14ac:dyDescent="0.25">
      <c r="A1777" t="s">
        <v>8053</v>
      </c>
      <c r="B1777" t="s">
        <v>22</v>
      </c>
      <c r="C1777" t="s">
        <v>8054</v>
      </c>
      <c r="D1777">
        <f t="shared" si="54"/>
        <v>-3447368956</v>
      </c>
      <c r="E1777" t="s">
        <v>8055</v>
      </c>
      <c r="F1777" t="s">
        <v>7948</v>
      </c>
      <c r="G1777" t="s">
        <v>7949</v>
      </c>
      <c r="H1777">
        <v>-0.75779914855956998</v>
      </c>
      <c r="I1777">
        <v>52.0418539065682</v>
      </c>
      <c r="J1777">
        <v>85</v>
      </c>
      <c r="K1777" t="s">
        <v>262</v>
      </c>
      <c r="L1777" t="s">
        <v>262</v>
      </c>
      <c r="M1777" t="s">
        <v>262</v>
      </c>
      <c r="N1777" t="s">
        <v>185</v>
      </c>
      <c r="O1777" t="s">
        <v>185</v>
      </c>
      <c r="P1777" t="s">
        <v>165</v>
      </c>
      <c r="Q1777" t="s">
        <v>564</v>
      </c>
      <c r="R1777" t="s">
        <v>8056</v>
      </c>
      <c r="S1777" t="s">
        <v>8055</v>
      </c>
      <c r="U1777" t="s">
        <v>8057</v>
      </c>
    </row>
    <row r="1778" spans="1:21" x14ac:dyDescent="0.25">
      <c r="A1778" t="s">
        <v>8058</v>
      </c>
      <c r="B1778" t="s">
        <v>22</v>
      </c>
      <c r="C1778" t="s">
        <v>8059</v>
      </c>
      <c r="D1778">
        <f t="shared" si="54"/>
        <v>-3447368956</v>
      </c>
      <c r="E1778" t="s">
        <v>8060</v>
      </c>
      <c r="F1778" t="s">
        <v>7948</v>
      </c>
      <c r="G1778" t="s">
        <v>7949</v>
      </c>
      <c r="H1778">
        <v>-1.8949055671691899</v>
      </c>
      <c r="I1778">
        <v>52.477245695048097</v>
      </c>
      <c r="J1778">
        <v>85</v>
      </c>
      <c r="K1778" t="s">
        <v>192</v>
      </c>
      <c r="L1778" t="s">
        <v>192</v>
      </c>
      <c r="M1778" t="s">
        <v>192</v>
      </c>
      <c r="N1778" t="s">
        <v>192</v>
      </c>
      <c r="O1778" t="s">
        <v>192</v>
      </c>
      <c r="P1778" t="s">
        <v>165</v>
      </c>
      <c r="Q1778" t="s">
        <v>564</v>
      </c>
      <c r="R1778" t="s">
        <v>8061</v>
      </c>
      <c r="S1778" t="s">
        <v>8062</v>
      </c>
      <c r="U1778" t="s">
        <v>8063</v>
      </c>
    </row>
    <row r="1779" spans="1:21" x14ac:dyDescent="0.25">
      <c r="A1779" t="s">
        <v>8064</v>
      </c>
      <c r="B1779" t="s">
        <v>38</v>
      </c>
      <c r="C1779" t="s">
        <v>8065</v>
      </c>
      <c r="D1779">
        <f t="shared" si="54"/>
        <v>-3447368956</v>
      </c>
      <c r="E1779" t="s">
        <v>8066</v>
      </c>
      <c r="F1779" t="s">
        <v>7948</v>
      </c>
      <c r="G1779" t="s">
        <v>7949</v>
      </c>
      <c r="H1779">
        <v>-2.9756749999999998</v>
      </c>
      <c r="I1779">
        <v>56.460689000000002</v>
      </c>
      <c r="J1779">
        <v>85</v>
      </c>
      <c r="K1779" t="s">
        <v>166</v>
      </c>
      <c r="L1779" t="s">
        <v>166</v>
      </c>
      <c r="M1779" t="s">
        <v>166</v>
      </c>
      <c r="N1779" t="s">
        <v>166</v>
      </c>
      <c r="O1779" t="s">
        <v>166</v>
      </c>
      <c r="P1779" t="s">
        <v>166</v>
      </c>
      <c r="Q1779" t="s">
        <v>564</v>
      </c>
      <c r="R1779" t="s">
        <v>8067</v>
      </c>
      <c r="U1779" t="s">
        <v>8068</v>
      </c>
    </row>
    <row r="1780" spans="1:21" x14ac:dyDescent="0.25">
      <c r="A1780" t="s">
        <v>8069</v>
      </c>
      <c r="B1780" t="s">
        <v>32</v>
      </c>
      <c r="C1780" t="s">
        <v>8070</v>
      </c>
      <c r="D1780">
        <f t="shared" si="54"/>
        <v>-3447368956</v>
      </c>
      <c r="E1780" t="s">
        <v>1226</v>
      </c>
      <c r="F1780" t="s">
        <v>7948</v>
      </c>
      <c r="G1780" t="s">
        <v>7949</v>
      </c>
      <c r="H1780">
        <v>-0.13986110687256001</v>
      </c>
      <c r="I1780">
        <v>51.515766727446398</v>
      </c>
      <c r="J1780">
        <v>85</v>
      </c>
      <c r="K1780" t="s">
        <v>3543</v>
      </c>
      <c r="L1780" t="s">
        <v>3543</v>
      </c>
      <c r="M1780" t="s">
        <v>3543</v>
      </c>
      <c r="N1780" t="s">
        <v>3543</v>
      </c>
      <c r="O1780" t="s">
        <v>3543</v>
      </c>
      <c r="P1780" t="s">
        <v>3543</v>
      </c>
      <c r="Q1780" t="s">
        <v>1492</v>
      </c>
      <c r="R1780" t="s">
        <v>8071</v>
      </c>
      <c r="U1780" t="s">
        <v>8072</v>
      </c>
    </row>
    <row r="1781" spans="1:21" x14ac:dyDescent="0.25">
      <c r="A1781" t="s">
        <v>8073</v>
      </c>
      <c r="B1781" t="s">
        <v>22</v>
      </c>
      <c r="C1781" t="s">
        <v>8074</v>
      </c>
      <c r="D1781">
        <f t="shared" si="54"/>
        <v>-3447368956</v>
      </c>
      <c r="E1781" t="s">
        <v>8075</v>
      </c>
      <c r="F1781" t="s">
        <v>7948</v>
      </c>
      <c r="G1781" t="s">
        <v>7949</v>
      </c>
      <c r="H1781">
        <v>-1.4110565185546899</v>
      </c>
      <c r="I1781">
        <v>53.414264160604603</v>
      </c>
      <c r="J1781">
        <v>85</v>
      </c>
      <c r="K1781" t="s">
        <v>536</v>
      </c>
      <c r="L1781" t="s">
        <v>536</v>
      </c>
      <c r="M1781" t="s">
        <v>536</v>
      </c>
      <c r="N1781" t="s">
        <v>536</v>
      </c>
      <c r="O1781" t="s">
        <v>536</v>
      </c>
      <c r="P1781" t="s">
        <v>192</v>
      </c>
      <c r="Q1781" t="s">
        <v>553</v>
      </c>
      <c r="R1781" t="s">
        <v>8076</v>
      </c>
      <c r="S1781" t="s">
        <v>8077</v>
      </c>
      <c r="U1781" t="s">
        <v>8078</v>
      </c>
    </row>
    <row r="1782" spans="1:21" x14ac:dyDescent="0.25">
      <c r="A1782" t="s">
        <v>8079</v>
      </c>
      <c r="B1782" t="s">
        <v>22</v>
      </c>
      <c r="C1782" t="s">
        <v>8080</v>
      </c>
      <c r="D1782">
        <f t="shared" si="54"/>
        <v>-3447368956</v>
      </c>
      <c r="E1782" t="s">
        <v>8081</v>
      </c>
      <c r="F1782" t="s">
        <v>7948</v>
      </c>
      <c r="G1782" t="s">
        <v>7949</v>
      </c>
      <c r="H1782">
        <v>-3.5290843248367301</v>
      </c>
      <c r="I1782">
        <v>50.724334838767199</v>
      </c>
      <c r="J1782">
        <v>85</v>
      </c>
      <c r="K1782" t="s">
        <v>166</v>
      </c>
      <c r="L1782" t="s">
        <v>166</v>
      </c>
      <c r="M1782" t="s">
        <v>166</v>
      </c>
      <c r="N1782" t="s">
        <v>166</v>
      </c>
      <c r="O1782" t="s">
        <v>166</v>
      </c>
      <c r="P1782" t="s">
        <v>166</v>
      </c>
      <c r="Q1782" t="s">
        <v>564</v>
      </c>
      <c r="R1782" t="s">
        <v>8082</v>
      </c>
      <c r="U1782" t="s">
        <v>8083</v>
      </c>
    </row>
    <row r="1783" spans="1:21" x14ac:dyDescent="0.25">
      <c r="A1783" t="s">
        <v>8084</v>
      </c>
      <c r="B1783" t="s">
        <v>22</v>
      </c>
      <c r="C1783" t="s">
        <v>8085</v>
      </c>
      <c r="D1783">
        <f t="shared" si="54"/>
        <v>-3447368956</v>
      </c>
      <c r="E1783" t="s">
        <v>8086</v>
      </c>
      <c r="F1783" t="s">
        <v>7948</v>
      </c>
      <c r="G1783" t="s">
        <v>7949</v>
      </c>
      <c r="H1783">
        <v>-0.47623157501220997</v>
      </c>
      <c r="I1783">
        <v>51.545294193876998</v>
      </c>
      <c r="J1783">
        <v>85</v>
      </c>
      <c r="K1783" t="s">
        <v>262</v>
      </c>
      <c r="L1783" t="s">
        <v>262</v>
      </c>
      <c r="M1783" t="s">
        <v>262</v>
      </c>
      <c r="N1783" t="s">
        <v>262</v>
      </c>
      <c r="O1783" t="s">
        <v>262</v>
      </c>
      <c r="P1783" t="s">
        <v>262</v>
      </c>
      <c r="Q1783" t="s">
        <v>564</v>
      </c>
      <c r="R1783" t="s">
        <v>8087</v>
      </c>
      <c r="U1783" t="s">
        <v>8088</v>
      </c>
    </row>
    <row r="1784" spans="1:21" x14ac:dyDescent="0.25">
      <c r="A1784" t="s">
        <v>8089</v>
      </c>
      <c r="B1784" t="s">
        <v>22</v>
      </c>
      <c r="C1784" t="s">
        <v>8090</v>
      </c>
      <c r="D1784">
        <f t="shared" si="54"/>
        <v>-3447368956</v>
      </c>
      <c r="E1784" t="s">
        <v>8091</v>
      </c>
      <c r="F1784" t="s">
        <v>7948</v>
      </c>
      <c r="G1784" t="s">
        <v>7949</v>
      </c>
      <c r="H1784">
        <v>-1.7786961793899501</v>
      </c>
      <c r="I1784">
        <v>52.412661843827699</v>
      </c>
      <c r="J1784">
        <v>85</v>
      </c>
      <c r="K1784" t="s">
        <v>166</v>
      </c>
      <c r="L1784" t="s">
        <v>166</v>
      </c>
      <c r="M1784" t="s">
        <v>166</v>
      </c>
      <c r="N1784" t="s">
        <v>192</v>
      </c>
      <c r="O1784" t="s">
        <v>166</v>
      </c>
      <c r="P1784" t="s">
        <v>166</v>
      </c>
      <c r="Q1784" t="s">
        <v>564</v>
      </c>
      <c r="R1784" t="s">
        <v>8092</v>
      </c>
      <c r="S1784" t="s">
        <v>8093</v>
      </c>
      <c r="U1784" t="s">
        <v>8094</v>
      </c>
    </row>
    <row r="1785" spans="1:21" x14ac:dyDescent="0.25">
      <c r="A1785" t="s">
        <v>8095</v>
      </c>
      <c r="B1785" t="s">
        <v>22</v>
      </c>
      <c r="C1785" t="s">
        <v>8096</v>
      </c>
      <c r="D1785">
        <f t="shared" si="54"/>
        <v>-3447368956</v>
      </c>
      <c r="E1785" t="s">
        <v>8097</v>
      </c>
      <c r="F1785" t="s">
        <v>7948</v>
      </c>
      <c r="G1785" t="s">
        <v>7949</v>
      </c>
      <c r="H1785">
        <v>-1.5147078037262001</v>
      </c>
      <c r="I1785">
        <v>52.407936628666</v>
      </c>
      <c r="J1785">
        <v>85</v>
      </c>
      <c r="K1785" t="s">
        <v>1272</v>
      </c>
      <c r="L1785" t="s">
        <v>1272</v>
      </c>
      <c r="M1785" t="s">
        <v>1272</v>
      </c>
      <c r="N1785" t="s">
        <v>1272</v>
      </c>
      <c r="O1785" t="s">
        <v>1272</v>
      </c>
      <c r="P1785" t="s">
        <v>262</v>
      </c>
      <c r="Q1785" t="s">
        <v>7969</v>
      </c>
      <c r="R1785" t="s">
        <v>8098</v>
      </c>
      <c r="S1785" t="s">
        <v>8099</v>
      </c>
      <c r="U1785" t="s">
        <v>8100</v>
      </c>
    </row>
    <row r="1786" spans="1:21" x14ac:dyDescent="0.25">
      <c r="A1786" t="s">
        <v>8101</v>
      </c>
      <c r="B1786" t="s">
        <v>38</v>
      </c>
      <c r="C1786" t="s">
        <v>8102</v>
      </c>
      <c r="D1786">
        <f t="shared" si="54"/>
        <v>-3447368956</v>
      </c>
      <c r="E1786" t="s">
        <v>8103</v>
      </c>
      <c r="F1786" t="s">
        <v>7948</v>
      </c>
      <c r="G1786" t="s">
        <v>7949</v>
      </c>
      <c r="H1786">
        <v>-1.38427734375</v>
      </c>
      <c r="I1786">
        <v>54.9058053840333</v>
      </c>
      <c r="J1786">
        <v>85</v>
      </c>
      <c r="K1786" t="s">
        <v>442</v>
      </c>
      <c r="L1786" t="s">
        <v>442</v>
      </c>
      <c r="M1786" t="s">
        <v>442</v>
      </c>
      <c r="N1786" t="s">
        <v>192</v>
      </c>
      <c r="O1786" t="s">
        <v>442</v>
      </c>
      <c r="P1786" t="s">
        <v>442</v>
      </c>
      <c r="Q1786" t="s">
        <v>564</v>
      </c>
      <c r="R1786" t="s">
        <v>8104</v>
      </c>
      <c r="U1786" t="s">
        <v>8105</v>
      </c>
    </row>
    <row r="1787" spans="1:21" x14ac:dyDescent="0.25">
      <c r="A1787" t="s">
        <v>8106</v>
      </c>
      <c r="B1787" t="s">
        <v>38</v>
      </c>
      <c r="C1787" t="s">
        <v>8107</v>
      </c>
      <c r="D1787">
        <f t="shared" si="54"/>
        <v>-3447368956</v>
      </c>
      <c r="E1787" t="s">
        <v>8108</v>
      </c>
      <c r="F1787" t="s">
        <v>7948</v>
      </c>
      <c r="G1787" t="s">
        <v>7949</v>
      </c>
      <c r="H1787">
        <v>-2.7012634277343799</v>
      </c>
      <c r="I1787">
        <v>53.7584544485631</v>
      </c>
      <c r="J1787">
        <v>85</v>
      </c>
      <c r="K1787" t="s">
        <v>166</v>
      </c>
      <c r="L1787" t="s">
        <v>166</v>
      </c>
      <c r="M1787" t="s">
        <v>166</v>
      </c>
      <c r="N1787" t="s">
        <v>166</v>
      </c>
      <c r="O1787" t="s">
        <v>166</v>
      </c>
      <c r="P1787" t="s">
        <v>166</v>
      </c>
      <c r="Q1787" t="s">
        <v>564</v>
      </c>
      <c r="R1787" t="s">
        <v>8109</v>
      </c>
      <c r="S1787" t="s">
        <v>8110</v>
      </c>
      <c r="U1787" t="s">
        <v>8111</v>
      </c>
    </row>
    <row r="1788" spans="1:21" x14ac:dyDescent="0.25">
      <c r="A1788" t="s">
        <v>8112</v>
      </c>
      <c r="B1788" t="s">
        <v>22</v>
      </c>
      <c r="C1788" t="s">
        <v>8113</v>
      </c>
      <c r="D1788">
        <f t="shared" si="54"/>
        <v>-3447368956</v>
      </c>
      <c r="E1788" t="s">
        <v>8114</v>
      </c>
      <c r="F1788" t="s">
        <v>7948</v>
      </c>
      <c r="G1788" t="s">
        <v>7949</v>
      </c>
      <c r="H1788">
        <v>0.47417599999999999</v>
      </c>
      <c r="I1788">
        <v>51.732930600000003</v>
      </c>
      <c r="J1788">
        <v>85</v>
      </c>
      <c r="K1788" t="s">
        <v>166</v>
      </c>
      <c r="L1788" t="s">
        <v>166</v>
      </c>
      <c r="M1788" t="s">
        <v>166</v>
      </c>
      <c r="N1788" t="s">
        <v>166</v>
      </c>
      <c r="O1788" t="s">
        <v>166</v>
      </c>
      <c r="P1788" t="s">
        <v>166</v>
      </c>
      <c r="Q1788" t="s">
        <v>7969</v>
      </c>
      <c r="R1788" t="s">
        <v>8115</v>
      </c>
      <c r="U1788" t="s">
        <v>8116</v>
      </c>
    </row>
    <row r="1789" spans="1:21" x14ac:dyDescent="0.25">
      <c r="A1789" t="s">
        <v>8117</v>
      </c>
      <c r="B1789" t="s">
        <v>22</v>
      </c>
      <c r="C1789" t="s">
        <v>8118</v>
      </c>
      <c r="D1789">
        <f t="shared" si="54"/>
        <v>-3447368956</v>
      </c>
      <c r="E1789" t="s">
        <v>1226</v>
      </c>
      <c r="F1789" t="s">
        <v>7948</v>
      </c>
      <c r="G1789" t="s">
        <v>7949</v>
      </c>
      <c r="H1789">
        <v>-0.19196033477783001</v>
      </c>
      <c r="I1789">
        <v>51.5013898541769</v>
      </c>
      <c r="J1789">
        <v>85</v>
      </c>
      <c r="K1789" t="s">
        <v>312</v>
      </c>
      <c r="L1789" t="s">
        <v>312</v>
      </c>
      <c r="M1789" t="s">
        <v>312</v>
      </c>
      <c r="N1789" t="s">
        <v>312</v>
      </c>
      <c r="O1789" t="s">
        <v>312</v>
      </c>
      <c r="P1789" t="s">
        <v>312</v>
      </c>
      <c r="Q1789" t="s">
        <v>1492</v>
      </c>
      <c r="R1789" t="s">
        <v>8119</v>
      </c>
      <c r="U1789" t="s">
        <v>8120</v>
      </c>
    </row>
    <row r="1790" spans="1:21" x14ac:dyDescent="0.25">
      <c r="A1790" t="s">
        <v>8121</v>
      </c>
      <c r="B1790" t="s">
        <v>38</v>
      </c>
      <c r="C1790" t="s">
        <v>8122</v>
      </c>
      <c r="D1790">
        <f t="shared" ref="D1790:D1821" si="55">44-3447369000</f>
        <v>-3447368956</v>
      </c>
      <c r="E1790" t="s">
        <v>8123</v>
      </c>
      <c r="F1790" t="s">
        <v>7948</v>
      </c>
      <c r="G1790" t="s">
        <v>7949</v>
      </c>
      <c r="H1790">
        <v>-4.21952247619629</v>
      </c>
      <c r="I1790">
        <v>57.479549710556803</v>
      </c>
      <c r="J1790">
        <v>85</v>
      </c>
      <c r="K1790" t="s">
        <v>442</v>
      </c>
      <c r="L1790" t="s">
        <v>442</v>
      </c>
      <c r="M1790" t="s">
        <v>442</v>
      </c>
      <c r="N1790" t="s">
        <v>166</v>
      </c>
      <c r="O1790" t="s">
        <v>166</v>
      </c>
      <c r="P1790" t="s">
        <v>166</v>
      </c>
      <c r="Q1790" t="s">
        <v>564</v>
      </c>
      <c r="R1790" t="s">
        <v>8124</v>
      </c>
      <c r="S1790" t="s">
        <v>8125</v>
      </c>
      <c r="U1790" t="s">
        <v>8126</v>
      </c>
    </row>
    <row r="1791" spans="1:21" x14ac:dyDescent="0.25">
      <c r="A1791" t="s">
        <v>8127</v>
      </c>
      <c r="B1791" t="s">
        <v>22</v>
      </c>
      <c r="C1791" t="s">
        <v>8128</v>
      </c>
      <c r="D1791">
        <f t="shared" si="55"/>
        <v>-3447368956</v>
      </c>
      <c r="E1791" t="s">
        <v>8026</v>
      </c>
      <c r="F1791" t="s">
        <v>7948</v>
      </c>
      <c r="G1791" t="s">
        <v>7949</v>
      </c>
      <c r="H1791">
        <v>-2.24350154399872</v>
      </c>
      <c r="I1791">
        <v>53.482992650958401</v>
      </c>
      <c r="J1791">
        <v>85</v>
      </c>
      <c r="K1791" t="s">
        <v>45</v>
      </c>
      <c r="L1791" t="s">
        <v>45</v>
      </c>
      <c r="M1791" t="s">
        <v>45</v>
      </c>
      <c r="N1791" t="s">
        <v>45</v>
      </c>
      <c r="O1791" t="s">
        <v>45</v>
      </c>
      <c r="P1791" t="s">
        <v>184</v>
      </c>
      <c r="Q1791" t="s">
        <v>1492</v>
      </c>
      <c r="R1791" t="s">
        <v>8129</v>
      </c>
      <c r="U1791" t="s">
        <v>8130</v>
      </c>
    </row>
    <row r="1792" spans="1:21" x14ac:dyDescent="0.25">
      <c r="A1792" t="s">
        <v>8131</v>
      </c>
      <c r="B1792" t="s">
        <v>38</v>
      </c>
      <c r="C1792" t="s">
        <v>8132</v>
      </c>
      <c r="D1792">
        <f t="shared" si="55"/>
        <v>-3447368956</v>
      </c>
      <c r="E1792" t="s">
        <v>8133</v>
      </c>
      <c r="F1792" t="s">
        <v>7948</v>
      </c>
      <c r="G1792" t="s">
        <v>7949</v>
      </c>
      <c r="H1792">
        <v>-2.2445395588874799</v>
      </c>
      <c r="I1792">
        <v>51.864293722884597</v>
      </c>
      <c r="J1792">
        <v>85</v>
      </c>
      <c r="K1792" t="s">
        <v>166</v>
      </c>
      <c r="L1792" t="s">
        <v>166</v>
      </c>
      <c r="M1792" t="s">
        <v>166</v>
      </c>
      <c r="N1792" t="s">
        <v>166</v>
      </c>
      <c r="O1792" t="s">
        <v>166</v>
      </c>
      <c r="P1792" t="s">
        <v>166</v>
      </c>
      <c r="Q1792" t="s">
        <v>564</v>
      </c>
      <c r="R1792" t="s">
        <v>8134</v>
      </c>
      <c r="U1792" t="s">
        <v>8135</v>
      </c>
    </row>
    <row r="1793" spans="1:21" x14ac:dyDescent="0.25">
      <c r="A1793" t="s">
        <v>8136</v>
      </c>
      <c r="B1793" t="s">
        <v>38</v>
      </c>
      <c r="C1793" t="s">
        <v>8137</v>
      </c>
      <c r="D1793">
        <f t="shared" si="55"/>
        <v>-3447368956</v>
      </c>
      <c r="E1793" t="s">
        <v>8138</v>
      </c>
      <c r="F1793" t="s">
        <v>7948</v>
      </c>
      <c r="G1793" t="s">
        <v>7949</v>
      </c>
      <c r="H1793">
        <v>0.51929175853729004</v>
      </c>
      <c r="I1793">
        <v>51.274940922677601</v>
      </c>
      <c r="J1793">
        <v>85</v>
      </c>
      <c r="K1793" t="s">
        <v>442</v>
      </c>
      <c r="L1793" t="s">
        <v>442</v>
      </c>
      <c r="M1793" t="s">
        <v>442</v>
      </c>
      <c r="N1793" t="s">
        <v>442</v>
      </c>
      <c r="O1793" t="s">
        <v>442</v>
      </c>
      <c r="P1793" t="s">
        <v>166</v>
      </c>
      <c r="Q1793" t="s">
        <v>564</v>
      </c>
      <c r="R1793" t="s">
        <v>8139</v>
      </c>
      <c r="S1793" t="s">
        <v>8138</v>
      </c>
      <c r="U1793" t="s">
        <v>8140</v>
      </c>
    </row>
    <row r="1794" spans="1:21" x14ac:dyDescent="0.25">
      <c r="A1794" t="s">
        <v>8141</v>
      </c>
      <c r="B1794" t="s">
        <v>38</v>
      </c>
      <c r="C1794" t="s">
        <v>8142</v>
      </c>
      <c r="D1794">
        <f t="shared" si="55"/>
        <v>-3447368956</v>
      </c>
      <c r="E1794" t="s">
        <v>1226</v>
      </c>
      <c r="F1794" t="s">
        <v>7948</v>
      </c>
      <c r="G1794" t="s">
        <v>7949</v>
      </c>
      <c r="H1794">
        <v>-0.1084</v>
      </c>
      <c r="I1794">
        <v>51.59451</v>
      </c>
      <c r="J1794">
        <v>85</v>
      </c>
      <c r="K1794" t="s">
        <v>192</v>
      </c>
      <c r="L1794" t="s">
        <v>192</v>
      </c>
      <c r="M1794" t="s">
        <v>192</v>
      </c>
      <c r="N1794" t="s">
        <v>192</v>
      </c>
      <c r="O1794" t="s">
        <v>192</v>
      </c>
      <c r="P1794" t="s">
        <v>192</v>
      </c>
      <c r="Q1794" t="s">
        <v>564</v>
      </c>
      <c r="R1794" t="s">
        <v>8143</v>
      </c>
      <c r="S1794" t="s">
        <v>8144</v>
      </c>
      <c r="U1794" t="s">
        <v>8145</v>
      </c>
    </row>
    <row r="1795" spans="1:21" x14ac:dyDescent="0.25">
      <c r="A1795" t="s">
        <v>8146</v>
      </c>
      <c r="B1795" t="s">
        <v>38</v>
      </c>
      <c r="C1795" t="s">
        <v>8147</v>
      </c>
      <c r="D1795">
        <f t="shared" si="55"/>
        <v>-3447368956</v>
      </c>
      <c r="E1795" t="s">
        <v>8148</v>
      </c>
      <c r="F1795" t="s">
        <v>7948</v>
      </c>
      <c r="G1795" t="s">
        <v>7949</v>
      </c>
      <c r="H1795">
        <v>-1.9408035278320299</v>
      </c>
      <c r="I1795">
        <v>52.305592254049103</v>
      </c>
      <c r="J1795">
        <v>85</v>
      </c>
      <c r="K1795" t="s">
        <v>1272</v>
      </c>
      <c r="L1795" t="s">
        <v>1272</v>
      </c>
      <c r="M1795" t="s">
        <v>1272</v>
      </c>
      <c r="N1795" t="s">
        <v>1272</v>
      </c>
      <c r="O1795" t="s">
        <v>1272</v>
      </c>
      <c r="P1795" t="s">
        <v>1272</v>
      </c>
      <c r="Q1795" t="s">
        <v>7969</v>
      </c>
      <c r="R1795" t="s">
        <v>8149</v>
      </c>
      <c r="S1795" t="s">
        <v>8150</v>
      </c>
      <c r="U1795" t="s">
        <v>8151</v>
      </c>
    </row>
    <row r="1796" spans="1:21" x14ac:dyDescent="0.25">
      <c r="A1796" t="s">
        <v>8152</v>
      </c>
      <c r="B1796" t="s">
        <v>38</v>
      </c>
      <c r="C1796" t="s">
        <v>8153</v>
      </c>
      <c r="D1796">
        <f t="shared" si="55"/>
        <v>-3447368956</v>
      </c>
      <c r="E1796" t="s">
        <v>8154</v>
      </c>
      <c r="F1796" t="s">
        <v>7948</v>
      </c>
      <c r="G1796" t="s">
        <v>7949</v>
      </c>
      <c r="H1796">
        <v>-1.0828399658203101</v>
      </c>
      <c r="I1796">
        <v>53.958307613423997</v>
      </c>
      <c r="J1796">
        <v>85</v>
      </c>
      <c r="K1796" t="s">
        <v>166</v>
      </c>
      <c r="L1796" t="s">
        <v>166</v>
      </c>
      <c r="M1796" t="s">
        <v>166</v>
      </c>
      <c r="N1796" t="s">
        <v>166</v>
      </c>
      <c r="O1796" t="s">
        <v>166</v>
      </c>
      <c r="P1796" t="s">
        <v>166</v>
      </c>
      <c r="Q1796" t="s">
        <v>564</v>
      </c>
      <c r="R1796" t="s">
        <v>8155</v>
      </c>
      <c r="U1796" t="s">
        <v>8156</v>
      </c>
    </row>
    <row r="1797" spans="1:21" x14ac:dyDescent="0.25">
      <c r="A1797" t="s">
        <v>8157</v>
      </c>
      <c r="B1797" t="s">
        <v>38</v>
      </c>
      <c r="C1797" t="s">
        <v>8158</v>
      </c>
      <c r="D1797">
        <f t="shared" si="55"/>
        <v>-3447368956</v>
      </c>
      <c r="E1797" t="s">
        <v>8159</v>
      </c>
      <c r="F1797" t="s">
        <v>7948</v>
      </c>
      <c r="G1797" t="s">
        <v>7949</v>
      </c>
      <c r="H1797">
        <v>-1.13695621490479</v>
      </c>
      <c r="I1797">
        <v>53.523089535609103</v>
      </c>
      <c r="J1797">
        <v>85</v>
      </c>
      <c r="K1797" t="s">
        <v>442</v>
      </c>
      <c r="L1797" t="s">
        <v>442</v>
      </c>
      <c r="M1797" t="s">
        <v>442</v>
      </c>
      <c r="N1797" t="s">
        <v>442</v>
      </c>
      <c r="O1797" t="s">
        <v>442</v>
      </c>
      <c r="P1797" t="s">
        <v>442</v>
      </c>
      <c r="Q1797" t="s">
        <v>622</v>
      </c>
      <c r="R1797" t="s">
        <v>8160</v>
      </c>
      <c r="S1797" t="s">
        <v>8161</v>
      </c>
      <c r="U1797" t="s">
        <v>8162</v>
      </c>
    </row>
    <row r="1798" spans="1:21" x14ac:dyDescent="0.25">
      <c r="A1798" t="s">
        <v>8163</v>
      </c>
      <c r="B1798" t="s">
        <v>38</v>
      </c>
      <c r="C1798" t="s">
        <v>8164</v>
      </c>
      <c r="D1798">
        <f t="shared" si="55"/>
        <v>-3447368956</v>
      </c>
      <c r="E1798" t="s">
        <v>8165</v>
      </c>
      <c r="F1798" t="s">
        <v>7948</v>
      </c>
      <c r="G1798" t="s">
        <v>7949</v>
      </c>
      <c r="H1798">
        <v>-2.2201985120773302</v>
      </c>
      <c r="I1798">
        <v>52.190009415823702</v>
      </c>
      <c r="J1798">
        <v>85</v>
      </c>
      <c r="K1798" t="s">
        <v>166</v>
      </c>
      <c r="L1798" t="s">
        <v>166</v>
      </c>
      <c r="M1798" t="s">
        <v>166</v>
      </c>
      <c r="N1798" t="s">
        <v>166</v>
      </c>
      <c r="O1798" t="s">
        <v>166</v>
      </c>
      <c r="P1798" t="s">
        <v>166</v>
      </c>
      <c r="Q1798" t="s">
        <v>7969</v>
      </c>
      <c r="R1798" t="s">
        <v>8166</v>
      </c>
      <c r="S1798" t="s">
        <v>8167</v>
      </c>
      <c r="U1798" t="s">
        <v>8168</v>
      </c>
    </row>
    <row r="1799" spans="1:21" x14ac:dyDescent="0.25">
      <c r="A1799" t="s">
        <v>8169</v>
      </c>
      <c r="B1799" t="s">
        <v>38</v>
      </c>
      <c r="C1799" t="s">
        <v>8170</v>
      </c>
      <c r="D1799">
        <f t="shared" si="55"/>
        <v>-3447368956</v>
      </c>
      <c r="E1799" t="s">
        <v>8171</v>
      </c>
      <c r="F1799" t="s">
        <v>7948</v>
      </c>
      <c r="G1799" t="s">
        <v>7949</v>
      </c>
      <c r="H1799">
        <v>-1.84242541613855</v>
      </c>
      <c r="I1799">
        <v>50.753711319252801</v>
      </c>
      <c r="J1799">
        <v>85</v>
      </c>
      <c r="K1799" t="s">
        <v>192</v>
      </c>
      <c r="L1799" t="s">
        <v>192</v>
      </c>
      <c r="M1799" t="s">
        <v>192</v>
      </c>
      <c r="N1799" t="s">
        <v>192</v>
      </c>
      <c r="O1799" t="s">
        <v>192</v>
      </c>
      <c r="P1799" t="s">
        <v>165</v>
      </c>
      <c r="Q1799" t="s">
        <v>7969</v>
      </c>
      <c r="R1799" t="s">
        <v>8172</v>
      </c>
      <c r="S1799" t="s">
        <v>8173</v>
      </c>
      <c r="U1799" t="s">
        <v>8174</v>
      </c>
    </row>
    <row r="1800" spans="1:21" x14ac:dyDescent="0.25">
      <c r="A1800" t="s">
        <v>8175</v>
      </c>
      <c r="B1800" t="s">
        <v>38</v>
      </c>
      <c r="C1800" t="s">
        <v>8176</v>
      </c>
      <c r="D1800">
        <f t="shared" si="55"/>
        <v>-3447368956</v>
      </c>
      <c r="E1800" t="s">
        <v>8026</v>
      </c>
      <c r="F1800" t="s">
        <v>7948</v>
      </c>
      <c r="G1800" t="s">
        <v>7949</v>
      </c>
      <c r="H1800">
        <v>-2.2416400909423801</v>
      </c>
      <c r="I1800">
        <v>53.482887309615101</v>
      </c>
      <c r="J1800">
        <v>85</v>
      </c>
      <c r="K1800" t="s">
        <v>166</v>
      </c>
      <c r="L1800" t="s">
        <v>166</v>
      </c>
      <c r="M1800" t="s">
        <v>166</v>
      </c>
      <c r="N1800" t="s">
        <v>166</v>
      </c>
      <c r="O1800" t="s">
        <v>166</v>
      </c>
      <c r="P1800" t="s">
        <v>166</v>
      </c>
      <c r="Q1800" t="s">
        <v>8177</v>
      </c>
      <c r="R1800" t="s">
        <v>8178</v>
      </c>
      <c r="S1800" t="s">
        <v>8179</v>
      </c>
      <c r="U1800" t="s">
        <v>8180</v>
      </c>
    </row>
    <row r="1801" spans="1:21" x14ac:dyDescent="0.25">
      <c r="A1801" t="s">
        <v>8181</v>
      </c>
      <c r="B1801" t="s">
        <v>22</v>
      </c>
      <c r="C1801" t="s">
        <v>8182</v>
      </c>
      <c r="D1801">
        <f t="shared" si="55"/>
        <v>-3447368956</v>
      </c>
      <c r="E1801" t="s">
        <v>1226</v>
      </c>
      <c r="F1801" t="s">
        <v>7948</v>
      </c>
      <c r="G1801" t="s">
        <v>7949</v>
      </c>
      <c r="H1801">
        <v>-0.19361110000000001</v>
      </c>
      <c r="I1801">
        <v>51.454722199999999</v>
      </c>
      <c r="J1801">
        <v>85</v>
      </c>
      <c r="K1801" t="s">
        <v>165</v>
      </c>
      <c r="L1801" t="s">
        <v>165</v>
      </c>
      <c r="M1801" t="s">
        <v>165</v>
      </c>
      <c r="N1801" t="s">
        <v>165</v>
      </c>
      <c r="O1801" t="s">
        <v>165</v>
      </c>
      <c r="P1801" t="s">
        <v>165</v>
      </c>
      <c r="Q1801" t="s">
        <v>564</v>
      </c>
      <c r="R1801" t="s">
        <v>8183</v>
      </c>
      <c r="S1801" t="s">
        <v>8184</v>
      </c>
      <c r="U1801" t="s">
        <v>8185</v>
      </c>
    </row>
    <row r="1802" spans="1:21" x14ac:dyDescent="0.25">
      <c r="A1802" t="s">
        <v>8186</v>
      </c>
      <c r="B1802" t="s">
        <v>22</v>
      </c>
      <c r="C1802" t="s">
        <v>8187</v>
      </c>
      <c r="D1802">
        <f t="shared" si="55"/>
        <v>-3447368956</v>
      </c>
      <c r="E1802" t="s">
        <v>8188</v>
      </c>
      <c r="F1802" t="s">
        <v>7948</v>
      </c>
      <c r="G1802" t="s">
        <v>7949</v>
      </c>
      <c r="H1802">
        <v>-1.6678619384765601</v>
      </c>
      <c r="I1802">
        <v>54.956279322861597</v>
      </c>
      <c r="J1802">
        <v>85</v>
      </c>
      <c r="K1802" t="s">
        <v>536</v>
      </c>
      <c r="L1802" t="s">
        <v>536</v>
      </c>
      <c r="M1802" t="s">
        <v>536</v>
      </c>
      <c r="N1802" t="s">
        <v>536</v>
      </c>
      <c r="O1802" t="s">
        <v>536</v>
      </c>
      <c r="P1802" t="s">
        <v>535</v>
      </c>
      <c r="Q1802" t="s">
        <v>564</v>
      </c>
      <c r="R1802" t="s">
        <v>8189</v>
      </c>
      <c r="S1802" t="s">
        <v>8190</v>
      </c>
      <c r="U1802" t="s">
        <v>8191</v>
      </c>
    </row>
    <row r="1803" spans="1:21" x14ac:dyDescent="0.25">
      <c r="A1803" t="s">
        <v>8192</v>
      </c>
      <c r="B1803" t="s">
        <v>22</v>
      </c>
      <c r="C1803" t="s">
        <v>8193</v>
      </c>
      <c r="D1803">
        <f t="shared" si="55"/>
        <v>-3447368956</v>
      </c>
      <c r="E1803" t="s">
        <v>8194</v>
      </c>
      <c r="F1803" t="s">
        <v>7948</v>
      </c>
      <c r="G1803" t="s">
        <v>7949</v>
      </c>
      <c r="H1803">
        <v>1.08132719993591</v>
      </c>
      <c r="I1803">
        <v>51.276756425299602</v>
      </c>
      <c r="J1803">
        <v>85</v>
      </c>
      <c r="K1803" t="s">
        <v>166</v>
      </c>
      <c r="L1803" t="s">
        <v>166</v>
      </c>
      <c r="M1803" t="s">
        <v>166</v>
      </c>
      <c r="N1803" t="s">
        <v>166</v>
      </c>
      <c r="O1803" t="s">
        <v>166</v>
      </c>
      <c r="P1803" t="s">
        <v>166</v>
      </c>
      <c r="Q1803" t="s">
        <v>564</v>
      </c>
      <c r="R1803" t="s">
        <v>8195</v>
      </c>
      <c r="S1803" t="s">
        <v>8196</v>
      </c>
      <c r="U1803" t="s">
        <v>8197</v>
      </c>
    </row>
    <row r="1804" spans="1:21" x14ac:dyDescent="0.25">
      <c r="A1804" t="s">
        <v>8198</v>
      </c>
      <c r="B1804" t="s">
        <v>32</v>
      </c>
      <c r="C1804" t="s">
        <v>8199</v>
      </c>
      <c r="D1804">
        <f t="shared" si="55"/>
        <v>-3447368956</v>
      </c>
      <c r="E1804" t="s">
        <v>7947</v>
      </c>
      <c r="F1804" t="s">
        <v>7948</v>
      </c>
      <c r="G1804" t="s">
        <v>7949</v>
      </c>
      <c r="H1804">
        <v>-3.1927943229675302</v>
      </c>
      <c r="I1804">
        <v>55.952807082726402</v>
      </c>
      <c r="J1804">
        <v>85</v>
      </c>
      <c r="K1804" t="s">
        <v>192</v>
      </c>
      <c r="L1804" t="s">
        <v>192</v>
      </c>
      <c r="M1804" t="s">
        <v>192</v>
      </c>
      <c r="N1804" t="s">
        <v>192</v>
      </c>
      <c r="O1804" t="s">
        <v>192</v>
      </c>
      <c r="P1804" t="s">
        <v>192</v>
      </c>
      <c r="Q1804" t="s">
        <v>535</v>
      </c>
      <c r="R1804" t="s">
        <v>8200</v>
      </c>
      <c r="U1804" t="s">
        <v>8201</v>
      </c>
    </row>
    <row r="1805" spans="1:21" x14ac:dyDescent="0.25">
      <c r="A1805" t="s">
        <v>8202</v>
      </c>
      <c r="B1805" t="s">
        <v>38</v>
      </c>
      <c r="C1805" t="s">
        <v>8203</v>
      </c>
      <c r="D1805">
        <f t="shared" si="55"/>
        <v>-3447368956</v>
      </c>
      <c r="E1805" t="s">
        <v>8204</v>
      </c>
      <c r="F1805" t="s">
        <v>7948</v>
      </c>
      <c r="G1805" t="s">
        <v>7949</v>
      </c>
      <c r="H1805">
        <v>-0.33742189407348999</v>
      </c>
      <c r="I1805">
        <v>51.751052025217597</v>
      </c>
      <c r="J1805">
        <v>85</v>
      </c>
      <c r="K1805" t="s">
        <v>166</v>
      </c>
      <c r="L1805" t="s">
        <v>166</v>
      </c>
      <c r="M1805" t="s">
        <v>166</v>
      </c>
      <c r="N1805" t="s">
        <v>166</v>
      </c>
      <c r="O1805" t="s">
        <v>166</v>
      </c>
      <c r="P1805" t="s">
        <v>166</v>
      </c>
      <c r="Q1805" t="s">
        <v>564</v>
      </c>
      <c r="R1805" t="s">
        <v>8205</v>
      </c>
      <c r="S1805" t="s">
        <v>8206</v>
      </c>
      <c r="U1805" t="s">
        <v>8207</v>
      </c>
    </row>
    <row r="1806" spans="1:21" x14ac:dyDescent="0.25">
      <c r="A1806" t="s">
        <v>8208</v>
      </c>
      <c r="B1806" t="s">
        <v>22</v>
      </c>
      <c r="C1806" t="s">
        <v>8209</v>
      </c>
      <c r="D1806">
        <f t="shared" si="55"/>
        <v>-3447368956</v>
      </c>
      <c r="E1806" t="s">
        <v>8210</v>
      </c>
      <c r="F1806" t="s">
        <v>7948</v>
      </c>
      <c r="G1806" t="s">
        <v>7949</v>
      </c>
      <c r="H1806">
        <v>-0.10204195976256999</v>
      </c>
      <c r="I1806">
        <v>51.376254174718298</v>
      </c>
      <c r="J1806">
        <v>85</v>
      </c>
      <c r="K1806" t="s">
        <v>728</v>
      </c>
      <c r="L1806" t="s">
        <v>728</v>
      </c>
      <c r="M1806" t="s">
        <v>728</v>
      </c>
      <c r="N1806" t="s">
        <v>728</v>
      </c>
      <c r="O1806" t="s">
        <v>728</v>
      </c>
      <c r="P1806" t="s">
        <v>728</v>
      </c>
      <c r="Q1806" t="s">
        <v>564</v>
      </c>
      <c r="R1806" t="s">
        <v>8211</v>
      </c>
      <c r="S1806" t="s">
        <v>8212</v>
      </c>
      <c r="U1806" t="s">
        <v>8213</v>
      </c>
    </row>
    <row r="1807" spans="1:21" x14ac:dyDescent="0.25">
      <c r="A1807" t="s">
        <v>8214</v>
      </c>
      <c r="B1807" t="s">
        <v>22</v>
      </c>
      <c r="C1807" t="s">
        <v>8215</v>
      </c>
      <c r="D1807">
        <f t="shared" si="55"/>
        <v>-3447368956</v>
      </c>
      <c r="E1807" t="s">
        <v>8216</v>
      </c>
      <c r="F1807" t="s">
        <v>7948</v>
      </c>
      <c r="G1807" t="s">
        <v>7949</v>
      </c>
      <c r="H1807">
        <v>-2.0981095000000001</v>
      </c>
      <c r="I1807">
        <v>57.144640000000003</v>
      </c>
      <c r="J1807">
        <v>85</v>
      </c>
      <c r="K1807" t="s">
        <v>192</v>
      </c>
      <c r="L1807" t="s">
        <v>192</v>
      </c>
      <c r="M1807" t="s">
        <v>192</v>
      </c>
      <c r="N1807" t="s">
        <v>192</v>
      </c>
      <c r="O1807" t="s">
        <v>192</v>
      </c>
      <c r="P1807" t="s">
        <v>165</v>
      </c>
      <c r="Q1807" t="s">
        <v>745</v>
      </c>
      <c r="R1807" t="s">
        <v>8217</v>
      </c>
      <c r="S1807" t="s">
        <v>8218</v>
      </c>
      <c r="U1807" t="s">
        <v>8219</v>
      </c>
    </row>
    <row r="1808" spans="1:21" x14ac:dyDescent="0.25">
      <c r="A1808" t="s">
        <v>8220</v>
      </c>
      <c r="B1808" t="s">
        <v>38</v>
      </c>
      <c r="C1808" t="s">
        <v>8221</v>
      </c>
      <c r="D1808">
        <f t="shared" si="55"/>
        <v>-3447368956</v>
      </c>
      <c r="E1808" t="s">
        <v>1221</v>
      </c>
      <c r="F1808" t="s">
        <v>7948</v>
      </c>
      <c r="G1808" t="s">
        <v>7949</v>
      </c>
      <c r="H1808">
        <v>-0.61107158660889005</v>
      </c>
      <c r="I1808">
        <v>51.481463075055203</v>
      </c>
      <c r="J1808">
        <v>85</v>
      </c>
      <c r="K1808" t="s">
        <v>166</v>
      </c>
      <c r="L1808" t="s">
        <v>166</v>
      </c>
      <c r="M1808" t="s">
        <v>166</v>
      </c>
      <c r="N1808" t="s">
        <v>166</v>
      </c>
      <c r="O1808" t="s">
        <v>166</v>
      </c>
      <c r="P1808" t="s">
        <v>166</v>
      </c>
      <c r="Q1808" t="s">
        <v>564</v>
      </c>
      <c r="R1808" t="s">
        <v>8222</v>
      </c>
      <c r="U1808" t="s">
        <v>8223</v>
      </c>
    </row>
    <row r="1809" spans="1:21" x14ac:dyDescent="0.25">
      <c r="A1809" t="s">
        <v>8224</v>
      </c>
      <c r="B1809" t="s">
        <v>38</v>
      </c>
      <c r="C1809" t="s">
        <v>8225</v>
      </c>
      <c r="D1809">
        <f t="shared" si="55"/>
        <v>-3447368956</v>
      </c>
      <c r="E1809" t="s">
        <v>8226</v>
      </c>
      <c r="F1809" t="s">
        <v>7948</v>
      </c>
      <c r="G1809" t="s">
        <v>7949</v>
      </c>
      <c r="H1809">
        <v>-2.62867212295532</v>
      </c>
      <c r="I1809">
        <v>53.545930374237301</v>
      </c>
      <c r="J1809">
        <v>85</v>
      </c>
      <c r="K1809" t="s">
        <v>442</v>
      </c>
      <c r="L1809" t="s">
        <v>442</v>
      </c>
      <c r="M1809" t="s">
        <v>442</v>
      </c>
      <c r="N1809" t="s">
        <v>442</v>
      </c>
      <c r="O1809" t="s">
        <v>442</v>
      </c>
      <c r="P1809" t="s">
        <v>442</v>
      </c>
      <c r="Q1809" t="s">
        <v>7969</v>
      </c>
      <c r="R1809" t="s">
        <v>8227</v>
      </c>
      <c r="U1809" t="s">
        <v>8228</v>
      </c>
    </row>
    <row r="1810" spans="1:21" x14ac:dyDescent="0.25">
      <c r="A1810" t="s">
        <v>8229</v>
      </c>
      <c r="B1810" t="s">
        <v>38</v>
      </c>
      <c r="C1810" t="s">
        <v>8230</v>
      </c>
      <c r="D1810">
        <f t="shared" si="55"/>
        <v>-3447368956</v>
      </c>
      <c r="E1810" t="s">
        <v>8231</v>
      </c>
      <c r="F1810" t="s">
        <v>7948</v>
      </c>
      <c r="G1810" t="s">
        <v>7949</v>
      </c>
      <c r="H1810">
        <v>-6.3893259999999996</v>
      </c>
      <c r="I1810">
        <v>54.448782000000001</v>
      </c>
      <c r="J1810">
        <v>85</v>
      </c>
      <c r="K1810" t="s">
        <v>312</v>
      </c>
      <c r="L1810" t="s">
        <v>312</v>
      </c>
      <c r="M1810" t="s">
        <v>312</v>
      </c>
      <c r="N1810" t="s">
        <v>312</v>
      </c>
      <c r="O1810" t="s">
        <v>312</v>
      </c>
      <c r="P1810" t="s">
        <v>166</v>
      </c>
      <c r="Q1810" t="s">
        <v>8232</v>
      </c>
      <c r="R1810" t="s">
        <v>8233</v>
      </c>
      <c r="S1810" t="s">
        <v>8234</v>
      </c>
      <c r="U1810" t="s">
        <v>8235</v>
      </c>
    </row>
    <row r="1811" spans="1:21" x14ac:dyDescent="0.25">
      <c r="A1811" t="s">
        <v>8236</v>
      </c>
      <c r="B1811" t="s">
        <v>22</v>
      </c>
      <c r="C1811" t="s">
        <v>8237</v>
      </c>
      <c r="D1811">
        <f t="shared" si="55"/>
        <v>-3447368956</v>
      </c>
      <c r="E1811" t="s">
        <v>8075</v>
      </c>
      <c r="F1811" t="s">
        <v>7948</v>
      </c>
      <c r="G1811" t="s">
        <v>7949</v>
      </c>
      <c r="H1811">
        <v>-1.4699628</v>
      </c>
      <c r="I1811">
        <v>53.381027000000003</v>
      </c>
      <c r="J1811">
        <v>85</v>
      </c>
      <c r="K1811" t="s">
        <v>166</v>
      </c>
      <c r="L1811" t="s">
        <v>166</v>
      </c>
      <c r="M1811" t="s">
        <v>166</v>
      </c>
      <c r="N1811" t="s">
        <v>166</v>
      </c>
      <c r="O1811" t="s">
        <v>166</v>
      </c>
      <c r="P1811" t="s">
        <v>166</v>
      </c>
      <c r="Q1811" t="s">
        <v>564</v>
      </c>
      <c r="R1811" t="s">
        <v>8238</v>
      </c>
      <c r="S1811" t="s">
        <v>8075</v>
      </c>
      <c r="U1811" t="s">
        <v>8239</v>
      </c>
    </row>
    <row r="1812" spans="1:21" x14ac:dyDescent="0.25">
      <c r="A1812" t="s">
        <v>8240</v>
      </c>
      <c r="B1812" t="s">
        <v>38</v>
      </c>
      <c r="C1812" t="s">
        <v>8241</v>
      </c>
      <c r="D1812">
        <f t="shared" si="55"/>
        <v>-3447368956</v>
      </c>
      <c r="E1812" t="s">
        <v>8242</v>
      </c>
      <c r="F1812" t="s">
        <v>7948</v>
      </c>
      <c r="G1812" t="s">
        <v>7949</v>
      </c>
      <c r="H1812">
        <v>-0.47247648239135998</v>
      </c>
      <c r="I1812">
        <v>51.749205510700499</v>
      </c>
      <c r="J1812">
        <v>85</v>
      </c>
      <c r="K1812" t="s">
        <v>442</v>
      </c>
      <c r="L1812" t="s">
        <v>442</v>
      </c>
      <c r="M1812" t="s">
        <v>442</v>
      </c>
      <c r="N1812" t="s">
        <v>442</v>
      </c>
      <c r="O1812" t="s">
        <v>442</v>
      </c>
      <c r="P1812" t="s">
        <v>166</v>
      </c>
      <c r="Q1812" t="s">
        <v>8003</v>
      </c>
      <c r="R1812" t="s">
        <v>8243</v>
      </c>
      <c r="S1812" t="s">
        <v>8242</v>
      </c>
      <c r="U1812" t="s">
        <v>8244</v>
      </c>
    </row>
    <row r="1813" spans="1:21" x14ac:dyDescent="0.25">
      <c r="A1813" t="s">
        <v>8245</v>
      </c>
      <c r="B1813" t="s">
        <v>22</v>
      </c>
      <c r="C1813" t="s">
        <v>8246</v>
      </c>
      <c r="D1813">
        <f t="shared" si="55"/>
        <v>-3447368956</v>
      </c>
      <c r="E1813" t="s">
        <v>1226</v>
      </c>
      <c r="F1813" t="s">
        <v>7948</v>
      </c>
      <c r="G1813" t="s">
        <v>7949</v>
      </c>
      <c r="H1813">
        <v>-0.22401809692383001</v>
      </c>
      <c r="I1813">
        <v>51.576349435343403</v>
      </c>
      <c r="J1813">
        <v>85</v>
      </c>
      <c r="K1813" t="s">
        <v>45</v>
      </c>
      <c r="L1813" t="s">
        <v>45</v>
      </c>
      <c r="M1813" t="s">
        <v>45</v>
      </c>
      <c r="N1813" t="s">
        <v>45</v>
      </c>
      <c r="O1813" t="s">
        <v>45</v>
      </c>
      <c r="P1813" t="s">
        <v>192</v>
      </c>
      <c r="Q1813" t="s">
        <v>1492</v>
      </c>
      <c r="R1813" t="s">
        <v>8247</v>
      </c>
      <c r="S1813" t="s">
        <v>8248</v>
      </c>
      <c r="U1813" t="s">
        <v>8249</v>
      </c>
    </row>
    <row r="1814" spans="1:21" x14ac:dyDescent="0.25">
      <c r="A1814" t="s">
        <v>8250</v>
      </c>
      <c r="B1814" t="s">
        <v>22</v>
      </c>
      <c r="C1814" t="s">
        <v>8251</v>
      </c>
      <c r="D1814">
        <f t="shared" si="55"/>
        <v>-3447368956</v>
      </c>
      <c r="E1814" t="s">
        <v>8252</v>
      </c>
      <c r="F1814" t="s">
        <v>7948</v>
      </c>
      <c r="G1814" t="s">
        <v>7949</v>
      </c>
      <c r="H1814">
        <v>0.12220144271850999</v>
      </c>
      <c r="I1814">
        <v>52.204910983051199</v>
      </c>
      <c r="J1814">
        <v>85</v>
      </c>
      <c r="K1814" t="s">
        <v>166</v>
      </c>
      <c r="L1814" t="s">
        <v>166</v>
      </c>
      <c r="M1814" t="s">
        <v>166</v>
      </c>
      <c r="N1814" t="s">
        <v>166</v>
      </c>
      <c r="O1814" t="s">
        <v>166</v>
      </c>
      <c r="P1814" t="s">
        <v>198</v>
      </c>
      <c r="Q1814" t="s">
        <v>564</v>
      </c>
      <c r="R1814" t="s">
        <v>8253</v>
      </c>
      <c r="S1814" t="s">
        <v>8254</v>
      </c>
      <c r="U1814" t="s">
        <v>8255</v>
      </c>
    </row>
    <row r="1815" spans="1:21" x14ac:dyDescent="0.25">
      <c r="A1815" t="s">
        <v>8256</v>
      </c>
      <c r="B1815" t="s">
        <v>22</v>
      </c>
      <c r="C1815" t="s">
        <v>8257</v>
      </c>
      <c r="D1815">
        <f t="shared" si="55"/>
        <v>-3447368956</v>
      </c>
      <c r="E1815" t="s">
        <v>8258</v>
      </c>
      <c r="F1815" t="s">
        <v>7948</v>
      </c>
      <c r="G1815" t="s">
        <v>7949</v>
      </c>
      <c r="H1815">
        <v>-5.925961</v>
      </c>
      <c r="I1815">
        <v>54.598419999999997</v>
      </c>
      <c r="J1815">
        <v>85</v>
      </c>
      <c r="K1815" t="s">
        <v>166</v>
      </c>
      <c r="L1815" t="s">
        <v>166</v>
      </c>
      <c r="M1815" t="s">
        <v>166</v>
      </c>
      <c r="N1815" t="s">
        <v>312</v>
      </c>
      <c r="O1815" t="s">
        <v>312</v>
      </c>
      <c r="P1815" t="s">
        <v>166</v>
      </c>
      <c r="Q1815" t="s">
        <v>8232</v>
      </c>
      <c r="R1815" t="s">
        <v>8259</v>
      </c>
      <c r="U1815" t="s">
        <v>8260</v>
      </c>
    </row>
    <row r="1816" spans="1:21" x14ac:dyDescent="0.25">
      <c r="A1816" t="s">
        <v>8261</v>
      </c>
      <c r="B1816" t="s">
        <v>22</v>
      </c>
      <c r="C1816" t="s">
        <v>8262</v>
      </c>
      <c r="D1816">
        <f t="shared" si="55"/>
        <v>-3447368956</v>
      </c>
      <c r="E1816" t="s">
        <v>8263</v>
      </c>
      <c r="F1816" t="s">
        <v>7948</v>
      </c>
      <c r="G1816" t="s">
        <v>7949</v>
      </c>
      <c r="H1816">
        <v>-4.1372108459472701</v>
      </c>
      <c r="I1816">
        <v>50.372565536032603</v>
      </c>
      <c r="J1816">
        <v>85</v>
      </c>
      <c r="K1816" t="s">
        <v>166</v>
      </c>
      <c r="L1816" t="s">
        <v>166</v>
      </c>
      <c r="M1816" t="s">
        <v>166</v>
      </c>
      <c r="N1816" t="s">
        <v>192</v>
      </c>
      <c r="O1816" t="s">
        <v>166</v>
      </c>
      <c r="P1816" t="s">
        <v>166</v>
      </c>
      <c r="Q1816" t="s">
        <v>564</v>
      </c>
      <c r="R1816" t="s">
        <v>8264</v>
      </c>
      <c r="S1816" t="s">
        <v>8265</v>
      </c>
      <c r="U1816" t="s">
        <v>8266</v>
      </c>
    </row>
    <row r="1817" spans="1:21" x14ac:dyDescent="0.25">
      <c r="A1817" t="s">
        <v>8267</v>
      </c>
      <c r="B1817" t="s">
        <v>38</v>
      </c>
      <c r="C1817" t="s">
        <v>8268</v>
      </c>
      <c r="D1817">
        <f t="shared" si="55"/>
        <v>-3447368956</v>
      </c>
      <c r="E1817" t="s">
        <v>8269</v>
      </c>
      <c r="F1817" t="s">
        <v>7948</v>
      </c>
      <c r="G1817" t="s">
        <v>7949</v>
      </c>
      <c r="H1817">
        <v>-1.2929889999999999</v>
      </c>
      <c r="I1817">
        <v>50.698721999999997</v>
      </c>
      <c r="J1817">
        <v>85</v>
      </c>
      <c r="K1817" t="s">
        <v>166</v>
      </c>
      <c r="L1817" t="s">
        <v>166</v>
      </c>
      <c r="M1817" t="s">
        <v>166</v>
      </c>
      <c r="N1817" t="s">
        <v>166</v>
      </c>
      <c r="O1817" t="s">
        <v>166</v>
      </c>
      <c r="P1817" t="s">
        <v>166</v>
      </c>
      <c r="Q1817" t="s">
        <v>622</v>
      </c>
      <c r="R1817" t="s">
        <v>8270</v>
      </c>
      <c r="S1817" t="s">
        <v>8271</v>
      </c>
      <c r="U1817" t="s">
        <v>8272</v>
      </c>
    </row>
    <row r="1818" spans="1:21" x14ac:dyDescent="0.25">
      <c r="A1818" t="s">
        <v>8273</v>
      </c>
      <c r="B1818" t="s">
        <v>38</v>
      </c>
      <c r="C1818" t="s">
        <v>8274</v>
      </c>
      <c r="D1818">
        <f t="shared" si="55"/>
        <v>-3447368956</v>
      </c>
      <c r="E1818" t="s">
        <v>8275</v>
      </c>
      <c r="F1818" t="s">
        <v>7948</v>
      </c>
      <c r="G1818" t="s">
        <v>7949</v>
      </c>
      <c r="H1818">
        <v>-2.59539127349854</v>
      </c>
      <c r="I1818">
        <v>53.389893548198501</v>
      </c>
      <c r="J1818">
        <v>85</v>
      </c>
      <c r="K1818" t="s">
        <v>1272</v>
      </c>
      <c r="L1818" t="s">
        <v>1272</v>
      </c>
      <c r="M1818" t="s">
        <v>1272</v>
      </c>
      <c r="N1818" t="s">
        <v>185</v>
      </c>
      <c r="O1818" t="s">
        <v>1272</v>
      </c>
      <c r="P1818" t="s">
        <v>262</v>
      </c>
      <c r="Q1818" t="s">
        <v>564</v>
      </c>
      <c r="R1818" t="s">
        <v>8276</v>
      </c>
      <c r="U1818" t="s">
        <v>8277</v>
      </c>
    </row>
    <row r="1819" spans="1:21" x14ac:dyDescent="0.25">
      <c r="A1819" t="s">
        <v>8278</v>
      </c>
      <c r="B1819" t="s">
        <v>38</v>
      </c>
      <c r="C1819" t="s">
        <v>8279</v>
      </c>
      <c r="D1819">
        <f t="shared" si="55"/>
        <v>-3447368956</v>
      </c>
      <c r="E1819" t="s">
        <v>8280</v>
      </c>
      <c r="F1819" t="s">
        <v>7948</v>
      </c>
      <c r="G1819" t="s">
        <v>7949</v>
      </c>
      <c r="H1819">
        <v>-0.34767866134643999</v>
      </c>
      <c r="I1819">
        <v>53.745576616075603</v>
      </c>
      <c r="J1819">
        <v>85</v>
      </c>
      <c r="K1819" t="s">
        <v>166</v>
      </c>
      <c r="L1819" t="s">
        <v>166</v>
      </c>
      <c r="M1819" t="s">
        <v>166</v>
      </c>
      <c r="N1819" t="s">
        <v>166</v>
      </c>
      <c r="O1819" t="s">
        <v>166</v>
      </c>
      <c r="P1819" t="s">
        <v>166</v>
      </c>
      <c r="Q1819" t="s">
        <v>7969</v>
      </c>
      <c r="R1819" t="s">
        <v>8281</v>
      </c>
      <c r="U1819" t="s">
        <v>8282</v>
      </c>
    </row>
    <row r="1820" spans="1:21" x14ac:dyDescent="0.25">
      <c r="A1820" t="s">
        <v>8283</v>
      </c>
      <c r="B1820" t="s">
        <v>32</v>
      </c>
      <c r="C1820" t="s">
        <v>8284</v>
      </c>
      <c r="D1820">
        <f t="shared" si="55"/>
        <v>-3447368956</v>
      </c>
      <c r="E1820" t="s">
        <v>8020</v>
      </c>
      <c r="F1820" t="s">
        <v>7948</v>
      </c>
      <c r="G1820" t="s">
        <v>7949</v>
      </c>
      <c r="H1820">
        <v>-2.5891251999999998</v>
      </c>
      <c r="I1820">
        <v>51.4576925</v>
      </c>
      <c r="J1820">
        <v>85</v>
      </c>
      <c r="K1820" t="s">
        <v>45</v>
      </c>
      <c r="L1820" t="s">
        <v>45</v>
      </c>
      <c r="M1820" t="s">
        <v>45</v>
      </c>
      <c r="N1820" t="s">
        <v>45</v>
      </c>
      <c r="O1820" t="s">
        <v>45</v>
      </c>
      <c r="P1820" t="s">
        <v>535</v>
      </c>
      <c r="Q1820" t="s">
        <v>564</v>
      </c>
      <c r="R1820" t="s">
        <v>8285</v>
      </c>
      <c r="S1820" t="s">
        <v>8286</v>
      </c>
      <c r="U1820" t="s">
        <v>8287</v>
      </c>
    </row>
    <row r="1821" spans="1:21" x14ac:dyDescent="0.25">
      <c r="A1821" t="s">
        <v>8288</v>
      </c>
      <c r="B1821" t="s">
        <v>38</v>
      </c>
      <c r="C1821" t="s">
        <v>8289</v>
      </c>
      <c r="D1821">
        <f t="shared" si="55"/>
        <v>-3447368956</v>
      </c>
      <c r="E1821" t="s">
        <v>8290</v>
      </c>
      <c r="F1821" t="s">
        <v>7948</v>
      </c>
      <c r="G1821" t="s">
        <v>7949</v>
      </c>
      <c r="H1821">
        <v>-6.2753810000000003</v>
      </c>
      <c r="I1821">
        <v>54.868856000000001</v>
      </c>
      <c r="J1821">
        <v>85</v>
      </c>
      <c r="K1821" t="s">
        <v>659</v>
      </c>
      <c r="L1821" t="s">
        <v>659</v>
      </c>
      <c r="M1821" t="s">
        <v>659</v>
      </c>
      <c r="N1821" t="s">
        <v>428</v>
      </c>
      <c r="O1821" t="s">
        <v>428</v>
      </c>
      <c r="P1821" t="s">
        <v>428</v>
      </c>
      <c r="Q1821" t="s">
        <v>8232</v>
      </c>
      <c r="R1821" t="s">
        <v>8291</v>
      </c>
      <c r="S1821" t="s">
        <v>8292</v>
      </c>
      <c r="U1821" t="s">
        <v>8293</v>
      </c>
    </row>
    <row r="1822" spans="1:21" x14ac:dyDescent="0.25">
      <c r="A1822" t="s">
        <v>8294</v>
      </c>
      <c r="B1822" t="s">
        <v>22</v>
      </c>
      <c r="C1822" t="s">
        <v>8295</v>
      </c>
      <c r="D1822">
        <f t="shared" ref="D1822:D1853" si="56">44-3447369000</f>
        <v>-3447368956</v>
      </c>
      <c r="E1822" t="s">
        <v>8296</v>
      </c>
      <c r="F1822" t="s">
        <v>7948</v>
      </c>
      <c r="G1822" t="s">
        <v>7949</v>
      </c>
      <c r="H1822">
        <v>1.6533136367799999E-2</v>
      </c>
      <c r="I1822">
        <v>51.403877560412099</v>
      </c>
      <c r="J1822">
        <v>85</v>
      </c>
      <c r="K1822" t="s">
        <v>165</v>
      </c>
      <c r="L1822" t="s">
        <v>165</v>
      </c>
      <c r="M1822" t="s">
        <v>165</v>
      </c>
      <c r="N1822" t="s">
        <v>312</v>
      </c>
      <c r="O1822" t="s">
        <v>165</v>
      </c>
      <c r="P1822" t="s">
        <v>165</v>
      </c>
      <c r="Q1822" t="s">
        <v>564</v>
      </c>
      <c r="R1822" t="s">
        <v>8297</v>
      </c>
      <c r="S1822" t="s">
        <v>1361</v>
      </c>
      <c r="U1822" t="s">
        <v>8298</v>
      </c>
    </row>
    <row r="1823" spans="1:21" x14ac:dyDescent="0.25">
      <c r="A1823" t="s">
        <v>8299</v>
      </c>
      <c r="B1823" t="s">
        <v>38</v>
      </c>
      <c r="C1823" t="s">
        <v>8300</v>
      </c>
      <c r="D1823">
        <f t="shared" si="56"/>
        <v>-3447368956</v>
      </c>
      <c r="E1823" t="s">
        <v>8301</v>
      </c>
      <c r="F1823" t="s">
        <v>7948</v>
      </c>
      <c r="G1823" t="s">
        <v>7949</v>
      </c>
      <c r="H1823">
        <v>0.70637583732605003</v>
      </c>
      <c r="I1823">
        <v>52.247976416603898</v>
      </c>
      <c r="J1823">
        <v>85</v>
      </c>
      <c r="K1823" t="s">
        <v>442</v>
      </c>
      <c r="L1823" t="s">
        <v>442</v>
      </c>
      <c r="M1823" t="s">
        <v>442</v>
      </c>
      <c r="N1823" t="s">
        <v>442</v>
      </c>
      <c r="O1823" t="s">
        <v>166</v>
      </c>
      <c r="P1823" t="s">
        <v>166</v>
      </c>
      <c r="Q1823" t="s">
        <v>7969</v>
      </c>
      <c r="R1823" t="s">
        <v>8302</v>
      </c>
      <c r="S1823" t="s">
        <v>8303</v>
      </c>
      <c r="U1823" t="s">
        <v>8304</v>
      </c>
    </row>
    <row r="1824" spans="1:21" x14ac:dyDescent="0.25">
      <c r="A1824" t="s">
        <v>8305</v>
      </c>
      <c r="B1824" t="s">
        <v>22</v>
      </c>
      <c r="C1824" t="s">
        <v>8306</v>
      </c>
      <c r="D1824">
        <f t="shared" si="56"/>
        <v>-3447368956</v>
      </c>
      <c r="E1824" t="s">
        <v>8307</v>
      </c>
      <c r="F1824" t="s">
        <v>7948</v>
      </c>
      <c r="G1824" t="s">
        <v>7949</v>
      </c>
      <c r="H1824">
        <v>-1.4722752571105999</v>
      </c>
      <c r="I1824">
        <v>52.9189688046851</v>
      </c>
      <c r="J1824">
        <v>85</v>
      </c>
      <c r="K1824" t="s">
        <v>166</v>
      </c>
      <c r="L1824" t="s">
        <v>166</v>
      </c>
      <c r="M1824" t="s">
        <v>166</v>
      </c>
      <c r="N1824" t="s">
        <v>192</v>
      </c>
      <c r="O1824" t="s">
        <v>192</v>
      </c>
      <c r="P1824" t="s">
        <v>165</v>
      </c>
      <c r="Q1824" t="s">
        <v>7969</v>
      </c>
      <c r="R1824" t="s">
        <v>8308</v>
      </c>
      <c r="S1824" t="s">
        <v>8309</v>
      </c>
      <c r="U1824" t="s">
        <v>8310</v>
      </c>
    </row>
    <row r="1825" spans="1:21" x14ac:dyDescent="0.25">
      <c r="A1825" t="s">
        <v>8311</v>
      </c>
      <c r="B1825" t="s">
        <v>22</v>
      </c>
      <c r="C1825" t="s">
        <v>8312</v>
      </c>
      <c r="D1825">
        <f t="shared" si="56"/>
        <v>-3447368956</v>
      </c>
      <c r="E1825" t="s">
        <v>8307</v>
      </c>
      <c r="F1825" t="s">
        <v>7948</v>
      </c>
      <c r="G1825" t="s">
        <v>7949</v>
      </c>
      <c r="H1825">
        <v>-1.4742279052734399</v>
      </c>
      <c r="I1825">
        <v>52.919331060800197</v>
      </c>
      <c r="J1825">
        <v>85</v>
      </c>
      <c r="K1825" t="s">
        <v>166</v>
      </c>
      <c r="L1825" t="s">
        <v>166</v>
      </c>
      <c r="M1825" t="s">
        <v>166</v>
      </c>
      <c r="N1825" t="s">
        <v>192</v>
      </c>
      <c r="O1825" t="s">
        <v>192</v>
      </c>
      <c r="P1825" t="s">
        <v>165</v>
      </c>
      <c r="Q1825" t="s">
        <v>7969</v>
      </c>
      <c r="R1825" t="s">
        <v>8313</v>
      </c>
      <c r="S1825" t="s">
        <v>8314</v>
      </c>
      <c r="U1825" t="s">
        <v>8315</v>
      </c>
    </row>
    <row r="1826" spans="1:21" x14ac:dyDescent="0.25">
      <c r="A1826" t="s">
        <v>8316</v>
      </c>
      <c r="B1826" t="s">
        <v>32</v>
      </c>
      <c r="C1826" t="s">
        <v>8317</v>
      </c>
      <c r="D1826">
        <f t="shared" si="56"/>
        <v>-3447368956</v>
      </c>
      <c r="E1826" t="s">
        <v>1226</v>
      </c>
      <c r="F1826" t="s">
        <v>7948</v>
      </c>
      <c r="G1826" t="s">
        <v>7949</v>
      </c>
      <c r="H1826">
        <v>-0.14109492301941001</v>
      </c>
      <c r="I1826">
        <v>51.514097560194998</v>
      </c>
      <c r="J1826">
        <v>85</v>
      </c>
      <c r="K1826" t="s">
        <v>3543</v>
      </c>
      <c r="L1826" t="s">
        <v>3543</v>
      </c>
      <c r="M1826" t="s">
        <v>3543</v>
      </c>
      <c r="N1826" t="s">
        <v>3543</v>
      </c>
      <c r="O1826" t="s">
        <v>3543</v>
      </c>
      <c r="P1826" t="s">
        <v>3543</v>
      </c>
      <c r="Q1826" t="s">
        <v>1492</v>
      </c>
      <c r="R1826" t="s">
        <v>8318</v>
      </c>
      <c r="U1826" t="s">
        <v>8319</v>
      </c>
    </row>
    <row r="1827" spans="1:21" x14ac:dyDescent="0.25">
      <c r="A1827" t="s">
        <v>8320</v>
      </c>
      <c r="B1827" t="s">
        <v>32</v>
      </c>
      <c r="C1827" t="s">
        <v>8321</v>
      </c>
      <c r="D1827">
        <f t="shared" si="56"/>
        <v>-3447368956</v>
      </c>
      <c r="E1827" t="s">
        <v>1226</v>
      </c>
      <c r="F1827" t="s">
        <v>7948</v>
      </c>
      <c r="G1827" t="s">
        <v>7949</v>
      </c>
      <c r="H1827">
        <v>-0.22082090376669</v>
      </c>
      <c r="I1827">
        <v>51.507373535096797</v>
      </c>
      <c r="J1827">
        <v>85</v>
      </c>
      <c r="K1827" t="s">
        <v>27</v>
      </c>
      <c r="L1827" t="s">
        <v>27</v>
      </c>
      <c r="M1827" t="s">
        <v>27</v>
      </c>
      <c r="N1827" t="s">
        <v>27</v>
      </c>
      <c r="O1827" t="s">
        <v>27</v>
      </c>
      <c r="P1827" t="s">
        <v>27</v>
      </c>
      <c r="Q1827" t="s">
        <v>1492</v>
      </c>
      <c r="R1827" t="s">
        <v>8322</v>
      </c>
      <c r="S1827" t="s">
        <v>8323</v>
      </c>
      <c r="U1827" t="s">
        <v>8324</v>
      </c>
    </row>
    <row r="1828" spans="1:21" x14ac:dyDescent="0.25">
      <c r="A1828" t="s">
        <v>8325</v>
      </c>
      <c r="B1828" t="s">
        <v>38</v>
      </c>
      <c r="C1828" t="s">
        <v>8326</v>
      </c>
      <c r="D1828">
        <f t="shared" si="56"/>
        <v>-3447368956</v>
      </c>
      <c r="E1828" t="s">
        <v>8327</v>
      </c>
      <c r="F1828" t="s">
        <v>7948</v>
      </c>
      <c r="G1828" t="s">
        <v>7949</v>
      </c>
      <c r="H1828">
        <v>-2.4298024177551301</v>
      </c>
      <c r="I1828">
        <v>53.581066650106898</v>
      </c>
      <c r="J1828">
        <v>85</v>
      </c>
      <c r="K1828" t="s">
        <v>442</v>
      </c>
      <c r="L1828" t="s">
        <v>442</v>
      </c>
      <c r="M1828" t="s">
        <v>442</v>
      </c>
      <c r="N1828" t="s">
        <v>442</v>
      </c>
      <c r="O1828" t="s">
        <v>442</v>
      </c>
      <c r="P1828" t="s">
        <v>166</v>
      </c>
      <c r="Q1828" t="s">
        <v>7969</v>
      </c>
      <c r="R1828" t="s">
        <v>8328</v>
      </c>
      <c r="S1828" t="s">
        <v>8329</v>
      </c>
      <c r="U1828" t="s">
        <v>8330</v>
      </c>
    </row>
    <row r="1829" spans="1:21" x14ac:dyDescent="0.25">
      <c r="A1829" t="s">
        <v>8331</v>
      </c>
      <c r="B1829" t="s">
        <v>38</v>
      </c>
      <c r="C1829" t="s">
        <v>8332</v>
      </c>
      <c r="D1829">
        <f t="shared" si="56"/>
        <v>-3447368956</v>
      </c>
      <c r="E1829" t="s">
        <v>8333</v>
      </c>
      <c r="F1829" t="s">
        <v>7948</v>
      </c>
      <c r="G1829" t="s">
        <v>7949</v>
      </c>
      <c r="H1829">
        <v>-0.77482169999999995</v>
      </c>
      <c r="I1829">
        <v>50.836138900000002</v>
      </c>
      <c r="J1829">
        <v>85</v>
      </c>
      <c r="K1829" t="s">
        <v>166</v>
      </c>
      <c r="L1829" t="s">
        <v>166</v>
      </c>
      <c r="M1829" t="s">
        <v>166</v>
      </c>
      <c r="N1829" t="s">
        <v>166</v>
      </c>
      <c r="O1829" t="s">
        <v>166</v>
      </c>
      <c r="P1829" t="s">
        <v>166</v>
      </c>
      <c r="Q1829" t="s">
        <v>622</v>
      </c>
      <c r="R1829" t="s">
        <v>8334</v>
      </c>
      <c r="U1829" t="s">
        <v>8335</v>
      </c>
    </row>
    <row r="1830" spans="1:21" x14ac:dyDescent="0.25">
      <c r="A1830" t="s">
        <v>8336</v>
      </c>
      <c r="B1830" t="s">
        <v>22</v>
      </c>
      <c r="C1830" t="s">
        <v>8337</v>
      </c>
      <c r="D1830">
        <f t="shared" si="56"/>
        <v>-3447368956</v>
      </c>
      <c r="E1830" t="s">
        <v>8338</v>
      </c>
      <c r="F1830" t="s">
        <v>7948</v>
      </c>
      <c r="G1830" t="s">
        <v>7949</v>
      </c>
      <c r="H1830">
        <v>-4.3421745300293004</v>
      </c>
      <c r="I1830">
        <v>55.823297406706899</v>
      </c>
      <c r="J1830">
        <v>85</v>
      </c>
      <c r="K1830" t="s">
        <v>536</v>
      </c>
      <c r="L1830" t="s">
        <v>536</v>
      </c>
      <c r="M1830" t="s">
        <v>536</v>
      </c>
      <c r="N1830" t="s">
        <v>536</v>
      </c>
      <c r="O1830" t="s">
        <v>536</v>
      </c>
      <c r="P1830" t="s">
        <v>165</v>
      </c>
      <c r="Q1830" t="s">
        <v>535</v>
      </c>
      <c r="R1830" t="s">
        <v>8339</v>
      </c>
      <c r="S1830" t="s">
        <v>8340</v>
      </c>
      <c r="U1830" t="s">
        <v>8341</v>
      </c>
    </row>
    <row r="1831" spans="1:21" x14ac:dyDescent="0.25">
      <c r="A1831" t="s">
        <v>8342</v>
      </c>
      <c r="B1831" t="s">
        <v>38</v>
      </c>
      <c r="C1831" t="s">
        <v>8343</v>
      </c>
      <c r="D1831">
        <f t="shared" si="56"/>
        <v>-3447368956</v>
      </c>
      <c r="E1831" t="s">
        <v>8344</v>
      </c>
      <c r="F1831" t="s">
        <v>7948</v>
      </c>
      <c r="G1831" t="s">
        <v>7949</v>
      </c>
      <c r="H1831">
        <v>1.1546624000000001</v>
      </c>
      <c r="I1831">
        <v>52.057725699999999</v>
      </c>
      <c r="J1831">
        <v>85</v>
      </c>
      <c r="K1831" t="s">
        <v>166</v>
      </c>
      <c r="L1831" t="s">
        <v>166</v>
      </c>
      <c r="M1831" t="s">
        <v>166</v>
      </c>
      <c r="N1831" t="s">
        <v>166</v>
      </c>
      <c r="O1831" t="s">
        <v>166</v>
      </c>
      <c r="P1831" t="s">
        <v>166</v>
      </c>
      <c r="Q1831" t="s">
        <v>7969</v>
      </c>
      <c r="R1831" t="s">
        <v>8345</v>
      </c>
      <c r="U1831" t="s">
        <v>8346</v>
      </c>
    </row>
    <row r="1832" spans="1:21" x14ac:dyDescent="0.25">
      <c r="A1832" t="s">
        <v>8347</v>
      </c>
      <c r="B1832" t="s">
        <v>38</v>
      </c>
      <c r="C1832" t="s">
        <v>8348</v>
      </c>
      <c r="D1832">
        <f t="shared" si="56"/>
        <v>-3447368956</v>
      </c>
      <c r="E1832" t="s">
        <v>8349</v>
      </c>
      <c r="F1832" t="s">
        <v>7948</v>
      </c>
      <c r="G1832" t="s">
        <v>7949</v>
      </c>
      <c r="H1832">
        <v>-2.11501836776733</v>
      </c>
      <c r="I1832">
        <v>53.541078842635997</v>
      </c>
      <c r="J1832">
        <v>85</v>
      </c>
      <c r="K1832" t="s">
        <v>578</v>
      </c>
      <c r="L1832" t="s">
        <v>578</v>
      </c>
      <c r="M1832" t="s">
        <v>578</v>
      </c>
      <c r="N1832" t="s">
        <v>578</v>
      </c>
      <c r="O1832" t="s">
        <v>578</v>
      </c>
      <c r="P1832" t="s">
        <v>578</v>
      </c>
      <c r="Q1832" t="s">
        <v>7969</v>
      </c>
      <c r="R1832" t="s">
        <v>8350</v>
      </c>
      <c r="S1832" t="s">
        <v>8329</v>
      </c>
      <c r="U1832" t="s">
        <v>8351</v>
      </c>
    </row>
    <row r="1833" spans="1:21" x14ac:dyDescent="0.25">
      <c r="A1833" t="s">
        <v>8352</v>
      </c>
      <c r="B1833" t="s">
        <v>38</v>
      </c>
      <c r="C1833" t="s">
        <v>8353</v>
      </c>
      <c r="D1833">
        <f t="shared" si="56"/>
        <v>-3447368956</v>
      </c>
      <c r="E1833" t="s">
        <v>8354</v>
      </c>
      <c r="F1833" t="s">
        <v>7948</v>
      </c>
      <c r="G1833" t="s">
        <v>7949</v>
      </c>
      <c r="H1833">
        <v>0.87009787559509</v>
      </c>
      <c r="I1833">
        <v>51.148797989821198</v>
      </c>
      <c r="J1833">
        <v>85</v>
      </c>
      <c r="K1833" t="s">
        <v>166</v>
      </c>
      <c r="L1833" t="s">
        <v>166</v>
      </c>
      <c r="M1833" t="s">
        <v>166</v>
      </c>
      <c r="N1833" t="s">
        <v>166</v>
      </c>
      <c r="O1833" t="s">
        <v>166</v>
      </c>
      <c r="P1833" t="s">
        <v>166</v>
      </c>
      <c r="Q1833" t="s">
        <v>622</v>
      </c>
      <c r="R1833" t="s">
        <v>8355</v>
      </c>
      <c r="S1833" t="s">
        <v>8356</v>
      </c>
      <c r="U1833" t="s">
        <v>8357</v>
      </c>
    </row>
    <row r="1834" spans="1:21" x14ac:dyDescent="0.25">
      <c r="A1834" t="s">
        <v>8358</v>
      </c>
      <c r="B1834" t="s">
        <v>38</v>
      </c>
      <c r="C1834" t="s">
        <v>8359</v>
      </c>
      <c r="D1834">
        <f t="shared" si="56"/>
        <v>-3447368956</v>
      </c>
      <c r="E1834" t="s">
        <v>8360</v>
      </c>
      <c r="F1834" t="s">
        <v>7948</v>
      </c>
      <c r="G1834" t="s">
        <v>7949</v>
      </c>
      <c r="H1834">
        <v>-8.3699999999999997E-2</v>
      </c>
      <c r="I1834">
        <v>51.651600000000002</v>
      </c>
      <c r="J1834">
        <v>85</v>
      </c>
      <c r="K1834" t="s">
        <v>165</v>
      </c>
      <c r="L1834" t="s">
        <v>165</v>
      </c>
      <c r="M1834" t="s">
        <v>165</v>
      </c>
      <c r="N1834" t="s">
        <v>165</v>
      </c>
      <c r="O1834" t="s">
        <v>165</v>
      </c>
      <c r="P1834" t="s">
        <v>165</v>
      </c>
      <c r="Q1834" t="s">
        <v>7969</v>
      </c>
      <c r="R1834" t="s">
        <v>8361</v>
      </c>
      <c r="U1834" t="s">
        <v>8362</v>
      </c>
    </row>
    <row r="1835" spans="1:21" x14ac:dyDescent="0.25">
      <c r="A1835" t="s">
        <v>8363</v>
      </c>
      <c r="B1835" t="s">
        <v>22</v>
      </c>
      <c r="C1835" t="s">
        <v>8364</v>
      </c>
      <c r="D1835">
        <f t="shared" si="56"/>
        <v>-3447368956</v>
      </c>
      <c r="E1835" t="s">
        <v>8365</v>
      </c>
      <c r="F1835" t="s">
        <v>7948</v>
      </c>
      <c r="G1835" t="s">
        <v>7949</v>
      </c>
      <c r="H1835">
        <v>-1.1387050151825</v>
      </c>
      <c r="I1835">
        <v>52.637835571780997</v>
      </c>
      <c r="J1835">
        <v>85</v>
      </c>
      <c r="K1835" t="s">
        <v>185</v>
      </c>
      <c r="L1835" t="s">
        <v>185</v>
      </c>
      <c r="M1835" t="s">
        <v>185</v>
      </c>
      <c r="N1835" t="s">
        <v>185</v>
      </c>
      <c r="O1835" t="s">
        <v>185</v>
      </c>
      <c r="P1835" t="s">
        <v>165</v>
      </c>
      <c r="Q1835" t="s">
        <v>564</v>
      </c>
      <c r="R1835" t="s">
        <v>8366</v>
      </c>
      <c r="S1835" t="s">
        <v>8367</v>
      </c>
      <c r="U1835" t="s">
        <v>8368</v>
      </c>
    </row>
    <row r="1836" spans="1:21" x14ac:dyDescent="0.25">
      <c r="A1836" t="s">
        <v>8369</v>
      </c>
      <c r="B1836" t="s">
        <v>38</v>
      </c>
      <c r="C1836" t="s">
        <v>8370</v>
      </c>
      <c r="D1836">
        <f t="shared" si="56"/>
        <v>-3447368956</v>
      </c>
      <c r="E1836" t="s">
        <v>8371</v>
      </c>
      <c r="F1836" t="s">
        <v>7948</v>
      </c>
      <c r="G1836" t="s">
        <v>7949</v>
      </c>
      <c r="H1836">
        <v>-0.75226306915283003</v>
      </c>
      <c r="I1836">
        <v>51.629166610869703</v>
      </c>
      <c r="J1836">
        <v>85</v>
      </c>
      <c r="K1836" t="s">
        <v>262</v>
      </c>
      <c r="L1836" t="s">
        <v>262</v>
      </c>
      <c r="M1836" t="s">
        <v>262</v>
      </c>
      <c r="N1836" t="s">
        <v>185</v>
      </c>
      <c r="O1836" t="s">
        <v>262</v>
      </c>
      <c r="P1836" t="s">
        <v>184</v>
      </c>
      <c r="Q1836" t="s">
        <v>564</v>
      </c>
      <c r="R1836" t="s">
        <v>8372</v>
      </c>
      <c r="S1836" t="s">
        <v>8371</v>
      </c>
      <c r="U1836" t="s">
        <v>8373</v>
      </c>
    </row>
    <row r="1837" spans="1:21" x14ac:dyDescent="0.25">
      <c r="A1837" t="s">
        <v>8374</v>
      </c>
      <c r="B1837" t="s">
        <v>22</v>
      </c>
      <c r="C1837" t="s">
        <v>8375</v>
      </c>
      <c r="D1837">
        <f t="shared" si="56"/>
        <v>-3447368956</v>
      </c>
      <c r="E1837" t="s">
        <v>8258</v>
      </c>
      <c r="F1837" t="s">
        <v>7948</v>
      </c>
      <c r="G1837" t="s">
        <v>7949</v>
      </c>
      <c r="H1837">
        <v>-5.9308550000000002</v>
      </c>
      <c r="I1837">
        <v>54.6</v>
      </c>
      <c r="J1837">
        <v>85</v>
      </c>
      <c r="K1837" t="s">
        <v>166</v>
      </c>
      <c r="L1837" t="s">
        <v>166</v>
      </c>
      <c r="M1837" t="s">
        <v>166</v>
      </c>
      <c r="N1837" t="s">
        <v>312</v>
      </c>
      <c r="O1837" t="s">
        <v>165</v>
      </c>
      <c r="P1837" t="s">
        <v>166</v>
      </c>
      <c r="Q1837" t="s">
        <v>8232</v>
      </c>
      <c r="R1837" t="s">
        <v>8376</v>
      </c>
      <c r="S1837" t="s">
        <v>8377</v>
      </c>
      <c r="U1837" t="s">
        <v>8378</v>
      </c>
    </row>
    <row r="1838" spans="1:21" x14ac:dyDescent="0.25">
      <c r="A1838" t="s">
        <v>8379</v>
      </c>
      <c r="B1838" t="s">
        <v>22</v>
      </c>
      <c r="C1838" t="s">
        <v>8380</v>
      </c>
      <c r="D1838">
        <f t="shared" si="56"/>
        <v>-3447368956</v>
      </c>
      <c r="E1838" t="s">
        <v>8381</v>
      </c>
      <c r="F1838" t="s">
        <v>7948</v>
      </c>
      <c r="G1838" t="s">
        <v>7949</v>
      </c>
      <c r="H1838">
        <v>-2.3590457439422599</v>
      </c>
      <c r="I1838">
        <v>51.378999852680998</v>
      </c>
      <c r="J1838">
        <v>85</v>
      </c>
      <c r="K1838" t="s">
        <v>166</v>
      </c>
      <c r="L1838" t="s">
        <v>166</v>
      </c>
      <c r="M1838" t="s">
        <v>166</v>
      </c>
      <c r="N1838" t="s">
        <v>166</v>
      </c>
      <c r="O1838" t="s">
        <v>166</v>
      </c>
      <c r="P1838" t="s">
        <v>166</v>
      </c>
      <c r="Q1838" t="s">
        <v>564</v>
      </c>
      <c r="R1838" t="s">
        <v>8382</v>
      </c>
      <c r="S1838" t="s">
        <v>8383</v>
      </c>
      <c r="U1838" t="s">
        <v>8384</v>
      </c>
    </row>
    <row r="1839" spans="1:21" x14ac:dyDescent="0.25">
      <c r="A1839" t="s">
        <v>8385</v>
      </c>
      <c r="B1839" t="s">
        <v>38</v>
      </c>
      <c r="C1839" t="s">
        <v>8386</v>
      </c>
      <c r="D1839">
        <f t="shared" si="56"/>
        <v>-3447368956</v>
      </c>
      <c r="E1839" t="s">
        <v>8387</v>
      </c>
      <c r="F1839" t="s">
        <v>7948</v>
      </c>
      <c r="G1839" t="s">
        <v>7949</v>
      </c>
      <c r="H1839">
        <v>-1.4787769317627</v>
      </c>
      <c r="I1839">
        <v>53.6693072672754</v>
      </c>
      <c r="J1839">
        <v>85</v>
      </c>
      <c r="K1839" t="s">
        <v>166</v>
      </c>
      <c r="L1839" t="s">
        <v>166</v>
      </c>
      <c r="M1839" t="s">
        <v>166</v>
      </c>
      <c r="N1839" t="s">
        <v>166</v>
      </c>
      <c r="O1839" t="s">
        <v>166</v>
      </c>
      <c r="P1839" t="s">
        <v>166</v>
      </c>
      <c r="Q1839" t="s">
        <v>622</v>
      </c>
      <c r="R1839" t="s">
        <v>8388</v>
      </c>
      <c r="S1839" t="s">
        <v>8389</v>
      </c>
      <c r="U1839" t="s">
        <v>8390</v>
      </c>
    </row>
    <row r="1840" spans="1:21" x14ac:dyDescent="0.25">
      <c r="A1840" t="s">
        <v>8391</v>
      </c>
      <c r="B1840" t="s">
        <v>22</v>
      </c>
      <c r="C1840" t="s">
        <v>8380</v>
      </c>
      <c r="D1840">
        <f t="shared" si="56"/>
        <v>-3447368956</v>
      </c>
      <c r="E1840" t="s">
        <v>8381</v>
      </c>
      <c r="F1840" t="s">
        <v>7948</v>
      </c>
      <c r="G1840" t="s">
        <v>7949</v>
      </c>
      <c r="H1840">
        <v>-2.3598611479841298</v>
      </c>
      <c r="I1840">
        <v>51.379063406574602</v>
      </c>
      <c r="J1840">
        <v>85</v>
      </c>
      <c r="K1840" t="s">
        <v>166</v>
      </c>
      <c r="L1840" t="s">
        <v>166</v>
      </c>
      <c r="M1840" t="s">
        <v>166</v>
      </c>
      <c r="N1840" t="s">
        <v>166</v>
      </c>
      <c r="O1840" t="s">
        <v>166</v>
      </c>
      <c r="P1840" t="s">
        <v>166</v>
      </c>
      <c r="Q1840" t="s">
        <v>564</v>
      </c>
      <c r="R1840" t="s">
        <v>8392</v>
      </c>
      <c r="U1840" t="s">
        <v>8393</v>
      </c>
    </row>
    <row r="1841" spans="1:21" x14ac:dyDescent="0.25">
      <c r="A1841" t="s">
        <v>8394</v>
      </c>
      <c r="B1841" t="s">
        <v>38</v>
      </c>
      <c r="C1841" t="s">
        <v>8395</v>
      </c>
      <c r="D1841">
        <f t="shared" si="56"/>
        <v>-3447368956</v>
      </c>
      <c r="E1841" t="s">
        <v>8396</v>
      </c>
      <c r="F1841" t="s">
        <v>7948</v>
      </c>
      <c r="G1841" t="s">
        <v>7949</v>
      </c>
      <c r="H1841">
        <v>-2.3503875732421902</v>
      </c>
      <c r="I1841">
        <v>53.387423725746302</v>
      </c>
      <c r="J1841">
        <v>85</v>
      </c>
      <c r="K1841" t="s">
        <v>166</v>
      </c>
      <c r="L1841" t="s">
        <v>166</v>
      </c>
      <c r="M1841" t="s">
        <v>166</v>
      </c>
      <c r="N1841" t="s">
        <v>166</v>
      </c>
      <c r="O1841" t="s">
        <v>166</v>
      </c>
      <c r="P1841" t="s">
        <v>166</v>
      </c>
      <c r="Q1841" t="s">
        <v>564</v>
      </c>
      <c r="R1841" t="s">
        <v>8397</v>
      </c>
      <c r="S1841" t="s">
        <v>8398</v>
      </c>
      <c r="U1841" t="s">
        <v>8399</v>
      </c>
    </row>
    <row r="1842" spans="1:21" x14ac:dyDescent="0.25">
      <c r="A1842" t="s">
        <v>8400</v>
      </c>
      <c r="B1842" t="s">
        <v>22</v>
      </c>
      <c r="C1842" t="s">
        <v>8401</v>
      </c>
      <c r="D1842">
        <f t="shared" si="56"/>
        <v>-3447368956</v>
      </c>
      <c r="E1842" t="s">
        <v>8014</v>
      </c>
      <c r="F1842" t="s">
        <v>7948</v>
      </c>
      <c r="G1842" t="s">
        <v>7949</v>
      </c>
      <c r="H1842">
        <v>-1.57344818115234</v>
      </c>
      <c r="I1842">
        <v>53.758073879588501</v>
      </c>
      <c r="J1842">
        <v>85</v>
      </c>
      <c r="K1842" t="s">
        <v>536</v>
      </c>
      <c r="L1842" t="s">
        <v>536</v>
      </c>
      <c r="M1842" t="s">
        <v>536</v>
      </c>
      <c r="N1842" t="s">
        <v>536</v>
      </c>
      <c r="O1842" t="s">
        <v>536</v>
      </c>
      <c r="P1842" t="s">
        <v>192</v>
      </c>
      <c r="Q1842" t="s">
        <v>564</v>
      </c>
      <c r="R1842" t="s">
        <v>8402</v>
      </c>
      <c r="S1842" t="s">
        <v>8403</v>
      </c>
      <c r="U1842" t="s">
        <v>8404</v>
      </c>
    </row>
    <row r="1843" spans="1:21" x14ac:dyDescent="0.25">
      <c r="A1843" t="s">
        <v>8405</v>
      </c>
      <c r="B1843" t="s">
        <v>38</v>
      </c>
      <c r="C1843" t="s">
        <v>8406</v>
      </c>
      <c r="D1843">
        <f t="shared" si="56"/>
        <v>-3447368956</v>
      </c>
      <c r="E1843" t="s">
        <v>8360</v>
      </c>
      <c r="F1843" t="s">
        <v>7948</v>
      </c>
      <c r="G1843" t="s">
        <v>7949</v>
      </c>
      <c r="H1843">
        <v>-8.357763290405E-2</v>
      </c>
      <c r="I1843">
        <v>51.6510591156187</v>
      </c>
      <c r="J1843">
        <v>85</v>
      </c>
      <c r="K1843" t="s">
        <v>166</v>
      </c>
      <c r="L1843" t="s">
        <v>166</v>
      </c>
      <c r="M1843" t="s">
        <v>166</v>
      </c>
      <c r="N1843" t="s">
        <v>166</v>
      </c>
      <c r="O1843" t="s">
        <v>166</v>
      </c>
      <c r="P1843" t="s">
        <v>166</v>
      </c>
      <c r="Q1843" t="s">
        <v>7969</v>
      </c>
      <c r="R1843" t="s">
        <v>8407</v>
      </c>
      <c r="U1843" t="s">
        <v>8408</v>
      </c>
    </row>
    <row r="1844" spans="1:21" x14ac:dyDescent="0.25">
      <c r="A1844" t="s">
        <v>8409</v>
      </c>
      <c r="B1844" t="s">
        <v>22</v>
      </c>
      <c r="C1844" t="s">
        <v>8410</v>
      </c>
      <c r="D1844">
        <f t="shared" si="56"/>
        <v>-3447368956</v>
      </c>
      <c r="E1844" t="s">
        <v>7955</v>
      </c>
      <c r="F1844" t="s">
        <v>7948</v>
      </c>
      <c r="G1844" t="s">
        <v>7949</v>
      </c>
      <c r="H1844">
        <v>-0.14637351036071999</v>
      </c>
      <c r="I1844">
        <v>50.823891700047902</v>
      </c>
      <c r="J1844">
        <v>85</v>
      </c>
      <c r="K1844" t="s">
        <v>198</v>
      </c>
      <c r="L1844" t="s">
        <v>198</v>
      </c>
      <c r="M1844" t="s">
        <v>198</v>
      </c>
      <c r="N1844" t="s">
        <v>165</v>
      </c>
      <c r="O1844" t="s">
        <v>165</v>
      </c>
      <c r="P1844" t="s">
        <v>165</v>
      </c>
      <c r="Q1844" t="s">
        <v>564</v>
      </c>
      <c r="R1844" t="s">
        <v>8411</v>
      </c>
      <c r="U1844" t="s">
        <v>8412</v>
      </c>
    </row>
    <row r="1845" spans="1:21" x14ac:dyDescent="0.25">
      <c r="A1845" t="s">
        <v>8413</v>
      </c>
      <c r="B1845" t="s">
        <v>22</v>
      </c>
      <c r="C1845" t="s">
        <v>8414</v>
      </c>
      <c r="D1845">
        <f t="shared" si="56"/>
        <v>-3447368956</v>
      </c>
      <c r="E1845" t="s">
        <v>8415</v>
      </c>
      <c r="F1845" t="s">
        <v>7948</v>
      </c>
      <c r="G1845" t="s">
        <v>7949</v>
      </c>
      <c r="H1845">
        <v>-1.5357225000000001</v>
      </c>
      <c r="I1845">
        <v>52.291421499999998</v>
      </c>
      <c r="J1845">
        <v>85</v>
      </c>
      <c r="K1845" t="s">
        <v>1272</v>
      </c>
      <c r="L1845" t="s">
        <v>1272</v>
      </c>
      <c r="M1845" t="s">
        <v>1272</v>
      </c>
      <c r="N1845" t="s">
        <v>1272</v>
      </c>
      <c r="O1845" t="s">
        <v>1272</v>
      </c>
      <c r="P1845" t="s">
        <v>166</v>
      </c>
      <c r="Q1845" t="s">
        <v>564</v>
      </c>
      <c r="R1845" t="s">
        <v>8416</v>
      </c>
      <c r="S1845" t="s">
        <v>8415</v>
      </c>
      <c r="U1845" t="s">
        <v>8417</v>
      </c>
    </row>
    <row r="1846" spans="1:21" x14ac:dyDescent="0.25">
      <c r="A1846" t="s">
        <v>8418</v>
      </c>
      <c r="B1846" t="s">
        <v>22</v>
      </c>
      <c r="C1846" t="s">
        <v>8419</v>
      </c>
      <c r="D1846">
        <f t="shared" si="56"/>
        <v>-3447368956</v>
      </c>
      <c r="E1846" t="s">
        <v>8210</v>
      </c>
      <c r="F1846" t="s">
        <v>7948</v>
      </c>
      <c r="G1846" t="s">
        <v>7949</v>
      </c>
      <c r="H1846">
        <v>-0.10115146636963</v>
      </c>
      <c r="I1846">
        <v>51.376294356558901</v>
      </c>
      <c r="J1846">
        <v>85</v>
      </c>
      <c r="K1846" t="s">
        <v>184</v>
      </c>
      <c r="L1846" t="s">
        <v>184</v>
      </c>
      <c r="M1846" t="s">
        <v>184</v>
      </c>
      <c r="N1846" t="s">
        <v>184</v>
      </c>
      <c r="O1846" t="s">
        <v>290</v>
      </c>
      <c r="P1846" t="s">
        <v>290</v>
      </c>
      <c r="Q1846" t="s">
        <v>578</v>
      </c>
      <c r="R1846" t="s">
        <v>8420</v>
      </c>
      <c r="S1846" t="s">
        <v>8421</v>
      </c>
      <c r="U1846" t="s">
        <v>8422</v>
      </c>
    </row>
    <row r="1847" spans="1:21" x14ac:dyDescent="0.25">
      <c r="A1847" t="s">
        <v>8423</v>
      </c>
      <c r="B1847" t="s">
        <v>22</v>
      </c>
      <c r="C1847" t="s">
        <v>8424</v>
      </c>
      <c r="D1847">
        <f t="shared" si="56"/>
        <v>-3447368956</v>
      </c>
      <c r="E1847" t="s">
        <v>8425</v>
      </c>
      <c r="F1847" t="s">
        <v>7948</v>
      </c>
      <c r="G1847" t="s">
        <v>7949</v>
      </c>
      <c r="H1847">
        <v>-2.0734575390815699</v>
      </c>
      <c r="I1847">
        <v>51.900036456682699</v>
      </c>
      <c r="J1847">
        <v>85</v>
      </c>
      <c r="K1847" t="s">
        <v>166</v>
      </c>
      <c r="L1847" t="s">
        <v>166</v>
      </c>
      <c r="M1847" t="s">
        <v>166</v>
      </c>
      <c r="N1847" t="s">
        <v>166</v>
      </c>
      <c r="O1847" t="s">
        <v>166</v>
      </c>
      <c r="P1847" t="s">
        <v>166</v>
      </c>
      <c r="Q1847" t="s">
        <v>564</v>
      </c>
      <c r="R1847" t="s">
        <v>8426</v>
      </c>
      <c r="U1847" t="s">
        <v>8427</v>
      </c>
    </row>
    <row r="1848" spans="1:21" x14ac:dyDescent="0.25">
      <c r="A1848" t="s">
        <v>8428</v>
      </c>
      <c r="B1848" t="s">
        <v>22</v>
      </c>
      <c r="C1848" t="s">
        <v>8429</v>
      </c>
      <c r="D1848">
        <f t="shared" si="56"/>
        <v>-3447368956</v>
      </c>
      <c r="E1848" t="s">
        <v>1226</v>
      </c>
      <c r="F1848" t="s">
        <v>7948</v>
      </c>
      <c r="G1848" t="s">
        <v>7949</v>
      </c>
      <c r="H1848">
        <v>-0.30323982238769998</v>
      </c>
      <c r="I1848">
        <v>51.512722120414701</v>
      </c>
      <c r="J1848">
        <v>85</v>
      </c>
      <c r="K1848" t="s">
        <v>165</v>
      </c>
      <c r="L1848" t="s">
        <v>165</v>
      </c>
      <c r="M1848" t="s">
        <v>165</v>
      </c>
      <c r="N1848" t="s">
        <v>165</v>
      </c>
      <c r="O1848" t="s">
        <v>165</v>
      </c>
      <c r="P1848" t="s">
        <v>165</v>
      </c>
      <c r="Q1848" t="s">
        <v>564</v>
      </c>
      <c r="R1848" t="s">
        <v>8430</v>
      </c>
      <c r="S1848" t="s">
        <v>8431</v>
      </c>
      <c r="U1848" t="s">
        <v>8432</v>
      </c>
    </row>
    <row r="1849" spans="1:21" x14ac:dyDescent="0.25">
      <c r="A1849" t="s">
        <v>8433</v>
      </c>
      <c r="B1849" t="s">
        <v>22</v>
      </c>
      <c r="C1849" t="s">
        <v>8434</v>
      </c>
      <c r="D1849">
        <f t="shared" si="56"/>
        <v>-3447368956</v>
      </c>
      <c r="E1849" t="s">
        <v>1226</v>
      </c>
      <c r="F1849" t="s">
        <v>7948</v>
      </c>
      <c r="G1849" t="s">
        <v>7949</v>
      </c>
      <c r="H1849">
        <v>-9.7573699999999999E-2</v>
      </c>
      <c r="I1849">
        <v>51.514801300000002</v>
      </c>
      <c r="J1849">
        <v>85</v>
      </c>
      <c r="K1849" t="s">
        <v>165</v>
      </c>
      <c r="L1849" t="s">
        <v>165</v>
      </c>
      <c r="M1849" t="s">
        <v>165</v>
      </c>
      <c r="N1849" t="s">
        <v>165</v>
      </c>
      <c r="O1849" t="s">
        <v>165</v>
      </c>
      <c r="P1849" t="s">
        <v>535</v>
      </c>
      <c r="Q1849" t="s">
        <v>1492</v>
      </c>
      <c r="R1849" t="s">
        <v>8435</v>
      </c>
      <c r="S1849" t="s">
        <v>8436</v>
      </c>
      <c r="U1849" t="s">
        <v>8437</v>
      </c>
    </row>
    <row r="1850" spans="1:21" x14ac:dyDescent="0.25">
      <c r="A1850" t="s">
        <v>8438</v>
      </c>
      <c r="B1850" t="s">
        <v>22</v>
      </c>
      <c r="C1850" t="s">
        <v>8439</v>
      </c>
      <c r="D1850">
        <f t="shared" si="56"/>
        <v>-3447368956</v>
      </c>
      <c r="E1850" t="s">
        <v>8338</v>
      </c>
      <c r="F1850" t="s">
        <v>7948</v>
      </c>
      <c r="G1850" t="s">
        <v>7949</v>
      </c>
      <c r="H1850">
        <v>-4.2544019222259504</v>
      </c>
      <c r="I1850">
        <v>55.8573765963216</v>
      </c>
      <c r="J1850">
        <v>85</v>
      </c>
      <c r="K1850" t="s">
        <v>165</v>
      </c>
      <c r="L1850" t="s">
        <v>165</v>
      </c>
      <c r="M1850" t="s">
        <v>165</v>
      </c>
      <c r="N1850" t="s">
        <v>192</v>
      </c>
      <c r="O1850" t="s">
        <v>165</v>
      </c>
      <c r="P1850" t="s">
        <v>165</v>
      </c>
      <c r="Q1850" t="s">
        <v>745</v>
      </c>
      <c r="R1850" t="s">
        <v>8440</v>
      </c>
      <c r="U1850" t="s">
        <v>8441</v>
      </c>
    </row>
    <row r="1851" spans="1:21" x14ac:dyDescent="0.25">
      <c r="A1851" t="s">
        <v>8442</v>
      </c>
      <c r="B1851" t="s">
        <v>38</v>
      </c>
      <c r="C1851" t="s">
        <v>8443</v>
      </c>
      <c r="D1851">
        <f t="shared" si="56"/>
        <v>-3447368956</v>
      </c>
      <c r="E1851" t="s">
        <v>8444</v>
      </c>
      <c r="F1851" t="s">
        <v>7948</v>
      </c>
      <c r="G1851" t="s">
        <v>7949</v>
      </c>
      <c r="H1851">
        <v>-3.9435231685638401</v>
      </c>
      <c r="I1851">
        <v>51.6202114759094</v>
      </c>
      <c r="J1851">
        <v>85</v>
      </c>
      <c r="K1851" t="s">
        <v>428</v>
      </c>
      <c r="L1851" t="s">
        <v>428</v>
      </c>
      <c r="M1851" t="s">
        <v>428</v>
      </c>
      <c r="N1851" t="s">
        <v>428</v>
      </c>
      <c r="O1851" t="s">
        <v>428</v>
      </c>
      <c r="P1851" t="s">
        <v>428</v>
      </c>
      <c r="Q1851" t="s">
        <v>564</v>
      </c>
      <c r="R1851" t="s">
        <v>8445</v>
      </c>
      <c r="U1851" t="s">
        <v>8446</v>
      </c>
    </row>
    <row r="1852" spans="1:21" x14ac:dyDescent="0.25">
      <c r="A1852" t="s">
        <v>8447</v>
      </c>
      <c r="B1852" t="s">
        <v>22</v>
      </c>
      <c r="C1852" t="s">
        <v>8448</v>
      </c>
      <c r="D1852">
        <f t="shared" si="56"/>
        <v>-3447368956</v>
      </c>
      <c r="E1852" t="s">
        <v>8449</v>
      </c>
      <c r="F1852" t="s">
        <v>7948</v>
      </c>
      <c r="G1852" t="s">
        <v>7949</v>
      </c>
      <c r="H1852">
        <v>0.27092456817626998</v>
      </c>
      <c r="I1852">
        <v>51.439590490563901</v>
      </c>
      <c r="J1852">
        <v>85</v>
      </c>
      <c r="K1852" t="s">
        <v>536</v>
      </c>
      <c r="L1852" t="s">
        <v>536</v>
      </c>
      <c r="M1852" t="s">
        <v>536</v>
      </c>
      <c r="N1852" t="s">
        <v>536</v>
      </c>
      <c r="O1852" t="s">
        <v>536</v>
      </c>
      <c r="P1852" t="s">
        <v>290</v>
      </c>
      <c r="Q1852" t="s">
        <v>564</v>
      </c>
      <c r="R1852" t="s">
        <v>8450</v>
      </c>
      <c r="S1852" t="s">
        <v>8451</v>
      </c>
      <c r="U1852" t="s">
        <v>8452</v>
      </c>
    </row>
    <row r="1853" spans="1:21" x14ac:dyDescent="0.25">
      <c r="A1853" t="s">
        <v>8453</v>
      </c>
      <c r="B1853" t="s">
        <v>22</v>
      </c>
      <c r="C1853" t="s">
        <v>8454</v>
      </c>
      <c r="D1853">
        <f t="shared" si="56"/>
        <v>-3447368956</v>
      </c>
      <c r="E1853" t="s">
        <v>1348</v>
      </c>
      <c r="F1853" t="s">
        <v>7948</v>
      </c>
      <c r="G1853" t="s">
        <v>7949</v>
      </c>
      <c r="H1853">
        <v>-0.30475258827209001</v>
      </c>
      <c r="I1853">
        <v>51.411948527050598</v>
      </c>
      <c r="J1853">
        <v>85</v>
      </c>
      <c r="K1853" t="s">
        <v>262</v>
      </c>
      <c r="L1853" t="s">
        <v>262</v>
      </c>
      <c r="M1853" t="s">
        <v>262</v>
      </c>
      <c r="N1853" t="s">
        <v>185</v>
      </c>
      <c r="O1853" t="s">
        <v>262</v>
      </c>
      <c r="P1853" t="s">
        <v>165</v>
      </c>
      <c r="Q1853" t="s">
        <v>564</v>
      </c>
      <c r="R1853" t="s">
        <v>8455</v>
      </c>
      <c r="S1853" t="s">
        <v>8456</v>
      </c>
      <c r="U1853" t="s">
        <v>8457</v>
      </c>
    </row>
    <row r="1854" spans="1:21" x14ac:dyDescent="0.25">
      <c r="A1854" t="s">
        <v>8458</v>
      </c>
      <c r="B1854" t="s">
        <v>38</v>
      </c>
      <c r="C1854" t="s">
        <v>8459</v>
      </c>
      <c r="D1854">
        <f t="shared" ref="D1854:D1879" si="57">44-3447369000</f>
        <v>-3447368956</v>
      </c>
      <c r="E1854" t="s">
        <v>8460</v>
      </c>
      <c r="F1854" t="s">
        <v>7948</v>
      </c>
      <c r="G1854" t="s">
        <v>7949</v>
      </c>
      <c r="H1854">
        <v>-0.74786424636840998</v>
      </c>
      <c r="I1854">
        <v>51.336966258895103</v>
      </c>
      <c r="J1854">
        <v>85</v>
      </c>
      <c r="K1854" t="s">
        <v>166</v>
      </c>
      <c r="L1854" t="s">
        <v>166</v>
      </c>
      <c r="M1854" t="s">
        <v>166</v>
      </c>
      <c r="N1854" t="s">
        <v>166</v>
      </c>
      <c r="O1854" t="s">
        <v>166</v>
      </c>
      <c r="P1854" t="s">
        <v>166</v>
      </c>
      <c r="Q1854" t="s">
        <v>7969</v>
      </c>
      <c r="R1854" t="s">
        <v>8461</v>
      </c>
      <c r="S1854" t="s">
        <v>8462</v>
      </c>
      <c r="U1854" t="s">
        <v>8463</v>
      </c>
    </row>
    <row r="1855" spans="1:21" x14ac:dyDescent="0.25">
      <c r="A1855" t="s">
        <v>8464</v>
      </c>
      <c r="B1855" t="s">
        <v>38</v>
      </c>
      <c r="C1855" t="s">
        <v>8465</v>
      </c>
      <c r="D1855">
        <f t="shared" si="57"/>
        <v>-3447368956</v>
      </c>
      <c r="E1855" t="s">
        <v>8466</v>
      </c>
      <c r="F1855" t="s">
        <v>7948</v>
      </c>
      <c r="G1855" t="s">
        <v>7949</v>
      </c>
      <c r="H1855">
        <v>-2.7516243999999999</v>
      </c>
      <c r="I1855">
        <v>52.709466499999998</v>
      </c>
      <c r="J1855">
        <v>85</v>
      </c>
      <c r="K1855" t="s">
        <v>1272</v>
      </c>
      <c r="L1855" t="s">
        <v>1272</v>
      </c>
      <c r="M1855" t="s">
        <v>1272</v>
      </c>
      <c r="N1855" t="s">
        <v>1272</v>
      </c>
      <c r="O1855" t="s">
        <v>1272</v>
      </c>
      <c r="P1855" t="s">
        <v>1272</v>
      </c>
      <c r="Q1855" t="s">
        <v>7969</v>
      </c>
      <c r="R1855" t="s">
        <v>8467</v>
      </c>
      <c r="S1855" t="s">
        <v>8468</v>
      </c>
      <c r="U1855" t="s">
        <v>8469</v>
      </c>
    </row>
    <row r="1856" spans="1:21" x14ac:dyDescent="0.25">
      <c r="A1856" t="s">
        <v>8470</v>
      </c>
      <c r="B1856" t="s">
        <v>38</v>
      </c>
      <c r="C1856" t="s">
        <v>8471</v>
      </c>
      <c r="D1856">
        <f t="shared" si="57"/>
        <v>-3447368956</v>
      </c>
      <c r="E1856" t="s">
        <v>8472</v>
      </c>
      <c r="F1856" t="s">
        <v>7948</v>
      </c>
      <c r="G1856" t="s">
        <v>7949</v>
      </c>
      <c r="H1856">
        <v>-1.4262269999999999</v>
      </c>
      <c r="I1856">
        <v>53.234923999999999</v>
      </c>
      <c r="J1856">
        <v>85</v>
      </c>
      <c r="K1856" t="s">
        <v>442</v>
      </c>
      <c r="L1856" t="s">
        <v>442</v>
      </c>
      <c r="M1856" t="s">
        <v>442</v>
      </c>
      <c r="N1856" t="s">
        <v>442</v>
      </c>
      <c r="O1856" t="s">
        <v>442</v>
      </c>
      <c r="P1856" t="s">
        <v>442</v>
      </c>
      <c r="Q1856" t="s">
        <v>622</v>
      </c>
      <c r="R1856" t="s">
        <v>8270</v>
      </c>
      <c r="S1856" t="s">
        <v>8473</v>
      </c>
      <c r="U1856" t="s">
        <v>8474</v>
      </c>
    </row>
    <row r="1857" spans="1:21" x14ac:dyDescent="0.25">
      <c r="A1857" t="s">
        <v>8475</v>
      </c>
      <c r="B1857" t="s">
        <v>38</v>
      </c>
      <c r="C1857" t="s">
        <v>8476</v>
      </c>
      <c r="D1857">
        <f t="shared" si="57"/>
        <v>-3447368956</v>
      </c>
      <c r="E1857" t="s">
        <v>8477</v>
      </c>
      <c r="F1857" t="s">
        <v>7948</v>
      </c>
      <c r="G1857" t="s">
        <v>7949</v>
      </c>
      <c r="H1857">
        <v>-0.37051899999999999</v>
      </c>
      <c r="I1857">
        <v>50.810344299999997</v>
      </c>
      <c r="J1857">
        <v>85</v>
      </c>
      <c r="K1857" t="s">
        <v>166</v>
      </c>
      <c r="L1857" t="s">
        <v>166</v>
      </c>
      <c r="M1857" t="s">
        <v>166</v>
      </c>
      <c r="N1857" t="s">
        <v>166</v>
      </c>
      <c r="O1857" t="s">
        <v>166</v>
      </c>
      <c r="P1857" t="s">
        <v>166</v>
      </c>
      <c r="Q1857" t="s">
        <v>8003</v>
      </c>
      <c r="R1857" t="s">
        <v>8478</v>
      </c>
      <c r="U1857" t="s">
        <v>8479</v>
      </c>
    </row>
    <row r="1858" spans="1:21" x14ac:dyDescent="0.25">
      <c r="A1858" t="s">
        <v>8480</v>
      </c>
      <c r="B1858" t="s">
        <v>38</v>
      </c>
      <c r="C1858" t="s">
        <v>8481</v>
      </c>
      <c r="D1858">
        <f t="shared" si="57"/>
        <v>-3447368956</v>
      </c>
      <c r="E1858" t="s">
        <v>8482</v>
      </c>
      <c r="F1858" t="s">
        <v>7948</v>
      </c>
      <c r="G1858" t="s">
        <v>7949</v>
      </c>
      <c r="H1858">
        <v>-1.3324543833732601</v>
      </c>
      <c r="I1858">
        <v>52.062621565091099</v>
      </c>
      <c r="J1858">
        <v>85</v>
      </c>
      <c r="K1858" t="s">
        <v>578</v>
      </c>
      <c r="L1858" t="s">
        <v>578</v>
      </c>
      <c r="M1858" t="s">
        <v>578</v>
      </c>
      <c r="N1858" t="s">
        <v>578</v>
      </c>
      <c r="O1858" t="s">
        <v>578</v>
      </c>
      <c r="P1858" t="s">
        <v>578</v>
      </c>
      <c r="Q1858" t="s">
        <v>7969</v>
      </c>
      <c r="R1858" t="s">
        <v>8483</v>
      </c>
      <c r="U1858" t="s">
        <v>8484</v>
      </c>
    </row>
    <row r="1859" spans="1:21" x14ac:dyDescent="0.25">
      <c r="A1859" t="s">
        <v>8485</v>
      </c>
      <c r="B1859" t="s">
        <v>38</v>
      </c>
      <c r="C1859" t="s">
        <v>8486</v>
      </c>
      <c r="D1859">
        <f t="shared" si="57"/>
        <v>-3447368956</v>
      </c>
      <c r="E1859" t="s">
        <v>8487</v>
      </c>
      <c r="F1859" t="s">
        <v>7948</v>
      </c>
      <c r="G1859" t="s">
        <v>7949</v>
      </c>
      <c r="H1859">
        <v>-1.8244600296020499</v>
      </c>
      <c r="I1859">
        <v>52.562421105154002</v>
      </c>
      <c r="J1859">
        <v>85</v>
      </c>
      <c r="K1859" t="s">
        <v>1272</v>
      </c>
      <c r="L1859" t="s">
        <v>1272</v>
      </c>
      <c r="M1859" t="s">
        <v>1272</v>
      </c>
      <c r="N1859" t="s">
        <v>1272</v>
      </c>
      <c r="O1859" t="s">
        <v>1272</v>
      </c>
      <c r="P1859" t="s">
        <v>1272</v>
      </c>
      <c r="Q1859" t="s">
        <v>7969</v>
      </c>
      <c r="R1859" t="s">
        <v>8488</v>
      </c>
      <c r="U1859" t="s">
        <v>8489</v>
      </c>
    </row>
    <row r="1860" spans="1:21" x14ac:dyDescent="0.25">
      <c r="A1860" t="s">
        <v>8490</v>
      </c>
      <c r="B1860" t="s">
        <v>22</v>
      </c>
      <c r="C1860" t="s">
        <v>8491</v>
      </c>
      <c r="D1860">
        <f t="shared" si="57"/>
        <v>-3447368956</v>
      </c>
      <c r="E1860" t="s">
        <v>1226</v>
      </c>
      <c r="F1860" t="s">
        <v>7948</v>
      </c>
      <c r="G1860" t="s">
        <v>7949</v>
      </c>
      <c r="H1860">
        <v>-0.11497020721436001</v>
      </c>
      <c r="I1860">
        <v>51.462389876913299</v>
      </c>
      <c r="J1860">
        <v>85</v>
      </c>
      <c r="K1860" t="s">
        <v>312</v>
      </c>
      <c r="L1860" t="s">
        <v>312</v>
      </c>
      <c r="M1860" t="s">
        <v>312</v>
      </c>
      <c r="N1860" t="s">
        <v>312</v>
      </c>
      <c r="O1860" t="s">
        <v>312</v>
      </c>
      <c r="P1860" t="s">
        <v>312</v>
      </c>
      <c r="Q1860" t="s">
        <v>8177</v>
      </c>
      <c r="R1860" t="s">
        <v>8492</v>
      </c>
      <c r="U1860" t="s">
        <v>8493</v>
      </c>
    </row>
    <row r="1861" spans="1:21" x14ac:dyDescent="0.25">
      <c r="A1861" t="s">
        <v>8494</v>
      </c>
      <c r="B1861" t="s">
        <v>38</v>
      </c>
      <c r="C1861" t="s">
        <v>8495</v>
      </c>
      <c r="D1861">
        <f t="shared" si="57"/>
        <v>-3447368956</v>
      </c>
      <c r="E1861" t="s">
        <v>8496</v>
      </c>
      <c r="F1861" t="s">
        <v>7948</v>
      </c>
      <c r="G1861" t="s">
        <v>7949</v>
      </c>
      <c r="H1861">
        <v>0.14656662940979001</v>
      </c>
      <c r="I1861">
        <v>51.456353493744402</v>
      </c>
      <c r="J1861">
        <v>85</v>
      </c>
      <c r="K1861" t="s">
        <v>442</v>
      </c>
      <c r="L1861" t="s">
        <v>442</v>
      </c>
      <c r="M1861" t="s">
        <v>442</v>
      </c>
      <c r="N1861" t="s">
        <v>442</v>
      </c>
      <c r="O1861" t="s">
        <v>442</v>
      </c>
      <c r="P1861" t="s">
        <v>442</v>
      </c>
      <c r="Q1861" t="s">
        <v>622</v>
      </c>
      <c r="R1861" t="s">
        <v>8497</v>
      </c>
      <c r="S1861" t="s">
        <v>8498</v>
      </c>
      <c r="U1861" t="s">
        <v>8499</v>
      </c>
    </row>
    <row r="1862" spans="1:21" x14ac:dyDescent="0.25">
      <c r="A1862" t="s">
        <v>8500</v>
      </c>
      <c r="B1862" t="s">
        <v>38</v>
      </c>
      <c r="C1862" t="s">
        <v>8501</v>
      </c>
      <c r="D1862">
        <f t="shared" si="57"/>
        <v>-3447368956</v>
      </c>
      <c r="E1862" t="s">
        <v>8502</v>
      </c>
      <c r="F1862" t="s">
        <v>7948</v>
      </c>
      <c r="G1862" t="s">
        <v>7949</v>
      </c>
      <c r="H1862">
        <v>-0.56047439575195002</v>
      </c>
      <c r="I1862">
        <v>51.319857719928798</v>
      </c>
      <c r="J1862">
        <v>85</v>
      </c>
      <c r="K1862" t="s">
        <v>262</v>
      </c>
      <c r="L1862" t="s">
        <v>262</v>
      </c>
      <c r="M1862" t="s">
        <v>262</v>
      </c>
      <c r="N1862" t="s">
        <v>262</v>
      </c>
      <c r="O1862" t="s">
        <v>262</v>
      </c>
      <c r="P1862" t="s">
        <v>166</v>
      </c>
      <c r="Q1862" t="s">
        <v>564</v>
      </c>
      <c r="R1862" t="s">
        <v>8503</v>
      </c>
      <c r="U1862" t="s">
        <v>8504</v>
      </c>
    </row>
    <row r="1863" spans="1:21" x14ac:dyDescent="0.25">
      <c r="A1863" t="s">
        <v>8505</v>
      </c>
      <c r="B1863" t="s">
        <v>38</v>
      </c>
      <c r="C1863" t="s">
        <v>8506</v>
      </c>
      <c r="D1863">
        <f t="shared" si="57"/>
        <v>-3447368956</v>
      </c>
      <c r="E1863" t="s">
        <v>8507</v>
      </c>
      <c r="F1863" t="s">
        <v>7948</v>
      </c>
      <c r="G1863" t="s">
        <v>7949</v>
      </c>
      <c r="H1863">
        <v>0.89662492275238004</v>
      </c>
      <c r="I1863">
        <v>51.888534265574997</v>
      </c>
      <c r="J1863">
        <v>85</v>
      </c>
      <c r="K1863" t="s">
        <v>166</v>
      </c>
      <c r="L1863" t="s">
        <v>166</v>
      </c>
      <c r="M1863" t="s">
        <v>166</v>
      </c>
      <c r="N1863" t="s">
        <v>166</v>
      </c>
      <c r="O1863" t="s">
        <v>198</v>
      </c>
      <c r="P1863" t="s">
        <v>198</v>
      </c>
      <c r="Q1863" t="s">
        <v>7969</v>
      </c>
      <c r="R1863" t="s">
        <v>8508</v>
      </c>
      <c r="U1863" t="s">
        <v>8509</v>
      </c>
    </row>
    <row r="1864" spans="1:21" x14ac:dyDescent="0.25">
      <c r="A1864" t="s">
        <v>8510</v>
      </c>
      <c r="B1864" t="s">
        <v>22</v>
      </c>
      <c r="C1864" t="s">
        <v>8511</v>
      </c>
      <c r="D1864">
        <f t="shared" si="57"/>
        <v>-3447368956</v>
      </c>
      <c r="E1864" t="s">
        <v>1226</v>
      </c>
      <c r="F1864" t="s">
        <v>7948</v>
      </c>
      <c r="G1864" t="s">
        <v>7949</v>
      </c>
      <c r="H1864">
        <v>-0.20442724227904999</v>
      </c>
      <c r="I1864">
        <v>51.421382925452299</v>
      </c>
      <c r="J1864">
        <v>85</v>
      </c>
      <c r="K1864" t="s">
        <v>184</v>
      </c>
      <c r="L1864" t="s">
        <v>184</v>
      </c>
      <c r="M1864" t="s">
        <v>184</v>
      </c>
      <c r="N1864" t="s">
        <v>185</v>
      </c>
      <c r="O1864" t="s">
        <v>184</v>
      </c>
      <c r="P1864" t="s">
        <v>166</v>
      </c>
      <c r="Q1864" t="s">
        <v>564</v>
      </c>
      <c r="R1864" t="s">
        <v>8512</v>
      </c>
      <c r="S1864" t="s">
        <v>8513</v>
      </c>
      <c r="U1864" t="s">
        <v>8514</v>
      </c>
    </row>
    <row r="1865" spans="1:21" x14ac:dyDescent="0.25">
      <c r="A1865" t="s">
        <v>8515</v>
      </c>
      <c r="B1865" t="s">
        <v>38</v>
      </c>
      <c r="C1865" t="s">
        <v>8516</v>
      </c>
      <c r="D1865">
        <f t="shared" si="57"/>
        <v>-3447368956</v>
      </c>
      <c r="E1865" t="s">
        <v>8517</v>
      </c>
      <c r="F1865" t="s">
        <v>7948</v>
      </c>
      <c r="G1865" t="s">
        <v>7949</v>
      </c>
      <c r="H1865">
        <v>-2.29163646697998</v>
      </c>
      <c r="I1865">
        <v>53.595510314864001</v>
      </c>
      <c r="J1865">
        <v>85</v>
      </c>
      <c r="K1865" t="s">
        <v>728</v>
      </c>
      <c r="L1865" t="s">
        <v>728</v>
      </c>
      <c r="M1865" t="s">
        <v>728</v>
      </c>
      <c r="N1865" t="s">
        <v>728</v>
      </c>
      <c r="O1865" t="s">
        <v>728</v>
      </c>
      <c r="P1865" t="s">
        <v>728</v>
      </c>
      <c r="Q1865" t="s">
        <v>564</v>
      </c>
      <c r="R1865" t="s">
        <v>8518</v>
      </c>
      <c r="S1865" t="s">
        <v>8519</v>
      </c>
      <c r="U1865" t="s">
        <v>8520</v>
      </c>
    </row>
    <row r="1866" spans="1:21" x14ac:dyDescent="0.25">
      <c r="A1866" t="s">
        <v>8521</v>
      </c>
      <c r="B1866" t="s">
        <v>38</v>
      </c>
      <c r="C1866" t="s">
        <v>8522</v>
      </c>
      <c r="D1866">
        <f t="shared" si="57"/>
        <v>-3447368956</v>
      </c>
      <c r="E1866" t="s">
        <v>8338</v>
      </c>
      <c r="F1866" t="s">
        <v>7948</v>
      </c>
      <c r="G1866" t="s">
        <v>7949</v>
      </c>
      <c r="H1866">
        <v>-4.3611431121826199</v>
      </c>
      <c r="I1866">
        <v>55.872903228442397</v>
      </c>
      <c r="J1866">
        <v>85</v>
      </c>
      <c r="K1866" t="s">
        <v>536</v>
      </c>
      <c r="L1866" t="s">
        <v>536</v>
      </c>
      <c r="M1866" t="s">
        <v>536</v>
      </c>
      <c r="N1866" t="s">
        <v>536</v>
      </c>
      <c r="O1866" t="s">
        <v>536</v>
      </c>
      <c r="P1866" t="s">
        <v>198</v>
      </c>
      <c r="Q1866" t="s">
        <v>428</v>
      </c>
      <c r="R1866" t="s">
        <v>8523</v>
      </c>
      <c r="S1866" t="s">
        <v>8524</v>
      </c>
      <c r="U1866" t="s">
        <v>8525</v>
      </c>
    </row>
    <row r="1867" spans="1:21" x14ac:dyDescent="0.25">
      <c r="A1867" t="s">
        <v>8526</v>
      </c>
      <c r="B1867" t="s">
        <v>38</v>
      </c>
      <c r="C1867" t="s">
        <v>8527</v>
      </c>
      <c r="D1867">
        <f t="shared" si="57"/>
        <v>-3447368956</v>
      </c>
      <c r="E1867" t="s">
        <v>8528</v>
      </c>
      <c r="F1867" t="s">
        <v>7948</v>
      </c>
      <c r="G1867" t="s">
        <v>7949</v>
      </c>
      <c r="H1867">
        <v>-1.3231444358825699</v>
      </c>
      <c r="I1867">
        <v>51.404172048579603</v>
      </c>
      <c r="J1867">
        <v>85</v>
      </c>
      <c r="K1867" t="s">
        <v>553</v>
      </c>
      <c r="L1867" t="s">
        <v>553</v>
      </c>
      <c r="M1867" t="s">
        <v>553</v>
      </c>
      <c r="N1867" t="s">
        <v>553</v>
      </c>
      <c r="O1867" t="s">
        <v>553</v>
      </c>
      <c r="P1867" t="s">
        <v>553</v>
      </c>
      <c r="Q1867" t="s">
        <v>7969</v>
      </c>
      <c r="R1867" t="s">
        <v>8529</v>
      </c>
      <c r="S1867" t="s">
        <v>8528</v>
      </c>
      <c r="U1867" t="s">
        <v>8530</v>
      </c>
    </row>
    <row r="1868" spans="1:21" x14ac:dyDescent="0.25">
      <c r="A1868" t="s">
        <v>8531</v>
      </c>
      <c r="B1868" t="s">
        <v>38</v>
      </c>
      <c r="C1868" t="s">
        <v>8532</v>
      </c>
      <c r="D1868">
        <f t="shared" si="57"/>
        <v>-3447368956</v>
      </c>
      <c r="E1868" t="s">
        <v>1226</v>
      </c>
      <c r="F1868" t="s">
        <v>7948</v>
      </c>
      <c r="G1868" t="s">
        <v>7949</v>
      </c>
      <c r="H1868">
        <v>-0.19368767738341999</v>
      </c>
      <c r="I1868">
        <v>51.455437605063601</v>
      </c>
      <c r="J1868">
        <v>85</v>
      </c>
      <c r="K1868" t="s">
        <v>165</v>
      </c>
      <c r="L1868" t="s">
        <v>165</v>
      </c>
      <c r="M1868" t="s">
        <v>165</v>
      </c>
      <c r="N1868" t="s">
        <v>165</v>
      </c>
      <c r="O1868" t="s">
        <v>165</v>
      </c>
      <c r="P1868" t="s">
        <v>165</v>
      </c>
      <c r="Q1868" t="s">
        <v>564</v>
      </c>
      <c r="R1868" t="s">
        <v>8533</v>
      </c>
      <c r="S1868" t="s">
        <v>8534</v>
      </c>
      <c r="U1868" t="s">
        <v>8535</v>
      </c>
    </row>
    <row r="1869" spans="1:21" x14ac:dyDescent="0.25">
      <c r="A1869" t="s">
        <v>8536</v>
      </c>
      <c r="B1869" t="s">
        <v>38</v>
      </c>
      <c r="C1869" t="s">
        <v>8537</v>
      </c>
      <c r="D1869">
        <f t="shared" si="57"/>
        <v>-3447368956</v>
      </c>
      <c r="E1869" t="s">
        <v>8538</v>
      </c>
      <c r="F1869" t="s">
        <v>7948</v>
      </c>
      <c r="G1869" t="s">
        <v>7949</v>
      </c>
      <c r="H1869">
        <v>-0.70200920104980002</v>
      </c>
      <c r="I1869">
        <v>52.486243031272302</v>
      </c>
      <c r="J1869">
        <v>85</v>
      </c>
      <c r="K1869" t="s">
        <v>166</v>
      </c>
      <c r="L1869" t="s">
        <v>166</v>
      </c>
      <c r="M1869" t="s">
        <v>166</v>
      </c>
      <c r="N1869" t="s">
        <v>166</v>
      </c>
      <c r="O1869" t="s">
        <v>166</v>
      </c>
      <c r="P1869" t="s">
        <v>166</v>
      </c>
      <c r="Q1869" t="s">
        <v>622</v>
      </c>
      <c r="R1869" t="s">
        <v>8539</v>
      </c>
      <c r="U1869" t="s">
        <v>8540</v>
      </c>
    </row>
    <row r="1870" spans="1:21" x14ac:dyDescent="0.25">
      <c r="A1870" t="s">
        <v>8541</v>
      </c>
      <c r="B1870" t="s">
        <v>22</v>
      </c>
      <c r="C1870" t="s">
        <v>8542</v>
      </c>
      <c r="D1870">
        <f t="shared" si="57"/>
        <v>-3447368956</v>
      </c>
      <c r="E1870" t="s">
        <v>1226</v>
      </c>
      <c r="F1870" t="s">
        <v>7948</v>
      </c>
      <c r="G1870" t="s">
        <v>7949</v>
      </c>
      <c r="H1870">
        <v>-0.1067653298378</v>
      </c>
      <c r="I1870">
        <v>51.534223638243198</v>
      </c>
      <c r="J1870">
        <v>85</v>
      </c>
      <c r="K1870" t="s">
        <v>192</v>
      </c>
      <c r="L1870" t="s">
        <v>192</v>
      </c>
      <c r="M1870" t="s">
        <v>192</v>
      </c>
      <c r="N1870" t="s">
        <v>192</v>
      </c>
      <c r="O1870" t="s">
        <v>192</v>
      </c>
      <c r="P1870" t="s">
        <v>192</v>
      </c>
      <c r="Q1870" t="s">
        <v>1492</v>
      </c>
      <c r="R1870" t="s">
        <v>8543</v>
      </c>
      <c r="S1870" t="s">
        <v>8544</v>
      </c>
      <c r="U1870" t="s">
        <v>8545</v>
      </c>
    </row>
    <row r="1871" spans="1:21" x14ac:dyDescent="0.25">
      <c r="A1871" t="s">
        <v>8546</v>
      </c>
      <c r="B1871" t="s">
        <v>38</v>
      </c>
      <c r="C1871" t="s">
        <v>8547</v>
      </c>
      <c r="D1871">
        <f t="shared" si="57"/>
        <v>-3447368956</v>
      </c>
      <c r="E1871" t="s">
        <v>8548</v>
      </c>
      <c r="F1871" t="s">
        <v>7948</v>
      </c>
      <c r="G1871" t="s">
        <v>7949</v>
      </c>
      <c r="H1871">
        <v>9.4285011291500007E-2</v>
      </c>
      <c r="I1871">
        <v>51.7678664454493</v>
      </c>
      <c r="J1871">
        <v>85</v>
      </c>
      <c r="K1871" t="s">
        <v>442</v>
      </c>
      <c r="L1871" t="s">
        <v>442</v>
      </c>
      <c r="M1871" t="s">
        <v>442</v>
      </c>
      <c r="N1871" t="s">
        <v>442</v>
      </c>
      <c r="O1871" t="s">
        <v>442</v>
      </c>
      <c r="P1871" t="s">
        <v>166</v>
      </c>
      <c r="Q1871" t="s">
        <v>7969</v>
      </c>
      <c r="R1871" t="s">
        <v>8549</v>
      </c>
      <c r="S1871" t="s">
        <v>8550</v>
      </c>
      <c r="U1871" t="s">
        <v>8551</v>
      </c>
    </row>
    <row r="1872" spans="1:21" x14ac:dyDescent="0.25">
      <c r="A1872" t="s">
        <v>8552</v>
      </c>
      <c r="B1872" t="s">
        <v>38</v>
      </c>
      <c r="C1872" t="s">
        <v>8553</v>
      </c>
      <c r="D1872">
        <f t="shared" si="57"/>
        <v>-3447368956</v>
      </c>
      <c r="E1872" t="s">
        <v>8554</v>
      </c>
      <c r="F1872" t="s">
        <v>7948</v>
      </c>
      <c r="G1872" t="s">
        <v>7949</v>
      </c>
      <c r="H1872">
        <v>-2.4829959869384801</v>
      </c>
      <c r="I1872">
        <v>53.748837681886499</v>
      </c>
      <c r="J1872">
        <v>85</v>
      </c>
      <c r="K1872" t="s">
        <v>166</v>
      </c>
      <c r="L1872" t="s">
        <v>166</v>
      </c>
      <c r="M1872" t="s">
        <v>166</v>
      </c>
      <c r="N1872" t="s">
        <v>166</v>
      </c>
      <c r="O1872" t="s">
        <v>166</v>
      </c>
      <c r="P1872" t="s">
        <v>166</v>
      </c>
      <c r="Q1872" t="s">
        <v>7969</v>
      </c>
      <c r="R1872" t="s">
        <v>8555</v>
      </c>
      <c r="S1872" t="s">
        <v>8556</v>
      </c>
      <c r="U1872" t="s">
        <v>8557</v>
      </c>
    </row>
    <row r="1873" spans="1:21" x14ac:dyDescent="0.25">
      <c r="A1873" t="s">
        <v>8558</v>
      </c>
      <c r="B1873" t="s">
        <v>38</v>
      </c>
      <c r="C1873" t="s">
        <v>8559</v>
      </c>
      <c r="D1873">
        <f t="shared" si="57"/>
        <v>-3447368956</v>
      </c>
      <c r="E1873" t="s">
        <v>8560</v>
      </c>
      <c r="F1873" t="s">
        <v>7948</v>
      </c>
      <c r="G1873" t="s">
        <v>7949</v>
      </c>
      <c r="H1873">
        <v>-1.27406001091003</v>
      </c>
      <c r="I1873">
        <v>54.556905571849697</v>
      </c>
      <c r="J1873">
        <v>85</v>
      </c>
      <c r="K1873" t="s">
        <v>192</v>
      </c>
      <c r="L1873" t="s">
        <v>192</v>
      </c>
      <c r="M1873" t="s">
        <v>192</v>
      </c>
      <c r="N1873" t="s">
        <v>192</v>
      </c>
      <c r="O1873" t="s">
        <v>192</v>
      </c>
      <c r="P1873" t="s">
        <v>165</v>
      </c>
      <c r="Q1873" t="s">
        <v>564</v>
      </c>
      <c r="R1873" t="s">
        <v>8561</v>
      </c>
      <c r="S1873" t="s">
        <v>8562</v>
      </c>
      <c r="U1873" t="s">
        <v>8563</v>
      </c>
    </row>
    <row r="1874" spans="1:21" x14ac:dyDescent="0.25">
      <c r="A1874" t="s">
        <v>8564</v>
      </c>
      <c r="B1874" t="s">
        <v>38</v>
      </c>
      <c r="C1874" t="s">
        <v>8565</v>
      </c>
      <c r="D1874">
        <f t="shared" si="57"/>
        <v>-3447368956</v>
      </c>
      <c r="E1874" t="s">
        <v>8338</v>
      </c>
      <c r="F1874" t="s">
        <v>7948</v>
      </c>
      <c r="G1874" t="s">
        <v>7949</v>
      </c>
      <c r="H1874">
        <v>-4.1362667083740199</v>
      </c>
      <c r="I1874">
        <v>55.872855074774598</v>
      </c>
      <c r="J1874">
        <v>85</v>
      </c>
      <c r="K1874" t="s">
        <v>27</v>
      </c>
      <c r="L1874" t="s">
        <v>27</v>
      </c>
      <c r="M1874" t="s">
        <v>27</v>
      </c>
      <c r="N1874" t="s">
        <v>27</v>
      </c>
      <c r="O1874" t="s">
        <v>27</v>
      </c>
      <c r="P1874" t="s">
        <v>192</v>
      </c>
      <c r="Q1874" t="s">
        <v>535</v>
      </c>
      <c r="R1874" t="s">
        <v>8566</v>
      </c>
      <c r="S1874" t="s">
        <v>8567</v>
      </c>
      <c r="U1874" t="s">
        <v>8568</v>
      </c>
    </row>
    <row r="1875" spans="1:21" x14ac:dyDescent="0.25">
      <c r="A1875" t="s">
        <v>8569</v>
      </c>
      <c r="B1875" t="s">
        <v>38</v>
      </c>
      <c r="C1875" t="s">
        <v>8570</v>
      </c>
      <c r="D1875">
        <f t="shared" si="57"/>
        <v>-3447368956</v>
      </c>
      <c r="E1875" t="s">
        <v>8571</v>
      </c>
      <c r="F1875" t="s">
        <v>7948</v>
      </c>
      <c r="G1875" t="s">
        <v>7949</v>
      </c>
      <c r="H1875">
        <v>-2.7982950210571298</v>
      </c>
      <c r="I1875">
        <v>56.3404016981602</v>
      </c>
      <c r="J1875">
        <v>85</v>
      </c>
      <c r="K1875" t="s">
        <v>428</v>
      </c>
      <c r="L1875" t="s">
        <v>428</v>
      </c>
      <c r="M1875" t="s">
        <v>428</v>
      </c>
      <c r="N1875" t="s">
        <v>428</v>
      </c>
      <c r="O1875" t="s">
        <v>428</v>
      </c>
      <c r="P1875" t="s">
        <v>428</v>
      </c>
      <c r="Q1875" t="s">
        <v>1034</v>
      </c>
      <c r="R1875" t="s">
        <v>8572</v>
      </c>
      <c r="S1875" t="s">
        <v>8573</v>
      </c>
      <c r="U1875" t="s">
        <v>8574</v>
      </c>
    </row>
    <row r="1876" spans="1:21" x14ac:dyDescent="0.25">
      <c r="A1876" t="s">
        <v>8575</v>
      </c>
      <c r="B1876" t="s">
        <v>38</v>
      </c>
      <c r="C1876" t="s">
        <v>8576</v>
      </c>
      <c r="D1876">
        <f t="shared" si="57"/>
        <v>-3447368956</v>
      </c>
      <c r="E1876" t="s">
        <v>8577</v>
      </c>
      <c r="F1876" t="s">
        <v>7948</v>
      </c>
      <c r="G1876" t="s">
        <v>7949</v>
      </c>
      <c r="H1876">
        <v>-0.50936222076416005</v>
      </c>
      <c r="I1876">
        <v>51.4335444037157</v>
      </c>
      <c r="J1876">
        <v>85</v>
      </c>
      <c r="K1876" t="s">
        <v>166</v>
      </c>
      <c r="L1876" t="s">
        <v>166</v>
      </c>
      <c r="M1876" t="s">
        <v>166</v>
      </c>
      <c r="N1876" t="s">
        <v>165</v>
      </c>
      <c r="O1876" t="s">
        <v>166</v>
      </c>
      <c r="P1876" t="s">
        <v>165</v>
      </c>
      <c r="Q1876" t="s">
        <v>7969</v>
      </c>
      <c r="R1876" t="s">
        <v>8578</v>
      </c>
      <c r="S1876" t="s">
        <v>8579</v>
      </c>
      <c r="U1876" t="s">
        <v>8580</v>
      </c>
    </row>
    <row r="1877" spans="1:21" x14ac:dyDescent="0.25">
      <c r="A1877" t="s">
        <v>8581</v>
      </c>
      <c r="B1877" t="s">
        <v>38</v>
      </c>
      <c r="C1877" t="s">
        <v>8582</v>
      </c>
      <c r="D1877">
        <f t="shared" si="57"/>
        <v>-3447368956</v>
      </c>
      <c r="E1877" t="s">
        <v>1226</v>
      </c>
      <c r="F1877" t="s">
        <v>7948</v>
      </c>
      <c r="G1877" t="s">
        <v>7949</v>
      </c>
      <c r="H1877">
        <v>7.9058555431830005E-2</v>
      </c>
      <c r="I1877">
        <v>51.517471874314602</v>
      </c>
      <c r="J1877">
        <v>85</v>
      </c>
      <c r="K1877" t="s">
        <v>45</v>
      </c>
      <c r="L1877" t="s">
        <v>45</v>
      </c>
      <c r="M1877" t="s">
        <v>45</v>
      </c>
      <c r="N1877" t="s">
        <v>45</v>
      </c>
      <c r="O1877" t="s">
        <v>45</v>
      </c>
      <c r="P1877" t="s">
        <v>45</v>
      </c>
      <c r="Q1877" t="s">
        <v>564</v>
      </c>
      <c r="R1877" t="s">
        <v>8583</v>
      </c>
      <c r="S1877" t="s">
        <v>8584</v>
      </c>
      <c r="U1877" t="s">
        <v>8585</v>
      </c>
    </row>
    <row r="1878" spans="1:21" x14ac:dyDescent="0.25">
      <c r="A1878" t="s">
        <v>8586</v>
      </c>
      <c r="B1878" t="s">
        <v>22</v>
      </c>
      <c r="C1878" t="s">
        <v>8587</v>
      </c>
      <c r="D1878">
        <f t="shared" si="57"/>
        <v>-3447368956</v>
      </c>
      <c r="E1878" t="s">
        <v>1226</v>
      </c>
      <c r="F1878" t="s">
        <v>7948</v>
      </c>
      <c r="G1878" t="s">
        <v>7949</v>
      </c>
      <c r="H1878">
        <v>-0.21608039430383999</v>
      </c>
      <c r="I1878">
        <v>51.4633548228664</v>
      </c>
      <c r="J1878">
        <v>85</v>
      </c>
      <c r="K1878" t="s">
        <v>165</v>
      </c>
      <c r="L1878" t="s">
        <v>165</v>
      </c>
      <c r="M1878" t="s">
        <v>165</v>
      </c>
      <c r="N1878" t="s">
        <v>165</v>
      </c>
      <c r="O1878" t="s">
        <v>165</v>
      </c>
      <c r="P1878" t="s">
        <v>165</v>
      </c>
      <c r="Q1878" t="s">
        <v>564</v>
      </c>
      <c r="R1878" t="s">
        <v>8588</v>
      </c>
      <c r="S1878" t="s">
        <v>8589</v>
      </c>
      <c r="U1878" t="s">
        <v>8590</v>
      </c>
    </row>
    <row r="1879" spans="1:21" x14ac:dyDescent="0.25">
      <c r="A1879" t="s">
        <v>8591</v>
      </c>
      <c r="B1879" t="s">
        <v>38</v>
      </c>
      <c r="C1879" t="s">
        <v>8592</v>
      </c>
      <c r="D1879">
        <f t="shared" si="57"/>
        <v>-3447368956</v>
      </c>
      <c r="E1879" t="s">
        <v>8593</v>
      </c>
      <c r="F1879" t="s">
        <v>7948</v>
      </c>
      <c r="G1879" t="s">
        <v>7949</v>
      </c>
      <c r="H1879">
        <v>-6.3404309749603298</v>
      </c>
      <c r="I1879">
        <v>54.169591253818702</v>
      </c>
      <c r="J1879">
        <v>85</v>
      </c>
      <c r="K1879" t="s">
        <v>166</v>
      </c>
      <c r="L1879" t="s">
        <v>166</v>
      </c>
      <c r="M1879" t="s">
        <v>166</v>
      </c>
      <c r="N1879" t="s">
        <v>312</v>
      </c>
      <c r="O1879" t="s">
        <v>312</v>
      </c>
      <c r="P1879" t="s">
        <v>166</v>
      </c>
      <c r="Q1879" t="s">
        <v>8232</v>
      </c>
      <c r="R1879" t="s">
        <v>8594</v>
      </c>
      <c r="S1879" t="s">
        <v>8595</v>
      </c>
      <c r="U1879" t="s">
        <v>8596</v>
      </c>
    </row>
    <row r="1880" spans="1:21" x14ac:dyDescent="0.25">
      <c r="A1880" t="s">
        <v>8597</v>
      </c>
      <c r="B1880" t="s">
        <v>22</v>
      </c>
      <c r="C1880" t="s">
        <v>8598</v>
      </c>
      <c r="E1880" t="s">
        <v>1226</v>
      </c>
      <c r="F1880" t="s">
        <v>7948</v>
      </c>
      <c r="G1880" t="s">
        <v>7949</v>
      </c>
      <c r="H1880">
        <v>-0.2149375</v>
      </c>
      <c r="I1880">
        <v>51.4701077</v>
      </c>
      <c r="J1880">
        <v>85</v>
      </c>
      <c r="R1880" t="s">
        <v>8598</v>
      </c>
      <c r="U1880" t="s">
        <v>8599</v>
      </c>
    </row>
    <row r="1881" spans="1:21" x14ac:dyDescent="0.25">
      <c r="A1881" t="s">
        <v>8600</v>
      </c>
      <c r="B1881" t="s">
        <v>38</v>
      </c>
      <c r="C1881" t="s">
        <v>8601</v>
      </c>
      <c r="D1881">
        <f>44-3447369000</f>
        <v>-3447368956</v>
      </c>
      <c r="E1881" t="s">
        <v>8602</v>
      </c>
      <c r="F1881" t="s">
        <v>7948</v>
      </c>
      <c r="G1881" t="s">
        <v>7949</v>
      </c>
      <c r="H1881">
        <v>-2.8861311999999999</v>
      </c>
      <c r="I1881">
        <v>53.264692699999998</v>
      </c>
      <c r="J1881">
        <v>85</v>
      </c>
      <c r="K1881" t="s">
        <v>192</v>
      </c>
      <c r="L1881" t="s">
        <v>192</v>
      </c>
      <c r="M1881" t="s">
        <v>192</v>
      </c>
      <c r="N1881" t="s">
        <v>192</v>
      </c>
      <c r="O1881" t="s">
        <v>192</v>
      </c>
      <c r="P1881" t="s">
        <v>165</v>
      </c>
      <c r="Q1881" t="s">
        <v>564</v>
      </c>
      <c r="R1881" t="s">
        <v>8603</v>
      </c>
      <c r="S1881" t="s">
        <v>8604</v>
      </c>
      <c r="U1881" t="s">
        <v>8605</v>
      </c>
    </row>
    <row r="1882" spans="1:21" x14ac:dyDescent="0.25">
      <c r="A1882" t="s">
        <v>8606</v>
      </c>
      <c r="B1882" t="s">
        <v>38</v>
      </c>
      <c r="C1882" t="s">
        <v>8607</v>
      </c>
      <c r="D1882">
        <f>44-3447369000</f>
        <v>-3447368956</v>
      </c>
      <c r="E1882" t="s">
        <v>8608</v>
      </c>
      <c r="F1882" t="s">
        <v>7948</v>
      </c>
      <c r="G1882" t="s">
        <v>7949</v>
      </c>
      <c r="H1882">
        <v>-2.87841796875</v>
      </c>
      <c r="I1882">
        <v>53.350090211332002</v>
      </c>
      <c r="J1882">
        <v>85</v>
      </c>
      <c r="K1882" t="s">
        <v>262</v>
      </c>
      <c r="L1882" t="s">
        <v>262</v>
      </c>
      <c r="M1882" t="s">
        <v>262</v>
      </c>
      <c r="N1882" t="s">
        <v>262</v>
      </c>
      <c r="O1882" t="s">
        <v>262</v>
      </c>
      <c r="P1882" t="s">
        <v>262</v>
      </c>
      <c r="Q1882" t="s">
        <v>564</v>
      </c>
      <c r="R1882" t="s">
        <v>8609</v>
      </c>
      <c r="S1882" t="s">
        <v>8610</v>
      </c>
      <c r="U1882" t="s">
        <v>8611</v>
      </c>
    </row>
    <row r="1883" spans="1:21" x14ac:dyDescent="0.25">
      <c r="A1883" t="s">
        <v>8612</v>
      </c>
      <c r="B1883" t="s">
        <v>38</v>
      </c>
      <c r="C1883" t="s">
        <v>8613</v>
      </c>
      <c r="D1883">
        <f>44-3447369000</f>
        <v>-3447368956</v>
      </c>
      <c r="E1883" t="s">
        <v>8252</v>
      </c>
      <c r="F1883" t="s">
        <v>7948</v>
      </c>
      <c r="G1883" t="s">
        <v>7949</v>
      </c>
      <c r="H1883">
        <v>0.13316631317138999</v>
      </c>
      <c r="I1883">
        <v>52.206988651113299</v>
      </c>
      <c r="J1883">
        <v>85</v>
      </c>
      <c r="K1883" t="s">
        <v>166</v>
      </c>
      <c r="L1883" t="s">
        <v>166</v>
      </c>
      <c r="M1883" t="s">
        <v>166</v>
      </c>
      <c r="N1883" t="s">
        <v>166</v>
      </c>
      <c r="O1883" t="s">
        <v>166</v>
      </c>
      <c r="P1883" t="s">
        <v>166</v>
      </c>
      <c r="Q1883" t="s">
        <v>564</v>
      </c>
      <c r="R1883" t="s">
        <v>8614</v>
      </c>
      <c r="S1883" t="s">
        <v>8252</v>
      </c>
      <c r="U1883" t="s">
        <v>8615</v>
      </c>
    </row>
    <row r="1884" spans="1:21" x14ac:dyDescent="0.25">
      <c r="A1884" t="s">
        <v>8616</v>
      </c>
      <c r="B1884" t="s">
        <v>38</v>
      </c>
      <c r="C1884" t="s">
        <v>8617</v>
      </c>
      <c r="D1884">
        <f>44-8447369000</f>
        <v>-8447368956</v>
      </c>
      <c r="E1884" t="s">
        <v>8617</v>
      </c>
      <c r="F1884" t="s">
        <v>7948</v>
      </c>
      <c r="G1884" t="s">
        <v>7949</v>
      </c>
      <c r="H1884">
        <v>-0.20256042480469</v>
      </c>
      <c r="I1884">
        <v>51.903559851497398</v>
      </c>
      <c r="J1884">
        <v>85</v>
      </c>
      <c r="K1884" t="s">
        <v>166</v>
      </c>
      <c r="L1884" t="s">
        <v>166</v>
      </c>
      <c r="M1884" t="s">
        <v>166</v>
      </c>
      <c r="N1884" t="s">
        <v>166</v>
      </c>
      <c r="O1884" t="s">
        <v>166</v>
      </c>
      <c r="P1884" t="s">
        <v>166</v>
      </c>
      <c r="Q1884" t="s">
        <v>622</v>
      </c>
      <c r="R1884" t="s">
        <v>8617</v>
      </c>
      <c r="U1884" t="s">
        <v>8618</v>
      </c>
    </row>
    <row r="1885" spans="1:21" x14ac:dyDescent="0.25">
      <c r="A1885" t="s">
        <v>8619</v>
      </c>
      <c r="B1885" t="s">
        <v>38</v>
      </c>
      <c r="C1885" t="s">
        <v>8620</v>
      </c>
      <c r="D1885">
        <f t="shared" ref="D1885:D1892" si="58">44-3447369000</f>
        <v>-3447368956</v>
      </c>
      <c r="E1885" t="s">
        <v>8621</v>
      </c>
      <c r="F1885" t="s">
        <v>7948</v>
      </c>
      <c r="G1885" t="s">
        <v>7949</v>
      </c>
      <c r="H1885">
        <v>-0.81281661987304998</v>
      </c>
      <c r="I1885">
        <v>51.815804929827898</v>
      </c>
      <c r="J1885">
        <v>85</v>
      </c>
      <c r="K1885" t="s">
        <v>442</v>
      </c>
      <c r="L1885" t="s">
        <v>442</v>
      </c>
      <c r="M1885" t="s">
        <v>442</v>
      </c>
      <c r="N1885" t="s">
        <v>442</v>
      </c>
      <c r="O1885" t="s">
        <v>442</v>
      </c>
      <c r="P1885" t="s">
        <v>442</v>
      </c>
      <c r="Q1885" t="s">
        <v>7969</v>
      </c>
      <c r="R1885" t="s">
        <v>8622</v>
      </c>
      <c r="S1885" t="s">
        <v>8623</v>
      </c>
      <c r="U1885" t="s">
        <v>8624</v>
      </c>
    </row>
    <row r="1886" spans="1:21" x14ac:dyDescent="0.25">
      <c r="A1886" t="s">
        <v>8625</v>
      </c>
      <c r="B1886" t="s">
        <v>38</v>
      </c>
      <c r="C1886" t="s">
        <v>8626</v>
      </c>
      <c r="D1886">
        <f t="shared" si="58"/>
        <v>-3447368956</v>
      </c>
      <c r="E1886" t="s">
        <v>8627</v>
      </c>
      <c r="F1886" t="s">
        <v>7948</v>
      </c>
      <c r="G1886" t="s">
        <v>7949</v>
      </c>
      <c r="H1886">
        <v>-1.24068</v>
      </c>
      <c r="I1886">
        <v>50.880938999999998</v>
      </c>
      <c r="J1886">
        <v>85</v>
      </c>
      <c r="K1886" t="s">
        <v>165</v>
      </c>
      <c r="L1886" t="s">
        <v>165</v>
      </c>
      <c r="M1886" t="s">
        <v>165</v>
      </c>
      <c r="N1886" t="s">
        <v>165</v>
      </c>
      <c r="O1886" t="s">
        <v>165</v>
      </c>
      <c r="P1886" t="s">
        <v>165</v>
      </c>
      <c r="Q1886" t="s">
        <v>7969</v>
      </c>
      <c r="R1886" t="s">
        <v>8628</v>
      </c>
      <c r="S1886" t="s">
        <v>8629</v>
      </c>
      <c r="U1886" t="s">
        <v>8630</v>
      </c>
    </row>
    <row r="1887" spans="1:21" x14ac:dyDescent="0.25">
      <c r="A1887" t="s">
        <v>8631</v>
      </c>
      <c r="B1887" t="s">
        <v>22</v>
      </c>
      <c r="C1887" t="s">
        <v>8632</v>
      </c>
      <c r="D1887">
        <f t="shared" si="58"/>
        <v>-3447368956</v>
      </c>
      <c r="E1887" t="s">
        <v>1226</v>
      </c>
      <c r="F1887" t="s">
        <v>7948</v>
      </c>
      <c r="G1887" t="s">
        <v>7949</v>
      </c>
      <c r="H1887">
        <v>-0.30495369999999999</v>
      </c>
      <c r="I1887">
        <v>51.460462</v>
      </c>
      <c r="J1887">
        <v>85</v>
      </c>
      <c r="K1887" t="s">
        <v>165</v>
      </c>
      <c r="L1887" t="s">
        <v>165</v>
      </c>
      <c r="M1887" t="s">
        <v>165</v>
      </c>
      <c r="N1887" t="s">
        <v>165</v>
      </c>
      <c r="O1887" t="s">
        <v>165</v>
      </c>
      <c r="P1887" t="s">
        <v>165</v>
      </c>
      <c r="Q1887" t="s">
        <v>564</v>
      </c>
      <c r="R1887" t="s">
        <v>1385</v>
      </c>
      <c r="S1887" t="s">
        <v>8633</v>
      </c>
      <c r="U1887" t="s">
        <v>8634</v>
      </c>
    </row>
    <row r="1888" spans="1:21" x14ac:dyDescent="0.25">
      <c r="A1888" t="s">
        <v>8635</v>
      </c>
      <c r="B1888" t="s">
        <v>38</v>
      </c>
      <c r="C1888" t="s">
        <v>8636</v>
      </c>
      <c r="D1888">
        <f t="shared" si="58"/>
        <v>-3447368956</v>
      </c>
      <c r="E1888" t="s">
        <v>8055</v>
      </c>
      <c r="F1888" t="s">
        <v>7948</v>
      </c>
      <c r="G1888" t="s">
        <v>7949</v>
      </c>
      <c r="H1888">
        <v>-0.73625564575195002</v>
      </c>
      <c r="I1888">
        <v>52.010245991010201</v>
      </c>
      <c r="J1888">
        <v>85</v>
      </c>
      <c r="K1888" t="s">
        <v>192</v>
      </c>
      <c r="L1888" t="s">
        <v>192</v>
      </c>
      <c r="M1888" t="s">
        <v>192</v>
      </c>
      <c r="N1888" t="s">
        <v>192</v>
      </c>
      <c r="O1888" t="s">
        <v>192</v>
      </c>
      <c r="P1888" t="s">
        <v>165</v>
      </c>
      <c r="Q1888" t="s">
        <v>564</v>
      </c>
      <c r="R1888" t="s">
        <v>8637</v>
      </c>
      <c r="S1888" t="s">
        <v>8638</v>
      </c>
      <c r="U1888" t="s">
        <v>8639</v>
      </c>
    </row>
    <row r="1889" spans="1:21" x14ac:dyDescent="0.25">
      <c r="A1889" t="s">
        <v>8640</v>
      </c>
      <c r="B1889" t="s">
        <v>38</v>
      </c>
      <c r="C1889" t="s">
        <v>8641</v>
      </c>
      <c r="D1889">
        <f t="shared" si="58"/>
        <v>-3447368956</v>
      </c>
      <c r="E1889" t="s">
        <v>8188</v>
      </c>
      <c r="F1889" t="s">
        <v>7948</v>
      </c>
      <c r="G1889" t="s">
        <v>7949</v>
      </c>
      <c r="H1889">
        <v>-1.66927814483643</v>
      </c>
      <c r="I1889">
        <v>54.9567228772802</v>
      </c>
      <c r="J1889">
        <v>85</v>
      </c>
      <c r="K1889" t="s">
        <v>536</v>
      </c>
      <c r="L1889" t="s">
        <v>536</v>
      </c>
      <c r="M1889" t="s">
        <v>536</v>
      </c>
      <c r="N1889" t="s">
        <v>536</v>
      </c>
      <c r="O1889" t="s">
        <v>536</v>
      </c>
      <c r="P1889" t="s">
        <v>535</v>
      </c>
      <c r="Q1889" t="s">
        <v>564</v>
      </c>
      <c r="R1889" t="s">
        <v>8642</v>
      </c>
      <c r="S1889" t="s">
        <v>8643</v>
      </c>
      <c r="U1889" t="s">
        <v>8644</v>
      </c>
    </row>
    <row r="1890" spans="1:21" x14ac:dyDescent="0.25">
      <c r="A1890" t="s">
        <v>8645</v>
      </c>
      <c r="B1890" t="s">
        <v>38</v>
      </c>
      <c r="C1890" t="s">
        <v>8646</v>
      </c>
      <c r="D1890">
        <f t="shared" si="58"/>
        <v>-3447368956</v>
      </c>
      <c r="E1890" t="s">
        <v>8647</v>
      </c>
      <c r="F1890" t="s">
        <v>7948</v>
      </c>
      <c r="G1890" t="s">
        <v>7949</v>
      </c>
      <c r="H1890">
        <v>-7.3185060000000002</v>
      </c>
      <c r="I1890">
        <v>54.995134</v>
      </c>
      <c r="J1890">
        <v>85</v>
      </c>
      <c r="K1890" t="s">
        <v>166</v>
      </c>
      <c r="L1890" t="s">
        <v>166</v>
      </c>
      <c r="M1890" t="s">
        <v>166</v>
      </c>
      <c r="N1890" t="s">
        <v>312</v>
      </c>
      <c r="O1890" t="s">
        <v>312</v>
      </c>
      <c r="P1890" t="s">
        <v>166</v>
      </c>
      <c r="Q1890" t="s">
        <v>8232</v>
      </c>
      <c r="R1890" t="s">
        <v>8648</v>
      </c>
      <c r="S1890" t="s">
        <v>8649</v>
      </c>
      <c r="U1890" t="s">
        <v>8650</v>
      </c>
    </row>
    <row r="1891" spans="1:21" x14ac:dyDescent="0.25">
      <c r="A1891" t="s">
        <v>8651</v>
      </c>
      <c r="B1891" t="s">
        <v>38</v>
      </c>
      <c r="C1891" t="s">
        <v>8652</v>
      </c>
      <c r="D1891">
        <f t="shared" si="58"/>
        <v>-3447368956</v>
      </c>
      <c r="E1891" t="s">
        <v>8653</v>
      </c>
      <c r="F1891" t="s">
        <v>7948</v>
      </c>
      <c r="G1891" t="s">
        <v>7949</v>
      </c>
      <c r="H1891">
        <v>-0.41617155075072998</v>
      </c>
      <c r="I1891">
        <v>51.879968194858698</v>
      </c>
      <c r="J1891">
        <v>85</v>
      </c>
      <c r="K1891" t="s">
        <v>166</v>
      </c>
      <c r="L1891" t="s">
        <v>166</v>
      </c>
      <c r="M1891" t="s">
        <v>166</v>
      </c>
      <c r="N1891" t="s">
        <v>165</v>
      </c>
      <c r="O1891" t="s">
        <v>166</v>
      </c>
      <c r="P1891" t="s">
        <v>166</v>
      </c>
      <c r="Q1891" t="s">
        <v>564</v>
      </c>
      <c r="R1891" t="s">
        <v>8654</v>
      </c>
      <c r="S1891" t="s">
        <v>8653</v>
      </c>
      <c r="U1891" t="s">
        <v>8655</v>
      </c>
    </row>
    <row r="1892" spans="1:21" x14ac:dyDescent="0.25">
      <c r="A1892" t="s">
        <v>8656</v>
      </c>
      <c r="B1892" t="s">
        <v>22</v>
      </c>
      <c r="C1892" t="s">
        <v>8657</v>
      </c>
      <c r="D1892">
        <f t="shared" si="58"/>
        <v>-3447368956</v>
      </c>
      <c r="E1892" t="s">
        <v>8658</v>
      </c>
      <c r="F1892" t="s">
        <v>7948</v>
      </c>
      <c r="G1892" t="s">
        <v>7949</v>
      </c>
      <c r="H1892">
        <v>0.71367144584655995</v>
      </c>
      <c r="I1892">
        <v>51.535511671322404</v>
      </c>
      <c r="J1892">
        <v>85</v>
      </c>
      <c r="K1892" t="s">
        <v>165</v>
      </c>
      <c r="L1892" t="s">
        <v>165</v>
      </c>
      <c r="M1892" t="s">
        <v>165</v>
      </c>
      <c r="N1892" t="s">
        <v>165</v>
      </c>
      <c r="O1892" t="s">
        <v>165</v>
      </c>
      <c r="P1892" t="s">
        <v>165</v>
      </c>
      <c r="Q1892" t="s">
        <v>564</v>
      </c>
      <c r="R1892" t="s">
        <v>8659</v>
      </c>
      <c r="S1892" t="s">
        <v>8660</v>
      </c>
      <c r="U1892" t="s">
        <v>8661</v>
      </c>
    </row>
    <row r="1893" spans="1:21" x14ac:dyDescent="0.25">
      <c r="A1893" t="s">
        <v>8662</v>
      </c>
      <c r="B1893" t="s">
        <v>38</v>
      </c>
      <c r="C1893" t="s">
        <v>8108</v>
      </c>
      <c r="E1893" t="s">
        <v>8108</v>
      </c>
      <c r="F1893" t="s">
        <v>7948</v>
      </c>
      <c r="G1893" t="s">
        <v>7949</v>
      </c>
      <c r="H1893">
        <v>-2.6980919000000001</v>
      </c>
      <c r="I1893">
        <v>53.7585044</v>
      </c>
      <c r="J1893">
        <v>85</v>
      </c>
      <c r="R1893" t="s">
        <v>8108</v>
      </c>
      <c r="U1893" t="s">
        <v>8663</v>
      </c>
    </row>
    <row r="1894" spans="1:21" x14ac:dyDescent="0.25">
      <c r="A1894" t="s">
        <v>8664</v>
      </c>
      <c r="B1894" t="s">
        <v>38</v>
      </c>
      <c r="C1894" t="s">
        <v>8665</v>
      </c>
      <c r="D1894">
        <f t="shared" ref="D1894:D1902" si="59">44-3447369000</f>
        <v>-3447368956</v>
      </c>
      <c r="E1894" t="s">
        <v>8002</v>
      </c>
      <c r="F1894" t="s">
        <v>7948</v>
      </c>
      <c r="G1894" t="s">
        <v>7949</v>
      </c>
      <c r="H1894">
        <v>1.3062815000000001</v>
      </c>
      <c r="I1894">
        <v>52.623791599999997</v>
      </c>
      <c r="J1894">
        <v>85</v>
      </c>
      <c r="K1894" t="s">
        <v>198</v>
      </c>
      <c r="L1894" t="s">
        <v>198</v>
      </c>
      <c r="M1894" t="s">
        <v>198</v>
      </c>
      <c r="N1894" t="s">
        <v>165</v>
      </c>
      <c r="O1894" t="s">
        <v>165</v>
      </c>
      <c r="P1894" t="s">
        <v>165</v>
      </c>
      <c r="Q1894" t="s">
        <v>7969</v>
      </c>
      <c r="R1894" t="s">
        <v>8666</v>
      </c>
      <c r="S1894" t="s">
        <v>8667</v>
      </c>
      <c r="U1894" t="s">
        <v>8668</v>
      </c>
    </row>
    <row r="1895" spans="1:21" x14ac:dyDescent="0.25">
      <c r="A1895" t="s">
        <v>8669</v>
      </c>
      <c r="B1895" t="s">
        <v>38</v>
      </c>
      <c r="C1895" t="s">
        <v>8670</v>
      </c>
      <c r="D1895">
        <f t="shared" si="59"/>
        <v>-3447368956</v>
      </c>
      <c r="E1895" t="s">
        <v>8671</v>
      </c>
      <c r="F1895" t="s">
        <v>7948</v>
      </c>
      <c r="G1895" t="s">
        <v>7949</v>
      </c>
      <c r="H1895">
        <v>-1.7961805</v>
      </c>
      <c r="I1895">
        <v>51.067606900000001</v>
      </c>
      <c r="J1895">
        <v>85</v>
      </c>
      <c r="K1895" t="s">
        <v>326</v>
      </c>
      <c r="L1895" t="s">
        <v>326</v>
      </c>
      <c r="M1895" t="s">
        <v>326</v>
      </c>
      <c r="N1895" t="s">
        <v>326</v>
      </c>
      <c r="O1895" t="s">
        <v>326</v>
      </c>
      <c r="P1895" t="s">
        <v>166</v>
      </c>
      <c r="Q1895" t="s">
        <v>564</v>
      </c>
      <c r="R1895" t="s">
        <v>8672</v>
      </c>
      <c r="U1895" t="s">
        <v>8673</v>
      </c>
    </row>
    <row r="1896" spans="1:21" x14ac:dyDescent="0.25">
      <c r="A1896" t="s">
        <v>8674</v>
      </c>
      <c r="B1896" t="s">
        <v>38</v>
      </c>
      <c r="C1896" t="s">
        <v>8675</v>
      </c>
      <c r="D1896">
        <f t="shared" si="59"/>
        <v>-3447368956</v>
      </c>
      <c r="E1896" t="s">
        <v>8676</v>
      </c>
      <c r="F1896" t="s">
        <v>7948</v>
      </c>
      <c r="G1896" t="s">
        <v>7949</v>
      </c>
      <c r="H1896">
        <v>-2.9757088</v>
      </c>
      <c r="I1896">
        <v>53.340840800000002</v>
      </c>
      <c r="J1896">
        <v>85</v>
      </c>
      <c r="K1896" t="s">
        <v>192</v>
      </c>
      <c r="L1896" t="s">
        <v>192</v>
      </c>
      <c r="M1896" t="s">
        <v>192</v>
      </c>
      <c r="N1896" t="s">
        <v>192</v>
      </c>
      <c r="O1896" t="s">
        <v>192</v>
      </c>
      <c r="P1896" t="s">
        <v>165</v>
      </c>
      <c r="Q1896" t="s">
        <v>7969</v>
      </c>
      <c r="R1896" t="s">
        <v>8677</v>
      </c>
      <c r="S1896" t="s">
        <v>8678</v>
      </c>
      <c r="U1896" t="s">
        <v>8679</v>
      </c>
    </row>
    <row r="1897" spans="1:21" x14ac:dyDescent="0.25">
      <c r="A1897" t="s">
        <v>8680</v>
      </c>
      <c r="B1897" t="s">
        <v>22</v>
      </c>
      <c r="C1897" t="s">
        <v>8681</v>
      </c>
      <c r="D1897">
        <f t="shared" si="59"/>
        <v>-3447368956</v>
      </c>
      <c r="E1897" t="s">
        <v>1226</v>
      </c>
      <c r="F1897" t="s">
        <v>7948</v>
      </c>
      <c r="G1897" t="s">
        <v>7949</v>
      </c>
      <c r="H1897">
        <v>-0.22641722460638999</v>
      </c>
      <c r="I1897">
        <v>51.492880895053702</v>
      </c>
      <c r="J1897">
        <v>85</v>
      </c>
      <c r="K1897" t="s">
        <v>192</v>
      </c>
      <c r="L1897" t="s">
        <v>192</v>
      </c>
      <c r="M1897" t="s">
        <v>192</v>
      </c>
      <c r="N1897" t="s">
        <v>192</v>
      </c>
      <c r="O1897" t="s">
        <v>192</v>
      </c>
      <c r="P1897" t="s">
        <v>192</v>
      </c>
      <c r="Q1897" t="s">
        <v>1492</v>
      </c>
      <c r="R1897" t="s">
        <v>8682</v>
      </c>
      <c r="S1897" t="s">
        <v>8683</v>
      </c>
      <c r="U1897" t="s">
        <v>8684</v>
      </c>
    </row>
    <row r="1898" spans="1:21" x14ac:dyDescent="0.25">
      <c r="A1898" t="s">
        <v>8685</v>
      </c>
      <c r="B1898" t="s">
        <v>38</v>
      </c>
      <c r="C1898" t="s">
        <v>8686</v>
      </c>
      <c r="D1898">
        <f t="shared" si="59"/>
        <v>-3447368956</v>
      </c>
      <c r="E1898" t="s">
        <v>8687</v>
      </c>
      <c r="F1898" t="s">
        <v>7948</v>
      </c>
      <c r="G1898" t="s">
        <v>7949</v>
      </c>
      <c r="H1898">
        <v>-4.1831250000000004</v>
      </c>
      <c r="I1898">
        <v>55.760032000000002</v>
      </c>
      <c r="J1898">
        <v>85</v>
      </c>
      <c r="K1898" t="s">
        <v>166</v>
      </c>
      <c r="L1898" t="s">
        <v>166</v>
      </c>
      <c r="M1898" t="s">
        <v>166</v>
      </c>
      <c r="N1898" t="s">
        <v>165</v>
      </c>
      <c r="O1898" t="s">
        <v>166</v>
      </c>
      <c r="P1898" t="s">
        <v>166</v>
      </c>
      <c r="Q1898" t="s">
        <v>428</v>
      </c>
      <c r="R1898" t="s">
        <v>8688</v>
      </c>
      <c r="S1898" t="s">
        <v>8689</v>
      </c>
      <c r="U1898" t="s">
        <v>8690</v>
      </c>
    </row>
    <row r="1899" spans="1:21" x14ac:dyDescent="0.25">
      <c r="A1899" t="s">
        <v>8691</v>
      </c>
      <c r="B1899" t="s">
        <v>38</v>
      </c>
      <c r="C1899" t="s">
        <v>8692</v>
      </c>
      <c r="D1899">
        <f t="shared" si="59"/>
        <v>-3447368956</v>
      </c>
      <c r="E1899" t="s">
        <v>8258</v>
      </c>
      <c r="F1899" t="s">
        <v>7948</v>
      </c>
      <c r="G1899" t="s">
        <v>7949</v>
      </c>
      <c r="H1899">
        <v>-5.9097340000000003</v>
      </c>
      <c r="I1899">
        <v>54.563741</v>
      </c>
      <c r="J1899">
        <v>85</v>
      </c>
      <c r="K1899" t="s">
        <v>312</v>
      </c>
      <c r="L1899" t="s">
        <v>312</v>
      </c>
      <c r="M1899" t="s">
        <v>312</v>
      </c>
      <c r="N1899" t="s">
        <v>3543</v>
      </c>
      <c r="O1899" t="s">
        <v>3543</v>
      </c>
      <c r="P1899" t="s">
        <v>165</v>
      </c>
      <c r="Q1899" t="s">
        <v>8232</v>
      </c>
      <c r="R1899" t="s">
        <v>8693</v>
      </c>
      <c r="S1899" t="s">
        <v>8694</v>
      </c>
      <c r="U1899" t="s">
        <v>8695</v>
      </c>
    </row>
    <row r="1900" spans="1:21" x14ac:dyDescent="0.25">
      <c r="A1900" t="s">
        <v>8696</v>
      </c>
      <c r="B1900" t="s">
        <v>38</v>
      </c>
      <c r="C1900" t="s">
        <v>8697</v>
      </c>
      <c r="D1900">
        <f t="shared" si="59"/>
        <v>-3447368956</v>
      </c>
      <c r="E1900" t="s">
        <v>8602</v>
      </c>
      <c r="F1900" t="s">
        <v>7948</v>
      </c>
      <c r="G1900" t="s">
        <v>7949</v>
      </c>
      <c r="H1900">
        <v>-2.9743476428092301</v>
      </c>
      <c r="I1900">
        <v>53.170159453546503</v>
      </c>
      <c r="J1900">
        <v>85</v>
      </c>
      <c r="K1900" t="s">
        <v>192</v>
      </c>
      <c r="L1900" t="s">
        <v>192</v>
      </c>
      <c r="M1900" t="s">
        <v>192</v>
      </c>
      <c r="N1900" t="s">
        <v>192</v>
      </c>
      <c r="O1900" t="s">
        <v>192</v>
      </c>
      <c r="P1900" t="s">
        <v>165</v>
      </c>
      <c r="Q1900" t="s">
        <v>564</v>
      </c>
      <c r="R1900" t="s">
        <v>8698</v>
      </c>
      <c r="S1900" t="s">
        <v>8602</v>
      </c>
      <c r="U1900" t="s">
        <v>8699</v>
      </c>
    </row>
    <row r="1901" spans="1:21" x14ac:dyDescent="0.25">
      <c r="A1901" t="s">
        <v>8700</v>
      </c>
      <c r="B1901" t="s">
        <v>38</v>
      </c>
      <c r="C1901" t="s">
        <v>8701</v>
      </c>
      <c r="D1901">
        <f t="shared" si="59"/>
        <v>-3447368956</v>
      </c>
      <c r="E1901" t="s">
        <v>8702</v>
      </c>
      <c r="F1901" t="s">
        <v>7948</v>
      </c>
      <c r="G1901" t="s">
        <v>7949</v>
      </c>
      <c r="H1901">
        <v>-1.70236587524414</v>
      </c>
      <c r="I1901">
        <v>52.627019786104803</v>
      </c>
      <c r="J1901">
        <v>85</v>
      </c>
      <c r="K1901" t="s">
        <v>192</v>
      </c>
      <c r="L1901" t="s">
        <v>192</v>
      </c>
      <c r="M1901" t="s">
        <v>192</v>
      </c>
      <c r="N1901" t="s">
        <v>192</v>
      </c>
      <c r="O1901" t="s">
        <v>192</v>
      </c>
      <c r="P1901" t="s">
        <v>165</v>
      </c>
      <c r="Q1901" t="s">
        <v>7969</v>
      </c>
      <c r="R1901" t="s">
        <v>8703</v>
      </c>
      <c r="S1901" t="s">
        <v>8704</v>
      </c>
      <c r="U1901" t="s">
        <v>8705</v>
      </c>
    </row>
    <row r="1902" spans="1:21" x14ac:dyDescent="0.25">
      <c r="A1902" t="s">
        <v>8706</v>
      </c>
      <c r="B1902" t="s">
        <v>38</v>
      </c>
      <c r="C1902" t="s">
        <v>8707</v>
      </c>
      <c r="D1902">
        <f t="shared" si="59"/>
        <v>-3447368956</v>
      </c>
      <c r="E1902" t="s">
        <v>8708</v>
      </c>
      <c r="F1902" t="s">
        <v>7948</v>
      </c>
      <c r="G1902" t="s">
        <v>7949</v>
      </c>
      <c r="H1902">
        <v>0.58113178769689999</v>
      </c>
      <c r="I1902">
        <v>50.857520126677898</v>
      </c>
      <c r="J1902">
        <v>85</v>
      </c>
      <c r="K1902" t="s">
        <v>166</v>
      </c>
      <c r="L1902" t="s">
        <v>166</v>
      </c>
      <c r="M1902" t="s">
        <v>166</v>
      </c>
      <c r="N1902" t="s">
        <v>166</v>
      </c>
      <c r="O1902" t="s">
        <v>166</v>
      </c>
      <c r="P1902" t="s">
        <v>166</v>
      </c>
      <c r="Q1902" t="s">
        <v>622</v>
      </c>
      <c r="R1902" t="s">
        <v>8709</v>
      </c>
      <c r="S1902" t="s">
        <v>8708</v>
      </c>
      <c r="U1902" t="s">
        <v>8710</v>
      </c>
    </row>
    <row r="1903" spans="1:21" x14ac:dyDescent="0.25">
      <c r="A1903" t="s">
        <v>8711</v>
      </c>
      <c r="B1903" t="s">
        <v>38</v>
      </c>
      <c r="C1903" t="s">
        <v>8712</v>
      </c>
      <c r="E1903" t="s">
        <v>8713</v>
      </c>
      <c r="F1903" t="s">
        <v>7948</v>
      </c>
      <c r="G1903" t="s">
        <v>7949</v>
      </c>
      <c r="H1903">
        <v>7.2581499999990001E-2</v>
      </c>
      <c r="I1903">
        <v>51.559163599999998</v>
      </c>
      <c r="J1903">
        <v>85</v>
      </c>
      <c r="R1903" t="s">
        <v>8712</v>
      </c>
      <c r="S1903" t="s">
        <v>8714</v>
      </c>
      <c r="U1903" t="s">
        <v>8715</v>
      </c>
    </row>
    <row r="1904" spans="1:21" x14ac:dyDescent="0.25">
      <c r="A1904" t="s">
        <v>8716</v>
      </c>
      <c r="B1904" t="s">
        <v>22</v>
      </c>
      <c r="C1904" t="s">
        <v>8717</v>
      </c>
      <c r="D1904">
        <f t="shared" ref="D1904:D1938" si="60">44-3447369000</f>
        <v>-3447368956</v>
      </c>
      <c r="E1904" t="s">
        <v>7947</v>
      </c>
      <c r="F1904" t="s">
        <v>7948</v>
      </c>
      <c r="G1904" t="s">
        <v>7949</v>
      </c>
      <c r="H1904">
        <v>-3.1886746957702599</v>
      </c>
      <c r="I1904">
        <v>55.955090020079503</v>
      </c>
      <c r="J1904">
        <v>85</v>
      </c>
      <c r="K1904" t="s">
        <v>192</v>
      </c>
      <c r="L1904" t="s">
        <v>192</v>
      </c>
      <c r="M1904" t="s">
        <v>192</v>
      </c>
      <c r="N1904" t="s">
        <v>192</v>
      </c>
      <c r="O1904" t="s">
        <v>192</v>
      </c>
      <c r="P1904" t="s">
        <v>192</v>
      </c>
      <c r="Q1904" t="s">
        <v>428</v>
      </c>
      <c r="R1904" t="s">
        <v>8717</v>
      </c>
      <c r="S1904" t="s">
        <v>8718</v>
      </c>
      <c r="U1904" t="s">
        <v>8719</v>
      </c>
    </row>
    <row r="1905" spans="1:21" x14ac:dyDescent="0.25">
      <c r="A1905" t="s">
        <v>8720</v>
      </c>
      <c r="B1905" t="s">
        <v>38</v>
      </c>
      <c r="C1905" t="s">
        <v>8721</v>
      </c>
      <c r="D1905">
        <f t="shared" si="60"/>
        <v>-3447368956</v>
      </c>
      <c r="E1905" t="s">
        <v>8188</v>
      </c>
      <c r="F1905" t="s">
        <v>7948</v>
      </c>
      <c r="G1905" t="s">
        <v>7949</v>
      </c>
      <c r="H1905">
        <v>-1.4926385879516599</v>
      </c>
      <c r="I1905">
        <v>55.011132004732303</v>
      </c>
      <c r="J1905">
        <v>85</v>
      </c>
      <c r="K1905" t="s">
        <v>45</v>
      </c>
      <c r="L1905" t="s">
        <v>45</v>
      </c>
      <c r="M1905" t="s">
        <v>45</v>
      </c>
      <c r="N1905" t="s">
        <v>45</v>
      </c>
      <c r="O1905" t="s">
        <v>45</v>
      </c>
      <c r="P1905" t="s">
        <v>535</v>
      </c>
      <c r="Q1905" t="s">
        <v>564</v>
      </c>
      <c r="R1905" t="s">
        <v>8722</v>
      </c>
      <c r="S1905" t="s">
        <v>8723</v>
      </c>
      <c r="U1905" t="s">
        <v>8724</v>
      </c>
    </row>
    <row r="1906" spans="1:21" x14ac:dyDescent="0.25">
      <c r="A1906" t="s">
        <v>8725</v>
      </c>
      <c r="B1906" t="s">
        <v>38</v>
      </c>
      <c r="C1906" t="s">
        <v>8726</v>
      </c>
      <c r="D1906">
        <f t="shared" si="60"/>
        <v>-3447368956</v>
      </c>
      <c r="E1906" t="s">
        <v>8727</v>
      </c>
      <c r="F1906" t="s">
        <v>7948</v>
      </c>
      <c r="G1906" t="s">
        <v>7949</v>
      </c>
      <c r="H1906">
        <v>-1.2129121227538899</v>
      </c>
      <c r="I1906">
        <v>54.684242758239201</v>
      </c>
      <c r="J1906">
        <v>85</v>
      </c>
      <c r="K1906" t="s">
        <v>442</v>
      </c>
      <c r="L1906" t="s">
        <v>442</v>
      </c>
      <c r="M1906" t="s">
        <v>442</v>
      </c>
      <c r="N1906" t="s">
        <v>442</v>
      </c>
      <c r="O1906" t="s">
        <v>442</v>
      </c>
      <c r="P1906" t="s">
        <v>442</v>
      </c>
      <c r="Q1906" t="s">
        <v>622</v>
      </c>
      <c r="R1906" t="s">
        <v>8728</v>
      </c>
      <c r="S1906" t="s">
        <v>8729</v>
      </c>
      <c r="U1906" t="s">
        <v>8730</v>
      </c>
    </row>
    <row r="1907" spans="1:21" x14ac:dyDescent="0.25">
      <c r="A1907" t="s">
        <v>8731</v>
      </c>
      <c r="B1907" t="s">
        <v>38</v>
      </c>
      <c r="C1907" t="s">
        <v>8732</v>
      </c>
      <c r="D1907">
        <f t="shared" si="60"/>
        <v>-3447368956</v>
      </c>
      <c r="E1907" t="s">
        <v>8733</v>
      </c>
      <c r="F1907" t="s">
        <v>7948</v>
      </c>
      <c r="G1907" t="s">
        <v>7949</v>
      </c>
      <c r="H1907">
        <v>-2.7369449042602101</v>
      </c>
      <c r="I1907">
        <v>53.4519660170008</v>
      </c>
      <c r="J1907">
        <v>85</v>
      </c>
      <c r="K1907" t="s">
        <v>442</v>
      </c>
      <c r="L1907" t="s">
        <v>442</v>
      </c>
      <c r="M1907" t="s">
        <v>442</v>
      </c>
      <c r="N1907" t="s">
        <v>442</v>
      </c>
      <c r="O1907" t="s">
        <v>442</v>
      </c>
      <c r="P1907" t="s">
        <v>442</v>
      </c>
      <c r="Q1907" t="s">
        <v>622</v>
      </c>
      <c r="R1907" t="s">
        <v>8734</v>
      </c>
      <c r="S1907" t="s">
        <v>8733</v>
      </c>
      <c r="U1907" t="s">
        <v>8735</v>
      </c>
    </row>
    <row r="1908" spans="1:21" x14ac:dyDescent="0.25">
      <c r="A1908" t="s">
        <v>8736</v>
      </c>
      <c r="B1908" t="s">
        <v>38</v>
      </c>
      <c r="C1908" t="s">
        <v>8737</v>
      </c>
      <c r="D1908">
        <f t="shared" si="60"/>
        <v>-3447368956</v>
      </c>
      <c r="E1908" t="s">
        <v>8738</v>
      </c>
      <c r="F1908" t="s">
        <v>7948</v>
      </c>
      <c r="G1908" t="s">
        <v>7949</v>
      </c>
      <c r="H1908">
        <v>-0.41925723797613001</v>
      </c>
      <c r="I1908">
        <v>53.8390067068012</v>
      </c>
      <c r="J1908">
        <v>85</v>
      </c>
      <c r="K1908" t="s">
        <v>442</v>
      </c>
      <c r="L1908" t="s">
        <v>442</v>
      </c>
      <c r="M1908" t="s">
        <v>442</v>
      </c>
      <c r="N1908" t="s">
        <v>442</v>
      </c>
      <c r="O1908" t="s">
        <v>442</v>
      </c>
      <c r="P1908" t="s">
        <v>442</v>
      </c>
      <c r="Q1908" t="s">
        <v>622</v>
      </c>
      <c r="R1908" t="s">
        <v>8739</v>
      </c>
      <c r="S1908" t="s">
        <v>8740</v>
      </c>
      <c r="U1908" t="s">
        <v>8741</v>
      </c>
    </row>
    <row r="1909" spans="1:21" x14ac:dyDescent="0.25">
      <c r="A1909" t="s">
        <v>8742</v>
      </c>
      <c r="B1909" t="s">
        <v>38</v>
      </c>
      <c r="C1909" t="s">
        <v>8743</v>
      </c>
      <c r="D1909">
        <f t="shared" si="60"/>
        <v>-3447368956</v>
      </c>
      <c r="E1909" t="s">
        <v>8617</v>
      </c>
      <c r="F1909" t="s">
        <v>7948</v>
      </c>
      <c r="G1909" t="s">
        <v>7949</v>
      </c>
      <c r="H1909">
        <v>-0.20237859999996999</v>
      </c>
      <c r="I1909">
        <v>51.902944499999997</v>
      </c>
      <c r="J1909">
        <v>85</v>
      </c>
      <c r="K1909" t="s">
        <v>442</v>
      </c>
      <c r="L1909" t="s">
        <v>442</v>
      </c>
      <c r="M1909" t="s">
        <v>442</v>
      </c>
      <c r="N1909" t="s">
        <v>442</v>
      </c>
      <c r="O1909" t="s">
        <v>442</v>
      </c>
      <c r="P1909" t="s">
        <v>442</v>
      </c>
      <c r="Q1909" t="s">
        <v>622</v>
      </c>
      <c r="R1909" t="s">
        <v>8744</v>
      </c>
      <c r="S1909" t="s">
        <v>8745</v>
      </c>
      <c r="U1909" t="s">
        <v>8746</v>
      </c>
    </row>
    <row r="1910" spans="1:21" x14ac:dyDescent="0.25">
      <c r="A1910" t="s">
        <v>8747</v>
      </c>
      <c r="B1910" t="s">
        <v>38</v>
      </c>
      <c r="C1910" t="s">
        <v>8748</v>
      </c>
      <c r="D1910">
        <f t="shared" si="60"/>
        <v>-3447368956</v>
      </c>
      <c r="E1910" t="s">
        <v>8749</v>
      </c>
      <c r="F1910" t="s">
        <v>7948</v>
      </c>
      <c r="G1910" t="s">
        <v>7949</v>
      </c>
      <c r="H1910">
        <v>0.28515049731448</v>
      </c>
      <c r="I1910">
        <v>50.7694192370639</v>
      </c>
      <c r="J1910">
        <v>85</v>
      </c>
      <c r="K1910" t="s">
        <v>442</v>
      </c>
      <c r="L1910" t="s">
        <v>442</v>
      </c>
      <c r="M1910" t="s">
        <v>442</v>
      </c>
      <c r="N1910" t="s">
        <v>442</v>
      </c>
      <c r="O1910" t="s">
        <v>442</v>
      </c>
      <c r="P1910" t="s">
        <v>442</v>
      </c>
      <c r="Q1910" t="s">
        <v>622</v>
      </c>
      <c r="R1910" t="s">
        <v>8750</v>
      </c>
      <c r="S1910" t="s">
        <v>8751</v>
      </c>
      <c r="U1910" t="s">
        <v>8752</v>
      </c>
    </row>
    <row r="1911" spans="1:21" x14ac:dyDescent="0.25">
      <c r="A1911" t="s">
        <v>8753</v>
      </c>
      <c r="B1911" t="s">
        <v>38</v>
      </c>
      <c r="C1911" t="s">
        <v>8754</v>
      </c>
      <c r="D1911">
        <f t="shared" si="60"/>
        <v>-3447368956</v>
      </c>
      <c r="E1911" t="s">
        <v>8755</v>
      </c>
      <c r="F1911" t="s">
        <v>7948</v>
      </c>
      <c r="G1911" t="s">
        <v>7949</v>
      </c>
      <c r="H1911">
        <v>0.39740395075682999</v>
      </c>
      <c r="I1911">
        <v>52.753926614015597</v>
      </c>
      <c r="J1911">
        <v>85</v>
      </c>
      <c r="K1911" t="s">
        <v>442</v>
      </c>
      <c r="L1911" t="s">
        <v>442</v>
      </c>
      <c r="M1911" t="s">
        <v>442</v>
      </c>
      <c r="N1911" t="s">
        <v>442</v>
      </c>
      <c r="O1911" t="s">
        <v>442</v>
      </c>
      <c r="P1911" t="s">
        <v>166</v>
      </c>
      <c r="Q1911" t="s">
        <v>622</v>
      </c>
      <c r="R1911" t="s">
        <v>8756</v>
      </c>
      <c r="S1911" t="s">
        <v>8757</v>
      </c>
      <c r="U1911" t="s">
        <v>8758</v>
      </c>
    </row>
    <row r="1912" spans="1:21" x14ac:dyDescent="0.25">
      <c r="A1912" t="s">
        <v>8759</v>
      </c>
      <c r="B1912" t="s">
        <v>38</v>
      </c>
      <c r="C1912" t="s">
        <v>8760</v>
      </c>
      <c r="D1912">
        <f t="shared" si="60"/>
        <v>-3447368956</v>
      </c>
      <c r="E1912" t="s">
        <v>8761</v>
      </c>
      <c r="F1912" t="s">
        <v>7948</v>
      </c>
      <c r="G1912" t="s">
        <v>7949</v>
      </c>
      <c r="H1912">
        <v>-0.33005932275387001</v>
      </c>
      <c r="I1912">
        <v>51.063578005548301</v>
      </c>
      <c r="J1912">
        <v>85</v>
      </c>
      <c r="K1912" t="s">
        <v>166</v>
      </c>
      <c r="L1912" t="s">
        <v>166</v>
      </c>
      <c r="M1912" t="s">
        <v>166</v>
      </c>
      <c r="N1912" t="s">
        <v>166</v>
      </c>
      <c r="O1912" t="s">
        <v>166</v>
      </c>
      <c r="P1912" t="s">
        <v>166</v>
      </c>
      <c r="Q1912" t="s">
        <v>7969</v>
      </c>
      <c r="R1912" t="s">
        <v>8762</v>
      </c>
      <c r="S1912" t="s">
        <v>8763</v>
      </c>
      <c r="U1912" t="s">
        <v>8764</v>
      </c>
    </row>
    <row r="1913" spans="1:21" x14ac:dyDescent="0.25">
      <c r="A1913" t="s">
        <v>8765</v>
      </c>
      <c r="B1913" t="s">
        <v>22</v>
      </c>
      <c r="C1913" t="s">
        <v>8766</v>
      </c>
      <c r="D1913">
        <f t="shared" si="60"/>
        <v>-3447368956</v>
      </c>
      <c r="E1913" t="s">
        <v>8767</v>
      </c>
      <c r="F1913" t="s">
        <v>7948</v>
      </c>
      <c r="G1913" t="s">
        <v>7949</v>
      </c>
      <c r="H1913">
        <v>-0.53914133596799996</v>
      </c>
      <c r="I1913">
        <v>53.228793402087902</v>
      </c>
      <c r="J1913">
        <v>85</v>
      </c>
      <c r="K1913" t="s">
        <v>659</v>
      </c>
      <c r="L1913" t="s">
        <v>659</v>
      </c>
      <c r="M1913" t="s">
        <v>659</v>
      </c>
      <c r="N1913" t="s">
        <v>659</v>
      </c>
      <c r="O1913" t="s">
        <v>659</v>
      </c>
      <c r="P1913" t="s">
        <v>659</v>
      </c>
      <c r="Q1913" t="s">
        <v>7969</v>
      </c>
      <c r="R1913" t="s">
        <v>8768</v>
      </c>
      <c r="S1913" t="s">
        <v>8769</v>
      </c>
      <c r="U1913" t="s">
        <v>8770</v>
      </c>
    </row>
    <row r="1914" spans="1:21" x14ac:dyDescent="0.25">
      <c r="A1914" t="s">
        <v>8771</v>
      </c>
      <c r="B1914" t="s">
        <v>38</v>
      </c>
      <c r="C1914" t="s">
        <v>8772</v>
      </c>
      <c r="D1914">
        <f t="shared" si="60"/>
        <v>-3447368956</v>
      </c>
      <c r="E1914" t="s">
        <v>8773</v>
      </c>
      <c r="F1914" t="s">
        <v>7948</v>
      </c>
      <c r="G1914" t="s">
        <v>7949</v>
      </c>
      <c r="H1914">
        <v>-0.75646908996577999</v>
      </c>
      <c r="I1914">
        <v>51.414434094756103</v>
      </c>
      <c r="J1914">
        <v>85</v>
      </c>
      <c r="K1914" t="s">
        <v>165</v>
      </c>
      <c r="L1914" t="s">
        <v>165</v>
      </c>
      <c r="M1914" t="s">
        <v>165</v>
      </c>
      <c r="N1914" t="s">
        <v>165</v>
      </c>
      <c r="O1914" t="s">
        <v>165</v>
      </c>
      <c r="P1914" t="s">
        <v>165</v>
      </c>
      <c r="Q1914" t="s">
        <v>564</v>
      </c>
      <c r="R1914" t="s">
        <v>8774</v>
      </c>
      <c r="S1914" t="s">
        <v>8773</v>
      </c>
      <c r="U1914" t="s">
        <v>8775</v>
      </c>
    </row>
    <row r="1915" spans="1:21" x14ac:dyDescent="0.25">
      <c r="A1915" t="s">
        <v>8776</v>
      </c>
      <c r="B1915" t="s">
        <v>38</v>
      </c>
      <c r="C1915" t="s">
        <v>8777</v>
      </c>
      <c r="D1915">
        <f t="shared" si="60"/>
        <v>-3447368956</v>
      </c>
      <c r="E1915" t="s">
        <v>8778</v>
      </c>
      <c r="F1915" t="s">
        <v>7948</v>
      </c>
      <c r="G1915" t="s">
        <v>7949</v>
      </c>
      <c r="H1915">
        <v>-2.0120258</v>
      </c>
      <c r="I1915">
        <v>52.537038799999998</v>
      </c>
      <c r="J1915">
        <v>85</v>
      </c>
      <c r="K1915" t="s">
        <v>192</v>
      </c>
      <c r="L1915" t="s">
        <v>192</v>
      </c>
      <c r="M1915" t="s">
        <v>192</v>
      </c>
      <c r="N1915" t="s">
        <v>192</v>
      </c>
      <c r="O1915" t="s">
        <v>192</v>
      </c>
      <c r="P1915" t="s">
        <v>165</v>
      </c>
      <c r="Q1915" t="s">
        <v>564</v>
      </c>
      <c r="R1915" t="s">
        <v>8779</v>
      </c>
      <c r="S1915" t="s">
        <v>8778</v>
      </c>
      <c r="U1915" t="s">
        <v>8780</v>
      </c>
    </row>
    <row r="1916" spans="1:21" x14ac:dyDescent="0.25">
      <c r="A1916" t="s">
        <v>8781</v>
      </c>
      <c r="B1916" t="s">
        <v>22</v>
      </c>
      <c r="C1916" t="s">
        <v>8782</v>
      </c>
      <c r="D1916">
        <f t="shared" si="60"/>
        <v>-3447368956</v>
      </c>
      <c r="E1916" t="s">
        <v>1226</v>
      </c>
      <c r="F1916" t="s">
        <v>7948</v>
      </c>
      <c r="G1916" t="s">
        <v>7949</v>
      </c>
      <c r="H1916">
        <v>-0.36446600953980002</v>
      </c>
      <c r="I1916">
        <v>51.467702567614197</v>
      </c>
      <c r="J1916">
        <v>85</v>
      </c>
      <c r="K1916" t="s">
        <v>166</v>
      </c>
      <c r="L1916" t="s">
        <v>166</v>
      </c>
      <c r="M1916" t="s">
        <v>166</v>
      </c>
      <c r="N1916" t="s">
        <v>165</v>
      </c>
      <c r="O1916" t="s">
        <v>166</v>
      </c>
      <c r="P1916" t="s">
        <v>166</v>
      </c>
      <c r="Q1916" t="s">
        <v>564</v>
      </c>
      <c r="R1916" t="s">
        <v>8783</v>
      </c>
      <c r="S1916" t="s">
        <v>8784</v>
      </c>
      <c r="U1916" t="s">
        <v>8785</v>
      </c>
    </row>
    <row r="1917" spans="1:21" x14ac:dyDescent="0.25">
      <c r="A1917" t="s">
        <v>8786</v>
      </c>
      <c r="B1917" t="s">
        <v>22</v>
      </c>
      <c r="C1917" t="s">
        <v>8787</v>
      </c>
      <c r="D1917">
        <f t="shared" si="60"/>
        <v>-3447368956</v>
      </c>
      <c r="E1917" t="s">
        <v>1348</v>
      </c>
      <c r="F1917" t="s">
        <v>7948</v>
      </c>
      <c r="G1917" t="s">
        <v>7949</v>
      </c>
      <c r="H1917">
        <v>-0.30445499999996001</v>
      </c>
      <c r="I1917">
        <v>51.411864199999997</v>
      </c>
      <c r="J1917">
        <v>85</v>
      </c>
      <c r="K1917" t="s">
        <v>262</v>
      </c>
      <c r="L1917" t="s">
        <v>262</v>
      </c>
      <c r="M1917" t="s">
        <v>262</v>
      </c>
      <c r="N1917" t="s">
        <v>185</v>
      </c>
      <c r="O1917" t="s">
        <v>262</v>
      </c>
      <c r="P1917" t="s">
        <v>184</v>
      </c>
      <c r="Q1917" t="s">
        <v>564</v>
      </c>
      <c r="R1917" t="s">
        <v>8788</v>
      </c>
      <c r="S1917" t="s">
        <v>1348</v>
      </c>
      <c r="U1917" t="s">
        <v>8789</v>
      </c>
    </row>
    <row r="1918" spans="1:21" x14ac:dyDescent="0.25">
      <c r="A1918" t="s">
        <v>8790</v>
      </c>
      <c r="B1918" t="s">
        <v>38</v>
      </c>
      <c r="C1918" t="s">
        <v>8791</v>
      </c>
      <c r="D1918">
        <f t="shared" si="60"/>
        <v>-3447368956</v>
      </c>
      <c r="E1918" t="s">
        <v>8792</v>
      </c>
      <c r="F1918" t="s">
        <v>7948</v>
      </c>
      <c r="G1918" t="s">
        <v>7949</v>
      </c>
      <c r="H1918">
        <v>-2.7190531759490599</v>
      </c>
      <c r="I1918">
        <v>52.058350671061802</v>
      </c>
      <c r="J1918">
        <v>85</v>
      </c>
      <c r="K1918" t="s">
        <v>326</v>
      </c>
      <c r="L1918" t="s">
        <v>326</v>
      </c>
      <c r="M1918" t="s">
        <v>326</v>
      </c>
      <c r="N1918" t="s">
        <v>166</v>
      </c>
      <c r="O1918" t="s">
        <v>166</v>
      </c>
      <c r="P1918" t="s">
        <v>166</v>
      </c>
      <c r="Q1918" t="s">
        <v>564</v>
      </c>
      <c r="R1918" t="s">
        <v>8793</v>
      </c>
      <c r="U1918" t="s">
        <v>8794</v>
      </c>
    </row>
    <row r="1919" spans="1:21" x14ac:dyDescent="0.25">
      <c r="A1919" t="s">
        <v>8795</v>
      </c>
      <c r="B1919" t="s">
        <v>38</v>
      </c>
      <c r="C1919" t="s">
        <v>8796</v>
      </c>
      <c r="D1919">
        <f t="shared" si="60"/>
        <v>-3447368956</v>
      </c>
      <c r="E1919" t="s">
        <v>8797</v>
      </c>
      <c r="F1919" t="s">
        <v>7948</v>
      </c>
      <c r="G1919" t="s">
        <v>7949</v>
      </c>
      <c r="H1919">
        <v>-0.16970833862307999</v>
      </c>
      <c r="I1919">
        <v>51.239731923501701</v>
      </c>
      <c r="J1919">
        <v>85</v>
      </c>
      <c r="K1919" t="s">
        <v>166</v>
      </c>
      <c r="L1919" t="s">
        <v>166</v>
      </c>
      <c r="M1919" t="s">
        <v>166</v>
      </c>
      <c r="N1919" t="s">
        <v>166</v>
      </c>
      <c r="O1919" t="s">
        <v>166</v>
      </c>
      <c r="P1919" t="s">
        <v>166</v>
      </c>
      <c r="Q1919" t="s">
        <v>7969</v>
      </c>
      <c r="R1919" t="s">
        <v>8798</v>
      </c>
      <c r="S1919" t="s">
        <v>1361</v>
      </c>
      <c r="U1919" t="s">
        <v>8799</v>
      </c>
    </row>
    <row r="1920" spans="1:21" x14ac:dyDescent="0.25">
      <c r="A1920" t="s">
        <v>8800</v>
      </c>
      <c r="B1920" t="s">
        <v>38</v>
      </c>
      <c r="C1920" t="s">
        <v>8801</v>
      </c>
      <c r="D1920">
        <f t="shared" si="60"/>
        <v>-3447368956</v>
      </c>
      <c r="E1920" t="s">
        <v>8802</v>
      </c>
      <c r="F1920" t="s">
        <v>7948</v>
      </c>
      <c r="G1920" t="s">
        <v>7949</v>
      </c>
      <c r="H1920">
        <v>-2.6297280222046302</v>
      </c>
      <c r="I1920">
        <v>50.941749133386097</v>
      </c>
      <c r="J1920">
        <v>85</v>
      </c>
      <c r="K1920" t="s">
        <v>1272</v>
      </c>
      <c r="L1920" t="s">
        <v>1272</v>
      </c>
      <c r="M1920" t="s">
        <v>1272</v>
      </c>
      <c r="N1920" t="s">
        <v>1272</v>
      </c>
      <c r="O1920" t="s">
        <v>1272</v>
      </c>
      <c r="P1920" t="s">
        <v>1272</v>
      </c>
      <c r="Q1920" t="s">
        <v>622</v>
      </c>
      <c r="R1920" t="s">
        <v>8803</v>
      </c>
      <c r="S1920" t="s">
        <v>8804</v>
      </c>
      <c r="U1920" t="s">
        <v>8805</v>
      </c>
    </row>
    <row r="1921" spans="1:21" x14ac:dyDescent="0.25">
      <c r="A1921" t="s">
        <v>8806</v>
      </c>
      <c r="B1921" t="s">
        <v>38</v>
      </c>
      <c r="C1921" t="s">
        <v>8807</v>
      </c>
      <c r="D1921">
        <f t="shared" si="60"/>
        <v>-3447368956</v>
      </c>
      <c r="E1921" t="s">
        <v>8808</v>
      </c>
      <c r="F1921" t="s">
        <v>7948</v>
      </c>
      <c r="G1921" t="s">
        <v>7949</v>
      </c>
      <c r="H1921">
        <v>-2.17577270000004</v>
      </c>
      <c r="I1921">
        <v>53.027887200000002</v>
      </c>
      <c r="J1921">
        <v>85</v>
      </c>
      <c r="K1921" t="s">
        <v>442</v>
      </c>
      <c r="L1921" t="s">
        <v>442</v>
      </c>
      <c r="M1921" t="s">
        <v>442</v>
      </c>
      <c r="N1921" t="s">
        <v>192</v>
      </c>
      <c r="O1921" t="s">
        <v>442</v>
      </c>
      <c r="P1921" t="s">
        <v>442</v>
      </c>
      <c r="Q1921" t="s">
        <v>7969</v>
      </c>
      <c r="R1921" t="s">
        <v>8809</v>
      </c>
      <c r="S1921" t="s">
        <v>8810</v>
      </c>
      <c r="U1921" t="s">
        <v>8811</v>
      </c>
    </row>
    <row r="1922" spans="1:21" x14ac:dyDescent="0.25">
      <c r="A1922" t="s">
        <v>8812</v>
      </c>
      <c r="B1922" t="s">
        <v>22</v>
      </c>
      <c r="C1922" t="s">
        <v>8813</v>
      </c>
      <c r="D1922">
        <f t="shared" si="60"/>
        <v>-3447368956</v>
      </c>
      <c r="E1922" t="s">
        <v>8814</v>
      </c>
      <c r="F1922" t="s">
        <v>7948</v>
      </c>
      <c r="G1922" t="s">
        <v>7949</v>
      </c>
      <c r="H1922">
        <v>-1.7840904901436301</v>
      </c>
      <c r="I1922">
        <v>51.562419474378899</v>
      </c>
      <c r="J1922">
        <v>85</v>
      </c>
      <c r="K1922" t="s">
        <v>166</v>
      </c>
      <c r="L1922" t="s">
        <v>166</v>
      </c>
      <c r="M1922" t="s">
        <v>166</v>
      </c>
      <c r="N1922" t="s">
        <v>166</v>
      </c>
      <c r="O1922" t="s">
        <v>166</v>
      </c>
      <c r="P1922" t="s">
        <v>166</v>
      </c>
      <c r="Q1922" t="s">
        <v>622</v>
      </c>
      <c r="R1922" t="s">
        <v>8815</v>
      </c>
      <c r="S1922" t="s">
        <v>8814</v>
      </c>
      <c r="U1922" t="s">
        <v>8816</v>
      </c>
    </row>
    <row r="1923" spans="1:21" x14ac:dyDescent="0.25">
      <c r="A1923" t="s">
        <v>8817</v>
      </c>
      <c r="B1923" t="s">
        <v>38</v>
      </c>
      <c r="C1923" t="s">
        <v>8818</v>
      </c>
      <c r="D1923">
        <f t="shared" si="60"/>
        <v>-3447368956</v>
      </c>
      <c r="E1923" t="s">
        <v>8819</v>
      </c>
      <c r="F1923" t="s">
        <v>7948</v>
      </c>
      <c r="G1923" t="s">
        <v>7949</v>
      </c>
      <c r="H1923">
        <v>0.16004458629141</v>
      </c>
      <c r="I1923">
        <v>51.8708916398677</v>
      </c>
      <c r="J1923">
        <v>85</v>
      </c>
      <c r="K1923" t="s">
        <v>442</v>
      </c>
      <c r="L1923" t="s">
        <v>442</v>
      </c>
      <c r="M1923" t="s">
        <v>442</v>
      </c>
      <c r="N1923" t="s">
        <v>442</v>
      </c>
      <c r="O1923" t="s">
        <v>442</v>
      </c>
      <c r="P1923" t="s">
        <v>442</v>
      </c>
      <c r="Q1923" t="s">
        <v>622</v>
      </c>
      <c r="R1923" t="s">
        <v>8820</v>
      </c>
      <c r="S1923" t="s">
        <v>8821</v>
      </c>
      <c r="U1923" t="s">
        <v>8822</v>
      </c>
    </row>
    <row r="1924" spans="1:21" x14ac:dyDescent="0.25">
      <c r="A1924" t="s">
        <v>8823</v>
      </c>
      <c r="B1924" t="s">
        <v>38</v>
      </c>
      <c r="C1924" t="s">
        <v>8824</v>
      </c>
      <c r="D1924">
        <f t="shared" si="60"/>
        <v>-3447368956</v>
      </c>
      <c r="E1924" t="s">
        <v>8825</v>
      </c>
      <c r="F1924" t="s">
        <v>7948</v>
      </c>
      <c r="G1924" t="s">
        <v>7949</v>
      </c>
      <c r="H1924">
        <v>-0.72258009999995998</v>
      </c>
      <c r="I1924">
        <v>51.521081899999999</v>
      </c>
      <c r="J1924">
        <v>85</v>
      </c>
      <c r="K1924" t="s">
        <v>166</v>
      </c>
      <c r="L1924" t="s">
        <v>166</v>
      </c>
      <c r="M1924" t="s">
        <v>166</v>
      </c>
      <c r="N1924" t="s">
        <v>166</v>
      </c>
      <c r="O1924" t="s">
        <v>166</v>
      </c>
      <c r="P1924" t="s">
        <v>166</v>
      </c>
      <c r="Q1924" t="s">
        <v>564</v>
      </c>
      <c r="R1924" t="s">
        <v>8826</v>
      </c>
      <c r="S1924" t="s">
        <v>8827</v>
      </c>
      <c r="U1924" t="s">
        <v>8828</v>
      </c>
    </row>
    <row r="1925" spans="1:21" x14ac:dyDescent="0.25">
      <c r="A1925" t="s">
        <v>8829</v>
      </c>
      <c r="B1925" t="s">
        <v>38</v>
      </c>
      <c r="C1925" t="s">
        <v>8830</v>
      </c>
      <c r="D1925">
        <f t="shared" si="60"/>
        <v>-3447368956</v>
      </c>
      <c r="E1925" t="s">
        <v>8831</v>
      </c>
      <c r="F1925" t="s">
        <v>7948</v>
      </c>
      <c r="G1925" t="s">
        <v>7949</v>
      </c>
      <c r="H1925">
        <v>-2.1133322049713601</v>
      </c>
      <c r="I1925">
        <v>52.805305049505101</v>
      </c>
      <c r="J1925">
        <v>85</v>
      </c>
      <c r="K1925" t="s">
        <v>1272</v>
      </c>
      <c r="L1925" t="s">
        <v>1272</v>
      </c>
      <c r="M1925" t="s">
        <v>1272</v>
      </c>
      <c r="N1925" t="s">
        <v>1272</v>
      </c>
      <c r="O1925" t="s">
        <v>1272</v>
      </c>
      <c r="P1925" t="s">
        <v>166</v>
      </c>
      <c r="Q1925" t="s">
        <v>7969</v>
      </c>
      <c r="R1925" t="s">
        <v>8832</v>
      </c>
      <c r="S1925" t="s">
        <v>8833</v>
      </c>
      <c r="U1925" t="s">
        <v>8834</v>
      </c>
    </row>
    <row r="1926" spans="1:21" x14ac:dyDescent="0.25">
      <c r="A1926" t="s">
        <v>8835</v>
      </c>
      <c r="B1926" t="s">
        <v>38</v>
      </c>
      <c r="C1926" t="s">
        <v>8836</v>
      </c>
      <c r="D1926">
        <f t="shared" si="60"/>
        <v>-3447368956</v>
      </c>
      <c r="E1926" t="s">
        <v>8837</v>
      </c>
      <c r="F1926" t="s">
        <v>7948</v>
      </c>
      <c r="G1926" t="s">
        <v>7949</v>
      </c>
      <c r="H1926">
        <v>-2.9928647876831702</v>
      </c>
      <c r="I1926">
        <v>51.585958269691602</v>
      </c>
      <c r="J1926">
        <v>85</v>
      </c>
      <c r="K1926" t="s">
        <v>326</v>
      </c>
      <c r="L1926" t="s">
        <v>326</v>
      </c>
      <c r="M1926" t="s">
        <v>326</v>
      </c>
      <c r="N1926" t="s">
        <v>326</v>
      </c>
      <c r="O1926" t="s">
        <v>326</v>
      </c>
      <c r="P1926" t="s">
        <v>326</v>
      </c>
      <c r="Q1926" t="s">
        <v>564</v>
      </c>
      <c r="R1926" t="s">
        <v>8838</v>
      </c>
      <c r="S1926" t="s">
        <v>8839</v>
      </c>
      <c r="U1926" t="s">
        <v>8840</v>
      </c>
    </row>
    <row r="1927" spans="1:21" x14ac:dyDescent="0.25">
      <c r="A1927" t="s">
        <v>8841</v>
      </c>
      <c r="B1927" t="s">
        <v>22</v>
      </c>
      <c r="C1927" t="s">
        <v>8842</v>
      </c>
      <c r="D1927">
        <f t="shared" si="60"/>
        <v>-3447368956</v>
      </c>
      <c r="E1927" t="s">
        <v>8843</v>
      </c>
      <c r="F1927" t="s">
        <v>7948</v>
      </c>
      <c r="G1927" t="s">
        <v>7949</v>
      </c>
      <c r="H1927">
        <v>-3.1749852482239498</v>
      </c>
      <c r="I1927">
        <v>51.479620571733101</v>
      </c>
      <c r="J1927">
        <v>85</v>
      </c>
      <c r="K1927" t="s">
        <v>185</v>
      </c>
      <c r="L1927" t="s">
        <v>185</v>
      </c>
      <c r="M1927" t="s">
        <v>185</v>
      </c>
      <c r="N1927" t="s">
        <v>185</v>
      </c>
      <c r="O1927" t="s">
        <v>185</v>
      </c>
      <c r="P1927" t="s">
        <v>184</v>
      </c>
      <c r="Q1927" t="s">
        <v>564</v>
      </c>
      <c r="R1927" t="s">
        <v>8844</v>
      </c>
      <c r="S1927" t="s">
        <v>8843</v>
      </c>
      <c r="U1927" t="s">
        <v>8845</v>
      </c>
    </row>
    <row r="1928" spans="1:21" x14ac:dyDescent="0.25">
      <c r="A1928" t="s">
        <v>8846</v>
      </c>
      <c r="B1928" t="s">
        <v>22</v>
      </c>
      <c r="C1928" t="s">
        <v>8847</v>
      </c>
      <c r="D1928">
        <f t="shared" si="60"/>
        <v>-3447368956</v>
      </c>
      <c r="E1928" t="s">
        <v>8848</v>
      </c>
      <c r="F1928" t="s">
        <v>7948</v>
      </c>
      <c r="G1928" t="s">
        <v>7949</v>
      </c>
      <c r="H1928">
        <v>-2.1279616931152501</v>
      </c>
      <c r="I1928">
        <v>52.584730622153401</v>
      </c>
      <c r="J1928">
        <v>85</v>
      </c>
      <c r="K1928" t="s">
        <v>1272</v>
      </c>
      <c r="L1928" t="s">
        <v>1272</v>
      </c>
      <c r="M1928" t="s">
        <v>1272</v>
      </c>
      <c r="N1928" t="s">
        <v>1272</v>
      </c>
      <c r="O1928" t="s">
        <v>1272</v>
      </c>
      <c r="P1928" t="s">
        <v>1272</v>
      </c>
      <c r="Q1928" t="s">
        <v>7969</v>
      </c>
      <c r="R1928" t="s">
        <v>8849</v>
      </c>
      <c r="S1928" t="s">
        <v>8850</v>
      </c>
      <c r="U1928" t="s">
        <v>8851</v>
      </c>
    </row>
    <row r="1929" spans="1:21" x14ac:dyDescent="0.25">
      <c r="A1929" t="s">
        <v>8852</v>
      </c>
      <c r="B1929" t="s">
        <v>38</v>
      </c>
      <c r="C1929" t="s">
        <v>8853</v>
      </c>
      <c r="D1929">
        <f t="shared" si="60"/>
        <v>-3447368956</v>
      </c>
      <c r="E1929" t="s">
        <v>7947</v>
      </c>
      <c r="F1929" t="s">
        <v>7948</v>
      </c>
      <c r="G1929" t="s">
        <v>7949</v>
      </c>
      <c r="H1929">
        <v>-3.1779687169189401</v>
      </c>
      <c r="I1929">
        <v>55.980679994862797</v>
      </c>
      <c r="J1929">
        <v>85</v>
      </c>
      <c r="K1929" t="s">
        <v>535</v>
      </c>
      <c r="L1929" t="s">
        <v>535</v>
      </c>
      <c r="M1929" t="s">
        <v>535</v>
      </c>
      <c r="N1929" t="s">
        <v>535</v>
      </c>
      <c r="O1929" t="s">
        <v>535</v>
      </c>
      <c r="P1929" t="s">
        <v>535</v>
      </c>
      <c r="Q1929" t="s">
        <v>428</v>
      </c>
      <c r="R1929" t="s">
        <v>8854</v>
      </c>
      <c r="S1929" t="s">
        <v>8855</v>
      </c>
      <c r="U1929" t="s">
        <v>8856</v>
      </c>
    </row>
    <row r="1930" spans="1:21" x14ac:dyDescent="0.25">
      <c r="A1930" t="s">
        <v>8857</v>
      </c>
      <c r="B1930" t="s">
        <v>38</v>
      </c>
      <c r="C1930" t="s">
        <v>8858</v>
      </c>
      <c r="D1930">
        <f t="shared" si="60"/>
        <v>-3447368956</v>
      </c>
      <c r="E1930" t="s">
        <v>8859</v>
      </c>
      <c r="F1930" t="s">
        <v>7948</v>
      </c>
      <c r="G1930" t="s">
        <v>7949</v>
      </c>
      <c r="H1930">
        <v>-0.62130568798829999</v>
      </c>
      <c r="I1930">
        <v>52.301408454779803</v>
      </c>
      <c r="J1930">
        <v>85</v>
      </c>
      <c r="K1930" t="s">
        <v>192</v>
      </c>
      <c r="L1930" t="s">
        <v>192</v>
      </c>
      <c r="M1930" t="s">
        <v>192</v>
      </c>
      <c r="N1930" t="s">
        <v>192</v>
      </c>
      <c r="O1930" t="s">
        <v>192</v>
      </c>
      <c r="P1930" t="s">
        <v>192</v>
      </c>
      <c r="Q1930" t="s">
        <v>564</v>
      </c>
      <c r="R1930" t="s">
        <v>8860</v>
      </c>
      <c r="S1930" t="s">
        <v>8861</v>
      </c>
      <c r="U1930" t="s">
        <v>8862</v>
      </c>
    </row>
    <row r="1931" spans="1:21" x14ac:dyDescent="0.25">
      <c r="A1931" t="s">
        <v>8863</v>
      </c>
      <c r="B1931" t="s">
        <v>38</v>
      </c>
      <c r="C1931" t="s">
        <v>8864</v>
      </c>
      <c r="D1931">
        <f t="shared" si="60"/>
        <v>-3447368956</v>
      </c>
      <c r="E1931" t="s">
        <v>8865</v>
      </c>
      <c r="F1931" t="s">
        <v>7948</v>
      </c>
      <c r="G1931" t="s">
        <v>7949</v>
      </c>
      <c r="H1931">
        <v>-1.2586831999999499</v>
      </c>
      <c r="I1931">
        <v>52.3886653</v>
      </c>
      <c r="J1931">
        <v>85</v>
      </c>
      <c r="K1931" t="s">
        <v>184</v>
      </c>
      <c r="L1931" t="s">
        <v>184</v>
      </c>
      <c r="M1931" t="s">
        <v>184</v>
      </c>
      <c r="N1931" t="s">
        <v>184</v>
      </c>
      <c r="O1931" t="s">
        <v>184</v>
      </c>
      <c r="P1931" t="s">
        <v>184</v>
      </c>
      <c r="Q1931" t="s">
        <v>564</v>
      </c>
      <c r="R1931" t="s">
        <v>8866</v>
      </c>
      <c r="S1931" t="s">
        <v>8867</v>
      </c>
      <c r="U1931" t="s">
        <v>8868</v>
      </c>
    </row>
    <row r="1932" spans="1:21" x14ac:dyDescent="0.25">
      <c r="A1932" t="s">
        <v>8869</v>
      </c>
      <c r="B1932" t="s">
        <v>38</v>
      </c>
      <c r="C1932" t="s">
        <v>8870</v>
      </c>
      <c r="D1932">
        <f t="shared" si="60"/>
        <v>-3447368956</v>
      </c>
      <c r="E1932" t="s">
        <v>8871</v>
      </c>
      <c r="F1932" t="s">
        <v>7948</v>
      </c>
      <c r="G1932" t="s">
        <v>7949</v>
      </c>
      <c r="H1932">
        <v>-0.20457169999996999</v>
      </c>
      <c r="I1932">
        <v>51.801206999999998</v>
      </c>
      <c r="J1932">
        <v>85</v>
      </c>
      <c r="K1932" t="s">
        <v>1272</v>
      </c>
      <c r="L1932" t="s">
        <v>1272</v>
      </c>
      <c r="M1932" t="s">
        <v>1272</v>
      </c>
      <c r="N1932" t="s">
        <v>1272</v>
      </c>
      <c r="O1932" t="s">
        <v>1272</v>
      </c>
      <c r="P1932" t="s">
        <v>166</v>
      </c>
      <c r="Q1932" t="s">
        <v>622</v>
      </c>
      <c r="R1932" t="s">
        <v>8872</v>
      </c>
      <c r="S1932" t="s">
        <v>8873</v>
      </c>
      <c r="U1932" t="s">
        <v>8874</v>
      </c>
    </row>
    <row r="1933" spans="1:21" x14ac:dyDescent="0.25">
      <c r="A1933" t="s">
        <v>8875</v>
      </c>
      <c r="B1933" t="s">
        <v>38</v>
      </c>
      <c r="C1933" t="s">
        <v>8876</v>
      </c>
      <c r="D1933">
        <f t="shared" si="60"/>
        <v>-3447368956</v>
      </c>
      <c r="E1933" t="s">
        <v>8877</v>
      </c>
      <c r="F1933" t="s">
        <v>7948</v>
      </c>
      <c r="G1933" t="s">
        <v>7949</v>
      </c>
      <c r="H1933">
        <v>-1.9809823597412299</v>
      </c>
      <c r="I1933">
        <v>50.718256308338802</v>
      </c>
      <c r="J1933">
        <v>85</v>
      </c>
      <c r="K1933" t="s">
        <v>166</v>
      </c>
      <c r="L1933" t="s">
        <v>166</v>
      </c>
      <c r="M1933" t="s">
        <v>166</v>
      </c>
      <c r="N1933" t="s">
        <v>166</v>
      </c>
      <c r="O1933" t="s">
        <v>166</v>
      </c>
      <c r="P1933" t="s">
        <v>166</v>
      </c>
      <c r="Q1933" t="s">
        <v>7969</v>
      </c>
      <c r="R1933" t="s">
        <v>8878</v>
      </c>
      <c r="U1933" t="s">
        <v>8879</v>
      </c>
    </row>
    <row r="1934" spans="1:21" x14ac:dyDescent="0.25">
      <c r="A1934" t="s">
        <v>8880</v>
      </c>
      <c r="B1934" t="s">
        <v>38</v>
      </c>
      <c r="C1934" t="s">
        <v>8881</v>
      </c>
      <c r="D1934">
        <f t="shared" si="60"/>
        <v>-3447368956</v>
      </c>
      <c r="E1934" t="s">
        <v>8713</v>
      </c>
      <c r="F1934" t="s">
        <v>7948</v>
      </c>
      <c r="G1934" t="s">
        <v>7949</v>
      </c>
      <c r="H1934">
        <v>7.1712702346759999E-2</v>
      </c>
      <c r="I1934">
        <v>51.559954156175202</v>
      </c>
      <c r="J1934">
        <v>85</v>
      </c>
      <c r="K1934" t="s">
        <v>166</v>
      </c>
      <c r="L1934" t="s">
        <v>166</v>
      </c>
      <c r="M1934" t="s">
        <v>166</v>
      </c>
      <c r="N1934" t="s">
        <v>166</v>
      </c>
      <c r="O1934" t="s">
        <v>166</v>
      </c>
      <c r="P1934" t="s">
        <v>166</v>
      </c>
      <c r="Q1934" t="s">
        <v>564</v>
      </c>
      <c r="R1934" t="s">
        <v>8882</v>
      </c>
      <c r="S1934" t="s">
        <v>8883</v>
      </c>
      <c r="U1934" t="s">
        <v>8884</v>
      </c>
    </row>
    <row r="1935" spans="1:21" x14ac:dyDescent="0.25">
      <c r="A1935" t="s">
        <v>8885</v>
      </c>
      <c r="B1935" t="s">
        <v>38</v>
      </c>
      <c r="C1935" t="s">
        <v>8886</v>
      </c>
      <c r="D1935">
        <f t="shared" si="60"/>
        <v>-3447368956</v>
      </c>
      <c r="E1935" t="s">
        <v>8887</v>
      </c>
      <c r="F1935" t="s">
        <v>7948</v>
      </c>
      <c r="G1935" t="s">
        <v>7949</v>
      </c>
      <c r="H1935">
        <v>-1.3530372088317799</v>
      </c>
      <c r="I1935">
        <v>50.966992813415203</v>
      </c>
      <c r="J1935">
        <v>85</v>
      </c>
      <c r="K1935" t="s">
        <v>442</v>
      </c>
      <c r="L1935" t="s">
        <v>442</v>
      </c>
      <c r="M1935" t="s">
        <v>442</v>
      </c>
      <c r="N1935" t="s">
        <v>442</v>
      </c>
      <c r="O1935" t="s">
        <v>442</v>
      </c>
      <c r="P1935" t="s">
        <v>442</v>
      </c>
      <c r="Q1935" t="s">
        <v>622</v>
      </c>
      <c r="R1935" t="s">
        <v>8888</v>
      </c>
      <c r="S1935" t="s">
        <v>8889</v>
      </c>
      <c r="U1935" t="s">
        <v>8890</v>
      </c>
    </row>
    <row r="1936" spans="1:21" x14ac:dyDescent="0.25">
      <c r="A1936" t="s">
        <v>8891</v>
      </c>
      <c r="B1936" t="s">
        <v>38</v>
      </c>
      <c r="C1936" t="s">
        <v>8892</v>
      </c>
      <c r="D1936">
        <f t="shared" si="60"/>
        <v>-3447368956</v>
      </c>
      <c r="E1936" t="s">
        <v>8893</v>
      </c>
      <c r="F1936" t="s">
        <v>7948</v>
      </c>
      <c r="G1936" t="s">
        <v>7949</v>
      </c>
      <c r="H1936">
        <v>-0.24436240000000001</v>
      </c>
      <c r="I1936">
        <v>52.074354499999998</v>
      </c>
      <c r="J1936">
        <v>85</v>
      </c>
      <c r="K1936" t="s">
        <v>192</v>
      </c>
      <c r="L1936" t="s">
        <v>192</v>
      </c>
      <c r="M1936" t="s">
        <v>192</v>
      </c>
      <c r="N1936" t="s">
        <v>192</v>
      </c>
      <c r="O1936" t="s">
        <v>192</v>
      </c>
      <c r="P1936" t="s">
        <v>165</v>
      </c>
      <c r="Q1936" t="s">
        <v>7969</v>
      </c>
      <c r="R1936" t="s">
        <v>8894</v>
      </c>
      <c r="S1936" t="s">
        <v>8895</v>
      </c>
      <c r="U1936" t="s">
        <v>8896</v>
      </c>
    </row>
    <row r="1937" spans="1:21" x14ac:dyDescent="0.25">
      <c r="A1937" t="s">
        <v>8897</v>
      </c>
      <c r="B1937" t="s">
        <v>22</v>
      </c>
      <c r="C1937" t="s">
        <v>8898</v>
      </c>
      <c r="D1937">
        <f t="shared" si="60"/>
        <v>-3447368956</v>
      </c>
      <c r="E1937" t="s">
        <v>8899</v>
      </c>
      <c r="F1937" t="s">
        <v>7948</v>
      </c>
      <c r="G1937" t="s">
        <v>7949</v>
      </c>
      <c r="H1937">
        <v>-1.7505585820007401</v>
      </c>
      <c r="I1937">
        <v>53.7949666581763</v>
      </c>
      <c r="J1937">
        <v>85</v>
      </c>
      <c r="K1937" t="s">
        <v>165</v>
      </c>
      <c r="L1937" t="s">
        <v>165</v>
      </c>
      <c r="M1937" t="s">
        <v>165</v>
      </c>
      <c r="N1937" t="s">
        <v>165</v>
      </c>
      <c r="O1937" t="s">
        <v>165</v>
      </c>
      <c r="P1937" t="s">
        <v>165</v>
      </c>
      <c r="Q1937" t="s">
        <v>564</v>
      </c>
      <c r="R1937" t="s">
        <v>8900</v>
      </c>
      <c r="S1937" t="s">
        <v>8901</v>
      </c>
      <c r="U1937" t="s">
        <v>8902</v>
      </c>
    </row>
    <row r="1938" spans="1:21" x14ac:dyDescent="0.25">
      <c r="A1938" t="s">
        <v>8903</v>
      </c>
      <c r="B1938" t="s">
        <v>38</v>
      </c>
      <c r="C1938" t="s">
        <v>8904</v>
      </c>
      <c r="D1938">
        <f t="shared" si="60"/>
        <v>-3447368956</v>
      </c>
      <c r="E1938" t="s">
        <v>8905</v>
      </c>
      <c r="F1938" t="s">
        <v>7948</v>
      </c>
      <c r="G1938" t="s">
        <v>7949</v>
      </c>
      <c r="H1938">
        <v>-1.3437725152442701</v>
      </c>
      <c r="I1938">
        <v>53.443986923095103</v>
      </c>
      <c r="J1938">
        <v>85</v>
      </c>
      <c r="K1938" t="s">
        <v>535</v>
      </c>
      <c r="L1938" t="s">
        <v>535</v>
      </c>
      <c r="M1938" t="s">
        <v>535</v>
      </c>
      <c r="N1938" t="s">
        <v>535</v>
      </c>
      <c r="O1938" t="s">
        <v>535</v>
      </c>
      <c r="P1938" t="s">
        <v>428</v>
      </c>
      <c r="Q1938" t="s">
        <v>7969</v>
      </c>
      <c r="R1938" t="s">
        <v>8906</v>
      </c>
      <c r="S1938" t="s">
        <v>8905</v>
      </c>
      <c r="U1938" t="s">
        <v>8907</v>
      </c>
    </row>
    <row r="1939" spans="1:21" x14ac:dyDescent="0.25">
      <c r="A1939" t="s">
        <v>8908</v>
      </c>
      <c r="B1939" t="s">
        <v>38</v>
      </c>
      <c r="C1939" t="s">
        <v>8909</v>
      </c>
      <c r="E1939" t="s">
        <v>8154</v>
      </c>
      <c r="F1939" t="s">
        <v>7948</v>
      </c>
      <c r="G1939" t="s">
        <v>7949</v>
      </c>
      <c r="H1939">
        <v>-1.0774284999999999</v>
      </c>
      <c r="I1939">
        <v>53.922157299999903</v>
      </c>
      <c r="J1939">
        <v>85</v>
      </c>
      <c r="R1939" t="s">
        <v>8909</v>
      </c>
      <c r="S1939" t="s">
        <v>8910</v>
      </c>
      <c r="U1939" t="s">
        <v>8911</v>
      </c>
    </row>
    <row r="1940" spans="1:21" x14ac:dyDescent="0.25">
      <c r="A1940" t="s">
        <v>8912</v>
      </c>
      <c r="B1940" t="s">
        <v>22</v>
      </c>
      <c r="C1940" t="s">
        <v>8913</v>
      </c>
      <c r="D1940">
        <f t="shared" ref="D1940:D1947" si="61">44-3447369000</f>
        <v>-3447368956</v>
      </c>
      <c r="E1940" t="s">
        <v>8914</v>
      </c>
      <c r="F1940" t="s">
        <v>7948</v>
      </c>
      <c r="G1940" t="s">
        <v>7949</v>
      </c>
      <c r="H1940">
        <v>-1.26092349314581</v>
      </c>
      <c r="I1940">
        <v>51.750745644818501</v>
      </c>
      <c r="J1940">
        <v>85</v>
      </c>
      <c r="K1940" t="s">
        <v>45</v>
      </c>
      <c r="L1940" t="s">
        <v>45</v>
      </c>
      <c r="M1940" t="s">
        <v>45</v>
      </c>
      <c r="N1940" t="s">
        <v>45</v>
      </c>
      <c r="O1940" t="s">
        <v>45</v>
      </c>
      <c r="P1940" t="s">
        <v>535</v>
      </c>
      <c r="Q1940" t="s">
        <v>564</v>
      </c>
      <c r="R1940" t="s">
        <v>8915</v>
      </c>
      <c r="U1940" t="s">
        <v>8916</v>
      </c>
    </row>
    <row r="1941" spans="1:21" x14ac:dyDescent="0.25">
      <c r="A1941" t="s">
        <v>8917</v>
      </c>
      <c r="B1941" t="s">
        <v>38</v>
      </c>
      <c r="C1941" t="s">
        <v>8918</v>
      </c>
      <c r="D1941">
        <f t="shared" si="61"/>
        <v>-3447368956</v>
      </c>
      <c r="E1941" t="s">
        <v>8919</v>
      </c>
      <c r="F1941" t="s">
        <v>7948</v>
      </c>
      <c r="G1941" t="s">
        <v>7949</v>
      </c>
      <c r="H1941">
        <v>-1.57373692584224</v>
      </c>
      <c r="I1941">
        <v>54.776735148975199</v>
      </c>
      <c r="J1941">
        <v>85</v>
      </c>
      <c r="K1941" t="s">
        <v>659</v>
      </c>
      <c r="L1941" t="s">
        <v>659</v>
      </c>
      <c r="M1941" t="s">
        <v>659</v>
      </c>
      <c r="N1941" t="s">
        <v>659</v>
      </c>
      <c r="O1941" t="s">
        <v>659</v>
      </c>
      <c r="P1941" t="s">
        <v>659</v>
      </c>
      <c r="Q1941" t="s">
        <v>564</v>
      </c>
      <c r="R1941" t="s">
        <v>8920</v>
      </c>
      <c r="S1941" t="s">
        <v>1361</v>
      </c>
      <c r="U1941" t="s">
        <v>8921</v>
      </c>
    </row>
    <row r="1942" spans="1:21" x14ac:dyDescent="0.25">
      <c r="A1942" t="s">
        <v>8922</v>
      </c>
      <c r="B1942" t="s">
        <v>32</v>
      </c>
      <c r="C1942" t="s">
        <v>8923</v>
      </c>
      <c r="D1942">
        <f t="shared" si="61"/>
        <v>-3447368956</v>
      </c>
      <c r="E1942" t="s">
        <v>8060</v>
      </c>
      <c r="F1942" t="s">
        <v>7948</v>
      </c>
      <c r="G1942" t="s">
        <v>7949</v>
      </c>
      <c r="H1942">
        <v>-1.890401</v>
      </c>
      <c r="I1942">
        <v>52.486242999999902</v>
      </c>
      <c r="J1942">
        <v>85</v>
      </c>
      <c r="K1942" t="s">
        <v>192</v>
      </c>
      <c r="L1942" t="s">
        <v>192</v>
      </c>
      <c r="M1942" t="s">
        <v>192</v>
      </c>
      <c r="N1942" t="s">
        <v>192</v>
      </c>
      <c r="O1942" t="s">
        <v>192</v>
      </c>
      <c r="P1942" t="s">
        <v>165</v>
      </c>
      <c r="Q1942" t="s">
        <v>564</v>
      </c>
      <c r="R1942" t="s">
        <v>8924</v>
      </c>
      <c r="U1942" t="s">
        <v>8925</v>
      </c>
    </row>
    <row r="1943" spans="1:21" x14ac:dyDescent="0.25">
      <c r="A1943" t="s">
        <v>8926</v>
      </c>
      <c r="B1943" t="s">
        <v>22</v>
      </c>
      <c r="C1943" t="s">
        <v>8927</v>
      </c>
      <c r="D1943">
        <f t="shared" si="61"/>
        <v>-3447368956</v>
      </c>
      <c r="E1943" t="s">
        <v>8928</v>
      </c>
      <c r="F1943" t="s">
        <v>7948</v>
      </c>
      <c r="G1943" t="s">
        <v>7949</v>
      </c>
      <c r="H1943">
        <v>-0.39323824340817998</v>
      </c>
      <c r="I1943">
        <v>51.654824994517199</v>
      </c>
      <c r="J1943">
        <v>85</v>
      </c>
      <c r="K1943" t="s">
        <v>166</v>
      </c>
      <c r="L1943" t="s">
        <v>166</v>
      </c>
      <c r="M1943" t="s">
        <v>166</v>
      </c>
      <c r="N1943" t="s">
        <v>165</v>
      </c>
      <c r="O1943" t="s">
        <v>165</v>
      </c>
      <c r="P1943" t="s">
        <v>165</v>
      </c>
      <c r="Q1943" t="s">
        <v>564</v>
      </c>
      <c r="R1943" t="s">
        <v>8929</v>
      </c>
      <c r="S1943" t="s">
        <v>8930</v>
      </c>
      <c r="U1943" t="s">
        <v>8931</v>
      </c>
    </row>
    <row r="1944" spans="1:21" x14ac:dyDescent="0.25">
      <c r="A1944" t="s">
        <v>8932</v>
      </c>
      <c r="B1944" t="s">
        <v>38</v>
      </c>
      <c r="C1944" t="s">
        <v>8933</v>
      </c>
      <c r="D1944">
        <f t="shared" si="61"/>
        <v>-3447368956</v>
      </c>
      <c r="E1944" t="s">
        <v>8934</v>
      </c>
      <c r="F1944" t="s">
        <v>7948</v>
      </c>
      <c r="G1944" t="s">
        <v>7949</v>
      </c>
      <c r="H1944">
        <v>-1.38874547021487</v>
      </c>
      <c r="I1944">
        <v>53.506713525176501</v>
      </c>
      <c r="J1944">
        <v>85</v>
      </c>
      <c r="K1944" t="s">
        <v>535</v>
      </c>
      <c r="L1944" t="s">
        <v>535</v>
      </c>
      <c r="M1944" t="s">
        <v>535</v>
      </c>
      <c r="N1944" t="s">
        <v>535</v>
      </c>
      <c r="O1944" t="s">
        <v>535</v>
      </c>
      <c r="P1944" t="s">
        <v>535</v>
      </c>
      <c r="Q1944" t="s">
        <v>7969</v>
      </c>
      <c r="R1944" t="s">
        <v>8935</v>
      </c>
      <c r="S1944" t="s">
        <v>8936</v>
      </c>
      <c r="U1944" t="s">
        <v>8937</v>
      </c>
    </row>
    <row r="1945" spans="1:21" x14ac:dyDescent="0.25">
      <c r="A1945" t="s">
        <v>8938</v>
      </c>
      <c r="B1945" t="s">
        <v>38</v>
      </c>
      <c r="C1945" t="s">
        <v>8939</v>
      </c>
      <c r="D1945">
        <f t="shared" si="61"/>
        <v>-3447368956</v>
      </c>
      <c r="E1945" t="s">
        <v>8014</v>
      </c>
      <c r="F1945" t="s">
        <v>7948</v>
      </c>
      <c r="G1945" t="s">
        <v>7949</v>
      </c>
      <c r="H1945">
        <v>-1.42477310541381</v>
      </c>
      <c r="I1945">
        <v>53.800185120370799</v>
      </c>
      <c r="J1945">
        <v>85</v>
      </c>
      <c r="K1945" t="s">
        <v>45</v>
      </c>
      <c r="L1945" t="s">
        <v>45</v>
      </c>
      <c r="M1945" t="s">
        <v>45</v>
      </c>
      <c r="N1945" t="s">
        <v>45</v>
      </c>
      <c r="O1945" t="s">
        <v>45</v>
      </c>
      <c r="P1945" t="s">
        <v>535</v>
      </c>
      <c r="Q1945" t="s">
        <v>564</v>
      </c>
      <c r="R1945" t="s">
        <v>8940</v>
      </c>
      <c r="U1945" t="s">
        <v>8941</v>
      </c>
    </row>
    <row r="1946" spans="1:21" x14ac:dyDescent="0.25">
      <c r="A1946" t="s">
        <v>8942</v>
      </c>
      <c r="B1946" t="s">
        <v>22</v>
      </c>
      <c r="C1946" t="s">
        <v>8943</v>
      </c>
      <c r="D1946">
        <f t="shared" si="61"/>
        <v>-3447368956</v>
      </c>
      <c r="E1946" t="s">
        <v>1226</v>
      </c>
      <c r="F1946" t="s">
        <v>7948</v>
      </c>
      <c r="G1946" t="s">
        <v>7949</v>
      </c>
      <c r="H1946">
        <v>-0.12524775236215999</v>
      </c>
      <c r="I1946">
        <v>51.513206936849699</v>
      </c>
      <c r="J1946">
        <v>85</v>
      </c>
      <c r="K1946" t="s">
        <v>536</v>
      </c>
      <c r="L1946" t="s">
        <v>536</v>
      </c>
      <c r="M1946" t="s">
        <v>536</v>
      </c>
      <c r="N1946" t="s">
        <v>536</v>
      </c>
      <c r="O1946" t="s">
        <v>536</v>
      </c>
      <c r="P1946" t="s">
        <v>536</v>
      </c>
      <c r="Q1946" t="s">
        <v>1492</v>
      </c>
      <c r="R1946" t="s">
        <v>8944</v>
      </c>
      <c r="S1946" t="s">
        <v>8945</v>
      </c>
      <c r="U1946" t="s">
        <v>8946</v>
      </c>
    </row>
    <row r="1947" spans="1:21" x14ac:dyDescent="0.25">
      <c r="A1947" t="s">
        <v>8947</v>
      </c>
      <c r="B1947" t="s">
        <v>22</v>
      </c>
      <c r="C1947" t="s">
        <v>8948</v>
      </c>
      <c r="D1947">
        <f t="shared" si="61"/>
        <v>-3447368956</v>
      </c>
      <c r="E1947" t="s">
        <v>1332</v>
      </c>
      <c r="F1947" t="s">
        <v>7948</v>
      </c>
      <c r="G1947" t="s">
        <v>7949</v>
      </c>
      <c r="H1947">
        <v>-0.24499309580074</v>
      </c>
      <c r="I1947">
        <v>52.573932536915002</v>
      </c>
      <c r="J1947">
        <v>85</v>
      </c>
      <c r="K1947" t="s">
        <v>166</v>
      </c>
      <c r="L1947" t="s">
        <v>166</v>
      </c>
      <c r="M1947" t="s">
        <v>166</v>
      </c>
      <c r="N1947" t="s">
        <v>192</v>
      </c>
      <c r="O1947" t="s">
        <v>166</v>
      </c>
      <c r="P1947" t="s">
        <v>166</v>
      </c>
      <c r="Q1947" t="s">
        <v>7969</v>
      </c>
      <c r="R1947" t="s">
        <v>8388</v>
      </c>
      <c r="S1947" t="s">
        <v>8949</v>
      </c>
      <c r="U1947" t="s">
        <v>8950</v>
      </c>
    </row>
    <row r="1948" spans="1:21" x14ac:dyDescent="0.25">
      <c r="A1948" t="s">
        <v>8951</v>
      </c>
      <c r="B1948" t="s">
        <v>38</v>
      </c>
      <c r="C1948" t="s">
        <v>8952</v>
      </c>
      <c r="D1948">
        <f>44-344736900</f>
        <v>-344736856</v>
      </c>
      <c r="E1948" t="s">
        <v>8953</v>
      </c>
      <c r="F1948" t="s">
        <v>7948</v>
      </c>
      <c r="G1948" t="s">
        <v>7949</v>
      </c>
      <c r="H1948">
        <v>-3.3816460000000501</v>
      </c>
      <c r="I1948">
        <v>51.748729999999902</v>
      </c>
      <c r="J1948">
        <v>85</v>
      </c>
      <c r="K1948" t="s">
        <v>165</v>
      </c>
      <c r="L1948" t="s">
        <v>165</v>
      </c>
      <c r="M1948" t="s">
        <v>165</v>
      </c>
      <c r="N1948" t="s">
        <v>192</v>
      </c>
      <c r="O1948" t="s">
        <v>192</v>
      </c>
      <c r="P1948" t="s">
        <v>166</v>
      </c>
      <c r="Q1948" t="s">
        <v>564</v>
      </c>
      <c r="R1948" t="s">
        <v>8954</v>
      </c>
      <c r="S1948" t="s">
        <v>8953</v>
      </c>
      <c r="U1948" t="s">
        <v>8955</v>
      </c>
    </row>
    <row r="1949" spans="1:21" x14ac:dyDescent="0.25">
      <c r="A1949" t="s">
        <v>8956</v>
      </c>
      <c r="B1949" t="s">
        <v>38</v>
      </c>
      <c r="C1949" t="s">
        <v>8957</v>
      </c>
      <c r="D1949">
        <f t="shared" ref="D1949:D1967" si="62">44-3447369000</f>
        <v>-3447368956</v>
      </c>
      <c r="E1949" t="s">
        <v>8958</v>
      </c>
      <c r="F1949" t="s">
        <v>7948</v>
      </c>
      <c r="G1949" t="s">
        <v>7949</v>
      </c>
      <c r="H1949">
        <v>-1.237004</v>
      </c>
      <c r="I1949">
        <v>51.607458999999999</v>
      </c>
      <c r="J1949">
        <v>85</v>
      </c>
      <c r="K1949" t="s">
        <v>166</v>
      </c>
      <c r="L1949" t="s">
        <v>166</v>
      </c>
      <c r="M1949" t="s">
        <v>166</v>
      </c>
      <c r="N1949" t="s">
        <v>166</v>
      </c>
      <c r="O1949" t="s">
        <v>166</v>
      </c>
      <c r="P1949" t="s">
        <v>165</v>
      </c>
      <c r="Q1949" t="s">
        <v>564</v>
      </c>
      <c r="R1949" t="s">
        <v>8959</v>
      </c>
      <c r="U1949" t="s">
        <v>8960</v>
      </c>
    </row>
    <row r="1950" spans="1:21" x14ac:dyDescent="0.25">
      <c r="A1950" t="s">
        <v>8961</v>
      </c>
      <c r="B1950" t="s">
        <v>32</v>
      </c>
      <c r="C1950" t="s">
        <v>8962</v>
      </c>
      <c r="D1950">
        <f t="shared" si="62"/>
        <v>-3447368956</v>
      </c>
      <c r="E1950" t="s">
        <v>8338</v>
      </c>
      <c r="F1950" t="s">
        <v>7948</v>
      </c>
      <c r="G1950" t="s">
        <v>7949</v>
      </c>
      <c r="H1950">
        <v>-4.2535333426055804</v>
      </c>
      <c r="I1950">
        <v>55.862746885789598</v>
      </c>
      <c r="J1950">
        <v>85</v>
      </c>
      <c r="K1950" t="s">
        <v>192</v>
      </c>
      <c r="L1950" t="s">
        <v>192</v>
      </c>
      <c r="M1950" t="s">
        <v>192</v>
      </c>
      <c r="N1950" t="s">
        <v>192</v>
      </c>
      <c r="O1950" t="s">
        <v>192</v>
      </c>
      <c r="P1950" t="s">
        <v>192</v>
      </c>
      <c r="Q1950" t="s">
        <v>535</v>
      </c>
      <c r="R1950" t="s">
        <v>8963</v>
      </c>
      <c r="S1950" t="s">
        <v>8964</v>
      </c>
      <c r="U1950" t="s">
        <v>8965</v>
      </c>
    </row>
    <row r="1951" spans="1:21" x14ac:dyDescent="0.25">
      <c r="A1951" t="s">
        <v>8966</v>
      </c>
      <c r="B1951" t="s">
        <v>22</v>
      </c>
      <c r="C1951" t="s">
        <v>8967</v>
      </c>
      <c r="D1951">
        <f t="shared" si="62"/>
        <v>-3447368956</v>
      </c>
      <c r="E1951" t="s">
        <v>8075</v>
      </c>
      <c r="F1951" t="s">
        <v>7948</v>
      </c>
      <c r="G1951" t="s">
        <v>7949</v>
      </c>
      <c r="H1951">
        <v>-1.4717157830810901</v>
      </c>
      <c r="I1951">
        <v>53.377685856915001</v>
      </c>
      <c r="J1951">
        <v>85</v>
      </c>
      <c r="K1951" t="s">
        <v>535</v>
      </c>
      <c r="L1951" t="s">
        <v>535</v>
      </c>
      <c r="M1951" t="s">
        <v>535</v>
      </c>
      <c r="N1951" t="s">
        <v>535</v>
      </c>
      <c r="O1951" t="s">
        <v>535</v>
      </c>
      <c r="P1951" t="s">
        <v>535</v>
      </c>
      <c r="Q1951" t="s">
        <v>564</v>
      </c>
      <c r="R1951" t="s">
        <v>8968</v>
      </c>
      <c r="U1951" t="s">
        <v>8969</v>
      </c>
    </row>
    <row r="1952" spans="1:21" x14ac:dyDescent="0.25">
      <c r="A1952" t="s">
        <v>8970</v>
      </c>
      <c r="B1952" t="s">
        <v>38</v>
      </c>
      <c r="C1952" t="s">
        <v>8971</v>
      </c>
      <c r="D1952">
        <f t="shared" si="62"/>
        <v>-3447368956</v>
      </c>
      <c r="E1952" t="s">
        <v>1226</v>
      </c>
      <c r="F1952" t="s">
        <v>7948</v>
      </c>
      <c r="G1952" t="s">
        <v>7949</v>
      </c>
      <c r="H1952">
        <v>-0.20290306776121</v>
      </c>
      <c r="I1952">
        <v>51.655649410659699</v>
      </c>
      <c r="J1952">
        <v>85</v>
      </c>
      <c r="K1952" t="s">
        <v>166</v>
      </c>
      <c r="L1952" t="s">
        <v>166</v>
      </c>
      <c r="M1952" t="s">
        <v>166</v>
      </c>
      <c r="N1952" t="s">
        <v>166</v>
      </c>
      <c r="O1952" t="s">
        <v>166</v>
      </c>
      <c r="P1952" t="s">
        <v>166</v>
      </c>
      <c r="Q1952" t="s">
        <v>564</v>
      </c>
      <c r="R1952" t="s">
        <v>8972</v>
      </c>
      <c r="S1952" t="s">
        <v>8973</v>
      </c>
      <c r="U1952" t="s">
        <v>8974</v>
      </c>
    </row>
    <row r="1953" spans="1:21" x14ac:dyDescent="0.25">
      <c r="A1953" t="s">
        <v>8975</v>
      </c>
      <c r="B1953" t="s">
        <v>38</v>
      </c>
      <c r="C1953" t="s">
        <v>8976</v>
      </c>
      <c r="D1953">
        <f t="shared" si="62"/>
        <v>-3447368956</v>
      </c>
      <c r="E1953" t="s">
        <v>8977</v>
      </c>
      <c r="F1953" t="s">
        <v>7948</v>
      </c>
      <c r="G1953" t="s">
        <v>7949</v>
      </c>
      <c r="H1953">
        <v>-2.4452579999999702</v>
      </c>
      <c r="I1953">
        <v>52.678418999999998</v>
      </c>
      <c r="J1953">
        <v>85</v>
      </c>
      <c r="K1953" t="s">
        <v>166</v>
      </c>
      <c r="L1953" t="s">
        <v>166</v>
      </c>
      <c r="M1953" t="s">
        <v>166</v>
      </c>
      <c r="N1953" t="s">
        <v>192</v>
      </c>
      <c r="O1953" t="s">
        <v>166</v>
      </c>
      <c r="P1953" t="s">
        <v>166</v>
      </c>
      <c r="Q1953" t="s">
        <v>7969</v>
      </c>
      <c r="R1953" t="s">
        <v>8978</v>
      </c>
      <c r="S1953" t="s">
        <v>8979</v>
      </c>
      <c r="U1953" t="s">
        <v>8980</v>
      </c>
    </row>
    <row r="1954" spans="1:21" x14ac:dyDescent="0.25">
      <c r="A1954" t="s">
        <v>8981</v>
      </c>
      <c r="B1954" t="s">
        <v>38</v>
      </c>
      <c r="C1954" t="s">
        <v>8982</v>
      </c>
      <c r="D1954">
        <f t="shared" si="62"/>
        <v>-3447368956</v>
      </c>
      <c r="E1954" t="s">
        <v>1226</v>
      </c>
      <c r="F1954" t="s">
        <v>7948</v>
      </c>
      <c r="G1954" t="s">
        <v>7949</v>
      </c>
      <c r="H1954">
        <v>-0.40550000000000003</v>
      </c>
      <c r="I1954">
        <v>51.5167</v>
      </c>
      <c r="J1954">
        <v>85</v>
      </c>
      <c r="K1954" t="s">
        <v>192</v>
      </c>
      <c r="L1954" t="s">
        <v>192</v>
      </c>
      <c r="M1954" t="s">
        <v>192</v>
      </c>
      <c r="N1954" t="s">
        <v>192</v>
      </c>
      <c r="O1954" t="s">
        <v>192</v>
      </c>
      <c r="P1954" t="s">
        <v>192</v>
      </c>
      <c r="Q1954" t="s">
        <v>564</v>
      </c>
      <c r="R1954" t="s">
        <v>8983</v>
      </c>
      <c r="S1954" t="s">
        <v>8984</v>
      </c>
      <c r="U1954" t="s">
        <v>8985</v>
      </c>
    </row>
    <row r="1955" spans="1:21" x14ac:dyDescent="0.25">
      <c r="A1955" t="s">
        <v>8986</v>
      </c>
      <c r="B1955" t="s">
        <v>38</v>
      </c>
      <c r="C1955" t="s">
        <v>8987</v>
      </c>
      <c r="D1955">
        <f t="shared" si="62"/>
        <v>-3447368956</v>
      </c>
      <c r="E1955" t="s">
        <v>8988</v>
      </c>
      <c r="F1955" t="s">
        <v>7948</v>
      </c>
      <c r="G1955" t="s">
        <v>7949</v>
      </c>
      <c r="H1955">
        <v>-2.1546408782959401</v>
      </c>
      <c r="I1955">
        <v>53.617631203515003</v>
      </c>
      <c r="J1955">
        <v>85</v>
      </c>
      <c r="K1955" t="s">
        <v>165</v>
      </c>
      <c r="L1955" t="s">
        <v>165</v>
      </c>
      <c r="M1955" t="s">
        <v>165</v>
      </c>
      <c r="N1955" t="s">
        <v>165</v>
      </c>
      <c r="O1955" t="s">
        <v>165</v>
      </c>
      <c r="P1955" t="s">
        <v>166</v>
      </c>
      <c r="Q1955" t="s">
        <v>564</v>
      </c>
      <c r="R1955" t="s">
        <v>8989</v>
      </c>
      <c r="S1955" t="s">
        <v>8990</v>
      </c>
      <c r="U1955" t="s">
        <v>8991</v>
      </c>
    </row>
    <row r="1956" spans="1:21" x14ac:dyDescent="0.25">
      <c r="A1956" t="s">
        <v>8992</v>
      </c>
      <c r="B1956" t="s">
        <v>38</v>
      </c>
      <c r="C1956" t="s">
        <v>8993</v>
      </c>
      <c r="D1956">
        <f t="shared" si="62"/>
        <v>-3447368956</v>
      </c>
      <c r="E1956" t="s">
        <v>8994</v>
      </c>
      <c r="F1956" t="s">
        <v>7948</v>
      </c>
      <c r="G1956" t="s">
        <v>7949</v>
      </c>
      <c r="H1956">
        <v>-0.72708399336238005</v>
      </c>
      <c r="I1956">
        <v>52.401290660308597</v>
      </c>
      <c r="J1956">
        <v>85</v>
      </c>
      <c r="K1956" t="s">
        <v>1272</v>
      </c>
      <c r="L1956" t="s">
        <v>1272</v>
      </c>
      <c r="M1956" t="s">
        <v>1272</v>
      </c>
      <c r="N1956" t="s">
        <v>1272</v>
      </c>
      <c r="O1956" t="s">
        <v>1272</v>
      </c>
      <c r="P1956" t="s">
        <v>166</v>
      </c>
      <c r="Q1956" t="s">
        <v>622</v>
      </c>
      <c r="R1956" t="s">
        <v>8995</v>
      </c>
      <c r="S1956" t="s">
        <v>8996</v>
      </c>
      <c r="U1956" t="s">
        <v>8997</v>
      </c>
    </row>
    <row r="1957" spans="1:21" x14ac:dyDescent="0.25">
      <c r="A1957" t="s">
        <v>8998</v>
      </c>
      <c r="B1957" t="s">
        <v>22</v>
      </c>
      <c r="C1957" t="s">
        <v>8999</v>
      </c>
      <c r="D1957">
        <f t="shared" si="62"/>
        <v>-3447368956</v>
      </c>
      <c r="E1957" t="s">
        <v>9000</v>
      </c>
      <c r="F1957" t="s">
        <v>7948</v>
      </c>
      <c r="G1957" t="s">
        <v>7949</v>
      </c>
      <c r="H1957">
        <v>0.27906978750001998</v>
      </c>
      <c r="I1957">
        <v>51.486742100954999</v>
      </c>
      <c r="J1957">
        <v>85</v>
      </c>
      <c r="K1957" t="s">
        <v>536</v>
      </c>
      <c r="L1957" t="s">
        <v>536</v>
      </c>
      <c r="M1957" t="s">
        <v>536</v>
      </c>
      <c r="N1957" t="s">
        <v>536</v>
      </c>
      <c r="O1957" t="s">
        <v>536</v>
      </c>
      <c r="P1957" t="s">
        <v>312</v>
      </c>
      <c r="Q1957" t="s">
        <v>564</v>
      </c>
      <c r="R1957" t="s">
        <v>9001</v>
      </c>
      <c r="S1957" t="s">
        <v>9002</v>
      </c>
      <c r="U1957" t="s">
        <v>9003</v>
      </c>
    </row>
    <row r="1958" spans="1:21" x14ac:dyDescent="0.25">
      <c r="A1958" t="s">
        <v>9004</v>
      </c>
      <c r="B1958" t="s">
        <v>32</v>
      </c>
      <c r="C1958" t="s">
        <v>9005</v>
      </c>
      <c r="D1958">
        <f t="shared" si="62"/>
        <v>-3447368956</v>
      </c>
      <c r="E1958" t="s">
        <v>1226</v>
      </c>
      <c r="F1958" t="s">
        <v>7948</v>
      </c>
      <c r="G1958" t="s">
        <v>7949</v>
      </c>
      <c r="H1958">
        <v>-4.2479392822100002E-3</v>
      </c>
      <c r="I1958">
        <v>51.544410852956403</v>
      </c>
      <c r="J1958">
        <v>85</v>
      </c>
      <c r="K1958" t="s">
        <v>290</v>
      </c>
      <c r="L1958" t="s">
        <v>290</v>
      </c>
      <c r="M1958" t="s">
        <v>290</v>
      </c>
      <c r="N1958" t="s">
        <v>290</v>
      </c>
      <c r="O1958" t="s">
        <v>290</v>
      </c>
      <c r="P1958" t="s">
        <v>290</v>
      </c>
      <c r="Q1958" t="s">
        <v>1492</v>
      </c>
      <c r="R1958" t="s">
        <v>9006</v>
      </c>
      <c r="S1958" t="s">
        <v>9007</v>
      </c>
      <c r="U1958" t="s">
        <v>9008</v>
      </c>
    </row>
    <row r="1959" spans="1:21" x14ac:dyDescent="0.25">
      <c r="A1959" t="s">
        <v>9009</v>
      </c>
      <c r="B1959" t="s">
        <v>38</v>
      </c>
      <c r="C1959" t="s">
        <v>9010</v>
      </c>
      <c r="D1959">
        <f t="shared" si="62"/>
        <v>-3447368956</v>
      </c>
      <c r="E1959" t="s">
        <v>8365</v>
      </c>
      <c r="F1959" t="s">
        <v>7948</v>
      </c>
      <c r="G1959" t="s">
        <v>7949</v>
      </c>
      <c r="H1959">
        <v>-1.1397591999999599</v>
      </c>
      <c r="I1959">
        <v>52.636877800000001</v>
      </c>
      <c r="J1959">
        <v>85</v>
      </c>
      <c r="K1959" t="s">
        <v>312</v>
      </c>
      <c r="L1959" t="s">
        <v>312</v>
      </c>
      <c r="M1959" t="s">
        <v>312</v>
      </c>
      <c r="N1959" t="s">
        <v>312</v>
      </c>
      <c r="O1959" t="s">
        <v>312</v>
      </c>
      <c r="P1959" t="s">
        <v>192</v>
      </c>
      <c r="Q1959" t="s">
        <v>564</v>
      </c>
      <c r="R1959" t="s">
        <v>9011</v>
      </c>
      <c r="S1959" t="s">
        <v>9012</v>
      </c>
      <c r="U1959" t="s">
        <v>9013</v>
      </c>
    </row>
    <row r="1960" spans="1:21" x14ac:dyDescent="0.25">
      <c r="A1960" t="s">
        <v>9014</v>
      </c>
      <c r="B1960" t="s">
        <v>38</v>
      </c>
      <c r="C1960" t="s">
        <v>9015</v>
      </c>
      <c r="D1960">
        <f t="shared" si="62"/>
        <v>-3447368956</v>
      </c>
      <c r="E1960" t="s">
        <v>9016</v>
      </c>
      <c r="F1960" t="s">
        <v>7948</v>
      </c>
      <c r="G1960" t="s">
        <v>7949</v>
      </c>
      <c r="H1960">
        <v>-0.19396099999993999</v>
      </c>
      <c r="I1960">
        <v>51.361427900000002</v>
      </c>
      <c r="J1960">
        <v>85</v>
      </c>
      <c r="K1960" t="s">
        <v>165</v>
      </c>
      <c r="L1960" t="s">
        <v>165</v>
      </c>
      <c r="M1960" t="s">
        <v>165</v>
      </c>
      <c r="N1960" t="s">
        <v>165</v>
      </c>
      <c r="O1960" t="s">
        <v>165</v>
      </c>
      <c r="P1960" t="s">
        <v>165</v>
      </c>
      <c r="Q1960" t="s">
        <v>564</v>
      </c>
      <c r="R1960" t="s">
        <v>9017</v>
      </c>
      <c r="U1960" t="s">
        <v>9018</v>
      </c>
    </row>
    <row r="1961" spans="1:21" x14ac:dyDescent="0.25">
      <c r="A1961" t="s">
        <v>9019</v>
      </c>
      <c r="B1961" t="s">
        <v>38</v>
      </c>
      <c r="C1961" t="s">
        <v>9020</v>
      </c>
      <c r="D1961">
        <f t="shared" si="62"/>
        <v>-3447368956</v>
      </c>
      <c r="E1961" t="s">
        <v>9021</v>
      </c>
      <c r="F1961" t="s">
        <v>7948</v>
      </c>
      <c r="G1961" t="s">
        <v>7949</v>
      </c>
      <c r="H1961">
        <v>-1.6371358999999801</v>
      </c>
      <c r="I1961">
        <v>52.814028099999902</v>
      </c>
      <c r="J1961">
        <v>85</v>
      </c>
      <c r="K1961" t="s">
        <v>578</v>
      </c>
      <c r="L1961" t="s">
        <v>578</v>
      </c>
      <c r="M1961" t="s">
        <v>578</v>
      </c>
      <c r="N1961" t="s">
        <v>578</v>
      </c>
      <c r="O1961" t="s">
        <v>578</v>
      </c>
      <c r="P1961" t="s">
        <v>578</v>
      </c>
      <c r="Q1961" t="s">
        <v>7969</v>
      </c>
      <c r="R1961" t="s">
        <v>9022</v>
      </c>
      <c r="S1961" t="s">
        <v>9023</v>
      </c>
      <c r="U1961" t="s">
        <v>9024</v>
      </c>
    </row>
    <row r="1962" spans="1:21" x14ac:dyDescent="0.25">
      <c r="A1962" t="s">
        <v>9025</v>
      </c>
      <c r="B1962" t="s">
        <v>38</v>
      </c>
      <c r="C1962" t="s">
        <v>9026</v>
      </c>
      <c r="D1962">
        <f t="shared" si="62"/>
        <v>-3447368956</v>
      </c>
      <c r="E1962" t="s">
        <v>9027</v>
      </c>
      <c r="F1962" t="s">
        <v>7948</v>
      </c>
      <c r="G1962" t="s">
        <v>7949</v>
      </c>
      <c r="H1962">
        <v>-2.51469887246094</v>
      </c>
      <c r="I1962">
        <v>53.262556610893</v>
      </c>
      <c r="J1962">
        <v>85</v>
      </c>
      <c r="K1962" t="s">
        <v>166</v>
      </c>
      <c r="L1962" t="s">
        <v>166</v>
      </c>
      <c r="M1962" t="s">
        <v>166</v>
      </c>
      <c r="N1962" t="s">
        <v>166</v>
      </c>
      <c r="O1962" t="s">
        <v>166</v>
      </c>
      <c r="P1962" t="s">
        <v>166</v>
      </c>
      <c r="Q1962" t="s">
        <v>7969</v>
      </c>
      <c r="R1962" t="s">
        <v>9028</v>
      </c>
      <c r="U1962" t="s">
        <v>9029</v>
      </c>
    </row>
    <row r="1963" spans="1:21" x14ac:dyDescent="0.25">
      <c r="A1963" t="s">
        <v>9030</v>
      </c>
      <c r="B1963" t="s">
        <v>38</v>
      </c>
      <c r="C1963" t="s">
        <v>9031</v>
      </c>
      <c r="D1963">
        <f t="shared" si="62"/>
        <v>-3447368956</v>
      </c>
      <c r="E1963" t="s">
        <v>8608</v>
      </c>
      <c r="F1963" t="s">
        <v>7948</v>
      </c>
      <c r="G1963" t="s">
        <v>7949</v>
      </c>
      <c r="H1963">
        <v>-2.9260930521491</v>
      </c>
      <c r="I1963">
        <v>53.4099119155483</v>
      </c>
      <c r="J1963">
        <v>85</v>
      </c>
      <c r="K1963" t="s">
        <v>262</v>
      </c>
      <c r="L1963" t="s">
        <v>262</v>
      </c>
      <c r="M1963" t="s">
        <v>262</v>
      </c>
      <c r="N1963" t="s">
        <v>262</v>
      </c>
      <c r="O1963" t="s">
        <v>262</v>
      </c>
      <c r="P1963" t="s">
        <v>262</v>
      </c>
      <c r="Q1963" t="s">
        <v>564</v>
      </c>
      <c r="R1963" t="s">
        <v>9032</v>
      </c>
      <c r="U1963" t="s">
        <v>9033</v>
      </c>
    </row>
    <row r="1964" spans="1:21" x14ac:dyDescent="0.25">
      <c r="A1964" t="s">
        <v>9034</v>
      </c>
      <c r="B1964" t="s">
        <v>22</v>
      </c>
      <c r="C1964" t="s">
        <v>9035</v>
      </c>
      <c r="D1964">
        <f t="shared" si="62"/>
        <v>-3447368956</v>
      </c>
      <c r="E1964" t="s">
        <v>8608</v>
      </c>
      <c r="F1964" t="s">
        <v>7948</v>
      </c>
      <c r="G1964" t="s">
        <v>7949</v>
      </c>
      <c r="H1964">
        <v>-2.99157260000004</v>
      </c>
      <c r="I1964">
        <v>53.4083714</v>
      </c>
      <c r="J1964">
        <v>85</v>
      </c>
      <c r="K1964" t="s">
        <v>192</v>
      </c>
      <c r="L1964" t="s">
        <v>192</v>
      </c>
      <c r="M1964" t="s">
        <v>192</v>
      </c>
      <c r="N1964" t="s">
        <v>192</v>
      </c>
      <c r="O1964" t="s">
        <v>192</v>
      </c>
      <c r="P1964" t="s">
        <v>165</v>
      </c>
      <c r="Q1964" t="s">
        <v>564</v>
      </c>
      <c r="R1964" t="s">
        <v>9036</v>
      </c>
      <c r="U1964" t="s">
        <v>9037</v>
      </c>
    </row>
    <row r="1965" spans="1:21" x14ac:dyDescent="0.25">
      <c r="A1965" t="s">
        <v>9038</v>
      </c>
      <c r="B1965" t="s">
        <v>38</v>
      </c>
      <c r="C1965" t="s">
        <v>9039</v>
      </c>
      <c r="D1965">
        <f t="shared" si="62"/>
        <v>-3447368956</v>
      </c>
      <c r="E1965" t="s">
        <v>7947</v>
      </c>
      <c r="F1965" t="s">
        <v>7948</v>
      </c>
      <c r="G1965" t="s">
        <v>7949</v>
      </c>
      <c r="H1965">
        <v>-3.5118512677531699</v>
      </c>
      <c r="I1965">
        <v>55.884280328888103</v>
      </c>
      <c r="J1965">
        <v>85</v>
      </c>
      <c r="K1965" t="s">
        <v>166</v>
      </c>
      <c r="L1965" t="s">
        <v>166</v>
      </c>
      <c r="M1965" t="s">
        <v>166</v>
      </c>
      <c r="N1965" t="s">
        <v>192</v>
      </c>
      <c r="O1965" t="s">
        <v>166</v>
      </c>
      <c r="P1965" t="s">
        <v>166</v>
      </c>
      <c r="Q1965" t="s">
        <v>428</v>
      </c>
      <c r="R1965" t="s">
        <v>9040</v>
      </c>
      <c r="S1965" t="s">
        <v>9041</v>
      </c>
      <c r="U1965" t="s">
        <v>9042</v>
      </c>
    </row>
    <row r="1966" spans="1:21" x14ac:dyDescent="0.25">
      <c r="A1966" t="s">
        <v>9043</v>
      </c>
      <c r="B1966" t="s">
        <v>38</v>
      </c>
      <c r="C1966" t="s">
        <v>9044</v>
      </c>
      <c r="D1966">
        <f t="shared" si="62"/>
        <v>-3447368956</v>
      </c>
      <c r="E1966" t="s">
        <v>9045</v>
      </c>
      <c r="F1966" t="s">
        <v>7948</v>
      </c>
      <c r="G1966" t="s">
        <v>7949</v>
      </c>
      <c r="H1966">
        <v>-1.212975344242E-2</v>
      </c>
      <c r="I1966">
        <v>51.462638774536501</v>
      </c>
      <c r="J1966">
        <v>85</v>
      </c>
      <c r="K1966" t="s">
        <v>165</v>
      </c>
      <c r="L1966" t="s">
        <v>165</v>
      </c>
      <c r="M1966" t="s">
        <v>165</v>
      </c>
      <c r="N1966" t="s">
        <v>165</v>
      </c>
      <c r="O1966" t="s">
        <v>165</v>
      </c>
      <c r="P1966" t="s">
        <v>165</v>
      </c>
      <c r="Q1966" t="s">
        <v>564</v>
      </c>
      <c r="R1966" t="s">
        <v>9046</v>
      </c>
      <c r="U1966" t="s">
        <v>9047</v>
      </c>
    </row>
    <row r="1967" spans="1:21" x14ac:dyDescent="0.25">
      <c r="A1967" t="s">
        <v>9048</v>
      </c>
      <c r="B1967" t="s">
        <v>38</v>
      </c>
      <c r="C1967" t="s">
        <v>9049</v>
      </c>
      <c r="D1967">
        <f t="shared" si="62"/>
        <v>-3447368956</v>
      </c>
      <c r="E1967" t="s">
        <v>8009</v>
      </c>
      <c r="F1967" t="s">
        <v>7948</v>
      </c>
      <c r="G1967" t="s">
        <v>7949</v>
      </c>
      <c r="H1967">
        <v>-0.33768200790405001</v>
      </c>
      <c r="I1967">
        <v>51.581812387226101</v>
      </c>
      <c r="J1967">
        <v>85</v>
      </c>
      <c r="K1967" t="s">
        <v>166</v>
      </c>
      <c r="L1967" t="s">
        <v>166</v>
      </c>
      <c r="M1967" t="s">
        <v>166</v>
      </c>
      <c r="N1967" t="s">
        <v>165</v>
      </c>
      <c r="O1967" t="s">
        <v>166</v>
      </c>
      <c r="P1967" t="s">
        <v>166</v>
      </c>
      <c r="Q1967" t="s">
        <v>564</v>
      </c>
      <c r="R1967" t="s">
        <v>9049</v>
      </c>
      <c r="S1967" t="s">
        <v>9050</v>
      </c>
      <c r="U1967" t="s">
        <v>9051</v>
      </c>
    </row>
    <row r="1968" spans="1:21" x14ac:dyDescent="0.25">
      <c r="A1968" t="s">
        <v>9052</v>
      </c>
      <c r="B1968" t="s">
        <v>38</v>
      </c>
      <c r="C1968" t="s">
        <v>9053</v>
      </c>
      <c r="E1968" t="s">
        <v>8188</v>
      </c>
      <c r="F1968" t="s">
        <v>7948</v>
      </c>
      <c r="G1968" t="s">
        <v>7949</v>
      </c>
      <c r="H1968">
        <v>-1.615</v>
      </c>
      <c r="I1968">
        <v>54.975099999999998</v>
      </c>
      <c r="J1968">
        <v>85</v>
      </c>
      <c r="K1968" t="s">
        <v>198</v>
      </c>
      <c r="L1968" t="s">
        <v>198</v>
      </c>
      <c r="M1968" t="s">
        <v>198</v>
      </c>
      <c r="N1968" t="s">
        <v>192</v>
      </c>
      <c r="O1968" t="s">
        <v>198</v>
      </c>
      <c r="P1968" t="s">
        <v>198</v>
      </c>
      <c r="Q1968" t="s">
        <v>564</v>
      </c>
      <c r="R1968" t="s">
        <v>9053</v>
      </c>
      <c r="U1968" t="s">
        <v>9054</v>
      </c>
    </row>
    <row r="1969" spans="1:21" x14ac:dyDescent="0.25">
      <c r="A1969" t="s">
        <v>9055</v>
      </c>
      <c r="B1969" t="s">
        <v>32</v>
      </c>
      <c r="C1969" t="s">
        <v>9056</v>
      </c>
      <c r="D1969">
        <f>44-3447369000</f>
        <v>-3447368956</v>
      </c>
      <c r="E1969" t="s">
        <v>1226</v>
      </c>
      <c r="F1969" t="s">
        <v>7948</v>
      </c>
      <c r="G1969" t="s">
        <v>7949</v>
      </c>
      <c r="H1969">
        <v>-0.22123596126691999</v>
      </c>
      <c r="I1969">
        <v>51.508482766518398</v>
      </c>
      <c r="J1969">
        <v>85</v>
      </c>
      <c r="K1969" t="s">
        <v>27</v>
      </c>
      <c r="L1969" t="s">
        <v>27</v>
      </c>
      <c r="M1969" t="s">
        <v>27</v>
      </c>
      <c r="N1969" t="s">
        <v>27</v>
      </c>
      <c r="O1969" t="s">
        <v>27</v>
      </c>
      <c r="P1969" t="s">
        <v>27</v>
      </c>
      <c r="Q1969" t="s">
        <v>1492</v>
      </c>
      <c r="R1969" t="s">
        <v>9057</v>
      </c>
      <c r="S1969" t="s">
        <v>8323</v>
      </c>
      <c r="U1969" t="s">
        <v>9058</v>
      </c>
    </row>
    <row r="1970" spans="1:21" x14ac:dyDescent="0.25">
      <c r="A1970" t="s">
        <v>9059</v>
      </c>
      <c r="B1970" t="s">
        <v>32</v>
      </c>
      <c r="C1970" t="s">
        <v>9060</v>
      </c>
      <c r="D1970">
        <f>44-3447369000</f>
        <v>-3447368956</v>
      </c>
      <c r="E1970" t="s">
        <v>1226</v>
      </c>
      <c r="F1970" t="s">
        <v>7948</v>
      </c>
      <c r="G1970" t="s">
        <v>7949</v>
      </c>
      <c r="H1970">
        <v>-0.14056136839361</v>
      </c>
      <c r="I1970">
        <v>51.513259166928002</v>
      </c>
      <c r="J1970">
        <v>85</v>
      </c>
      <c r="K1970" t="s">
        <v>536</v>
      </c>
      <c r="L1970" t="s">
        <v>536</v>
      </c>
      <c r="M1970" t="s">
        <v>536</v>
      </c>
      <c r="N1970" t="s">
        <v>536</v>
      </c>
      <c r="O1970" t="s">
        <v>536</v>
      </c>
      <c r="P1970" t="s">
        <v>536</v>
      </c>
      <c r="Q1970" t="s">
        <v>1492</v>
      </c>
      <c r="R1970" t="s">
        <v>9061</v>
      </c>
      <c r="U1970" t="s">
        <v>9062</v>
      </c>
    </row>
    <row r="1971" spans="1:21" x14ac:dyDescent="0.25">
      <c r="A1971" t="s">
        <v>9063</v>
      </c>
      <c r="B1971" t="s">
        <v>2322</v>
      </c>
      <c r="C1971" t="s">
        <v>9064</v>
      </c>
      <c r="E1971" t="s">
        <v>1226</v>
      </c>
      <c r="F1971" t="s">
        <v>7948</v>
      </c>
      <c r="G1971" t="s">
        <v>7949</v>
      </c>
      <c r="H1971">
        <v>-0.102418</v>
      </c>
      <c r="I1971">
        <v>51.538846999999997</v>
      </c>
      <c r="J1971">
        <v>85</v>
      </c>
      <c r="R1971" t="s">
        <v>9064</v>
      </c>
      <c r="S1971" t="s">
        <v>9065</v>
      </c>
      <c r="U1971" t="s">
        <v>9066</v>
      </c>
    </row>
    <row r="1972" spans="1:21" x14ac:dyDescent="0.25">
      <c r="A1972" t="s">
        <v>9067</v>
      </c>
      <c r="B1972" t="s">
        <v>2322</v>
      </c>
      <c r="C1972" t="s">
        <v>9068</v>
      </c>
      <c r="D1972">
        <f>44-1215197550</f>
        <v>-1215197506</v>
      </c>
      <c r="E1972" t="s">
        <v>8060</v>
      </c>
      <c r="F1972" t="s">
        <v>7948</v>
      </c>
      <c r="G1972" t="s">
        <v>7949</v>
      </c>
      <c r="H1972">
        <v>-1.896096</v>
      </c>
      <c r="I1972">
        <v>52.478811999999998</v>
      </c>
      <c r="J1972">
        <v>85</v>
      </c>
      <c r="K1972" t="s">
        <v>45</v>
      </c>
      <c r="L1972" t="s">
        <v>45</v>
      </c>
      <c r="M1972" t="s">
        <v>45</v>
      </c>
      <c r="N1972" t="s">
        <v>45</v>
      </c>
      <c r="O1972" t="s">
        <v>45</v>
      </c>
      <c r="P1972" t="s">
        <v>45</v>
      </c>
      <c r="Q1972" t="s">
        <v>564</v>
      </c>
      <c r="R1972" t="s">
        <v>9069</v>
      </c>
      <c r="U1972" t="s">
        <v>9070</v>
      </c>
    </row>
    <row r="1973" spans="1:21" x14ac:dyDescent="0.25">
      <c r="A1973" t="s">
        <v>9071</v>
      </c>
      <c r="B1973" t="s">
        <v>22</v>
      </c>
      <c r="C1973" t="s">
        <v>9072</v>
      </c>
      <c r="D1973">
        <f>995-3222002292</f>
        <v>-3222001297</v>
      </c>
      <c r="E1973" t="s">
        <v>9073</v>
      </c>
      <c r="F1973" t="s">
        <v>9074</v>
      </c>
      <c r="G1973" t="s">
        <v>9075</v>
      </c>
      <c r="H1973">
        <v>44.800247248337797</v>
      </c>
      <c r="I1973">
        <v>41.694701809487498</v>
      </c>
      <c r="J1973">
        <v>165</v>
      </c>
      <c r="K1973" t="s">
        <v>27</v>
      </c>
      <c r="L1973" t="s">
        <v>27</v>
      </c>
      <c r="M1973" t="s">
        <v>27</v>
      </c>
      <c r="N1973" t="s">
        <v>27</v>
      </c>
      <c r="O1973" t="s">
        <v>27</v>
      </c>
      <c r="P1973" t="s">
        <v>27</v>
      </c>
      <c r="Q1973" t="s">
        <v>27</v>
      </c>
      <c r="R1973" t="s">
        <v>9072</v>
      </c>
      <c r="S1973" t="s">
        <v>9076</v>
      </c>
      <c r="U1973" t="s">
        <v>9077</v>
      </c>
    </row>
    <row r="1974" spans="1:21" x14ac:dyDescent="0.25">
      <c r="A1974" t="s">
        <v>9078</v>
      </c>
      <c r="B1974" t="s">
        <v>38</v>
      </c>
      <c r="C1974" t="s">
        <v>9079</v>
      </c>
      <c r="D1974">
        <f>995-322002251</f>
        <v>-322001256</v>
      </c>
      <c r="E1974" t="s">
        <v>9073</v>
      </c>
      <c r="F1974" t="s">
        <v>9074</v>
      </c>
      <c r="G1974" t="s">
        <v>9075</v>
      </c>
      <c r="H1974">
        <v>44.899303846557501</v>
      </c>
      <c r="I1974">
        <v>41.689416939874398</v>
      </c>
      <c r="J1974">
        <v>165</v>
      </c>
      <c r="K1974" t="s">
        <v>27</v>
      </c>
      <c r="L1974" t="s">
        <v>27</v>
      </c>
      <c r="M1974" t="s">
        <v>27</v>
      </c>
      <c r="N1974" t="s">
        <v>27</v>
      </c>
      <c r="O1974" t="s">
        <v>27</v>
      </c>
      <c r="P1974" t="s">
        <v>27</v>
      </c>
      <c r="Q1974" t="s">
        <v>27</v>
      </c>
      <c r="R1974" t="s">
        <v>9079</v>
      </c>
      <c r="S1974" t="s">
        <v>9080</v>
      </c>
      <c r="U1974" t="s">
        <v>9081</v>
      </c>
    </row>
    <row r="1975" spans="1:21" x14ac:dyDescent="0.25">
      <c r="A1975" t="s">
        <v>9082</v>
      </c>
      <c r="B1975" t="s">
        <v>22</v>
      </c>
      <c r="C1975" t="s">
        <v>9083</v>
      </c>
      <c r="D1975">
        <f>995-322001313</f>
        <v>-322000318</v>
      </c>
      <c r="E1975" t="s">
        <v>9073</v>
      </c>
      <c r="F1975" t="s">
        <v>9074</v>
      </c>
      <c r="G1975" t="s">
        <v>9075</v>
      </c>
      <c r="H1975">
        <v>44.738389983459399</v>
      </c>
      <c r="I1975">
        <v>41.723370088263003</v>
      </c>
      <c r="J1975">
        <v>165</v>
      </c>
      <c r="K1975" t="s">
        <v>27</v>
      </c>
      <c r="L1975" t="s">
        <v>27</v>
      </c>
      <c r="M1975" t="s">
        <v>27</v>
      </c>
      <c r="N1975" t="s">
        <v>27</v>
      </c>
      <c r="O1975" t="s">
        <v>27</v>
      </c>
      <c r="P1975" t="s">
        <v>27</v>
      </c>
      <c r="Q1975" t="s">
        <v>27</v>
      </c>
      <c r="R1975" t="s">
        <v>9083</v>
      </c>
      <c r="S1975" t="s">
        <v>9084</v>
      </c>
      <c r="U1975" t="s">
        <v>9085</v>
      </c>
    </row>
    <row r="1976" spans="1:21" x14ac:dyDescent="0.25">
      <c r="A1976" t="s">
        <v>9086</v>
      </c>
      <c r="B1976" t="s">
        <v>38</v>
      </c>
      <c r="C1976" t="s">
        <v>9087</v>
      </c>
      <c r="D1976">
        <f>30-2103249302</f>
        <v>-2103249272</v>
      </c>
      <c r="E1976" t="s">
        <v>9088</v>
      </c>
      <c r="F1976" t="s">
        <v>9089</v>
      </c>
      <c r="G1976" t="s">
        <v>9090</v>
      </c>
      <c r="H1976">
        <v>23.729825019836401</v>
      </c>
      <c r="I1976">
        <v>37.9824306685191</v>
      </c>
      <c r="J1976">
        <v>130</v>
      </c>
      <c r="K1976" t="s">
        <v>536</v>
      </c>
      <c r="L1976" t="s">
        <v>536</v>
      </c>
      <c r="M1976" t="s">
        <v>536</v>
      </c>
      <c r="N1976" t="s">
        <v>536</v>
      </c>
      <c r="O1976" t="s">
        <v>536</v>
      </c>
      <c r="P1976" t="s">
        <v>192</v>
      </c>
      <c r="R1976" t="s">
        <v>9087</v>
      </c>
      <c r="U1976" t="s">
        <v>9091</v>
      </c>
    </row>
    <row r="1977" spans="1:21" x14ac:dyDescent="0.25">
      <c r="A1977" t="s">
        <v>9092</v>
      </c>
      <c r="B1977" t="s">
        <v>22</v>
      </c>
      <c r="C1977" t="s">
        <v>9093</v>
      </c>
      <c r="D1977">
        <f>30-2106104811</f>
        <v>-2106104781</v>
      </c>
      <c r="E1977" t="s">
        <v>9088</v>
      </c>
      <c r="F1977" t="s">
        <v>9089</v>
      </c>
      <c r="G1977" t="s">
        <v>9090</v>
      </c>
      <c r="H1977">
        <v>23.7962579727172</v>
      </c>
      <c r="I1977">
        <v>38.035044817472297</v>
      </c>
      <c r="J1977">
        <v>130</v>
      </c>
      <c r="K1977" t="s">
        <v>536</v>
      </c>
      <c r="L1977" t="s">
        <v>536</v>
      </c>
      <c r="M1977" t="s">
        <v>536</v>
      </c>
      <c r="N1977" t="s">
        <v>536</v>
      </c>
      <c r="O1977" t="s">
        <v>536</v>
      </c>
      <c r="P1977" t="s">
        <v>192</v>
      </c>
      <c r="R1977" t="s">
        <v>9093</v>
      </c>
      <c r="S1977" t="s">
        <v>9094</v>
      </c>
      <c r="U1977" t="s">
        <v>9095</v>
      </c>
    </row>
    <row r="1978" spans="1:21" x14ac:dyDescent="0.25">
      <c r="A1978" t="s">
        <v>9096</v>
      </c>
      <c r="B1978" t="s">
        <v>38</v>
      </c>
      <c r="C1978" t="s">
        <v>9097</v>
      </c>
      <c r="D1978">
        <f>30-2103428503</f>
        <v>-2103428473</v>
      </c>
      <c r="E1978" t="s">
        <v>9088</v>
      </c>
      <c r="F1978" t="s">
        <v>9089</v>
      </c>
      <c r="G1978" t="s">
        <v>9090</v>
      </c>
      <c r="H1978">
        <v>23.7039041519165</v>
      </c>
      <c r="I1978">
        <v>37.971402611901198</v>
      </c>
      <c r="J1978">
        <v>130</v>
      </c>
      <c r="K1978" t="s">
        <v>536</v>
      </c>
      <c r="L1978" t="s">
        <v>536</v>
      </c>
      <c r="M1978" t="s">
        <v>536</v>
      </c>
      <c r="N1978" t="s">
        <v>536</v>
      </c>
      <c r="O1978" t="s">
        <v>536</v>
      </c>
      <c r="P1978" t="s">
        <v>192</v>
      </c>
      <c r="R1978" t="s">
        <v>9097</v>
      </c>
      <c r="S1978" t="s">
        <v>9098</v>
      </c>
      <c r="U1978" t="s">
        <v>9099</v>
      </c>
    </row>
    <row r="1979" spans="1:21" x14ac:dyDescent="0.25">
      <c r="A1979" t="s">
        <v>9100</v>
      </c>
      <c r="B1979" t="s">
        <v>22</v>
      </c>
      <c r="C1979" t="s">
        <v>9101</v>
      </c>
      <c r="D1979">
        <f>30-2310268066</f>
        <v>-2310268036</v>
      </c>
      <c r="E1979" t="s">
        <v>9102</v>
      </c>
      <c r="F1979" t="s">
        <v>9089</v>
      </c>
      <c r="G1979" t="s">
        <v>9090</v>
      </c>
      <c r="H1979">
        <v>22.9426717758178</v>
      </c>
      <c r="I1979">
        <v>40.632714496550598</v>
      </c>
      <c r="J1979">
        <v>130</v>
      </c>
      <c r="K1979" t="s">
        <v>536</v>
      </c>
      <c r="L1979" t="s">
        <v>536</v>
      </c>
      <c r="M1979" t="s">
        <v>536</v>
      </c>
      <c r="N1979" t="s">
        <v>536</v>
      </c>
      <c r="O1979" t="s">
        <v>536</v>
      </c>
      <c r="P1979" t="s">
        <v>192</v>
      </c>
      <c r="R1979" t="s">
        <v>9101</v>
      </c>
      <c r="U1979" t="s">
        <v>9103</v>
      </c>
    </row>
    <row r="1980" spans="1:21" x14ac:dyDescent="0.25">
      <c r="A1980" t="s">
        <v>9104</v>
      </c>
      <c r="B1980" t="s">
        <v>22</v>
      </c>
      <c r="C1980" t="s">
        <v>9105</v>
      </c>
      <c r="D1980">
        <f>30-2106852152</f>
        <v>-2106852122</v>
      </c>
      <c r="E1980" t="s">
        <v>9088</v>
      </c>
      <c r="F1980" t="s">
        <v>9089</v>
      </c>
      <c r="G1980" t="s">
        <v>9090</v>
      </c>
      <c r="H1980">
        <v>23.800463676452601</v>
      </c>
      <c r="I1980">
        <v>38.021793397312102</v>
      </c>
      <c r="J1980">
        <v>130</v>
      </c>
      <c r="K1980" t="s">
        <v>536</v>
      </c>
      <c r="L1980" t="s">
        <v>536</v>
      </c>
      <c r="M1980" t="s">
        <v>536</v>
      </c>
      <c r="N1980" t="s">
        <v>536</v>
      </c>
      <c r="O1980" t="s">
        <v>536</v>
      </c>
      <c r="P1980" t="s">
        <v>192</v>
      </c>
      <c r="R1980" t="s">
        <v>9105</v>
      </c>
      <c r="S1980" t="s">
        <v>9106</v>
      </c>
      <c r="U1980" t="s">
        <v>9107</v>
      </c>
    </row>
    <row r="1981" spans="1:21" x14ac:dyDescent="0.25">
      <c r="A1981" t="s">
        <v>9108</v>
      </c>
      <c r="B1981" t="s">
        <v>22</v>
      </c>
      <c r="C1981" t="s">
        <v>9109</v>
      </c>
      <c r="D1981">
        <f>30-2241030095</f>
        <v>-2241030065</v>
      </c>
      <c r="E1981" t="s">
        <v>9110</v>
      </c>
      <c r="F1981" t="s">
        <v>9089</v>
      </c>
      <c r="G1981" t="s">
        <v>9090</v>
      </c>
      <c r="H1981">
        <v>28.223662376403801</v>
      </c>
      <c r="I1981">
        <v>36.449154068440997</v>
      </c>
      <c r="J1981">
        <v>130</v>
      </c>
      <c r="K1981" t="s">
        <v>312</v>
      </c>
      <c r="L1981" t="s">
        <v>312</v>
      </c>
      <c r="M1981" t="s">
        <v>312</v>
      </c>
      <c r="N1981" t="s">
        <v>312</v>
      </c>
      <c r="O1981" t="s">
        <v>312</v>
      </c>
      <c r="P1981" t="s">
        <v>192</v>
      </c>
      <c r="R1981" t="s">
        <v>9109</v>
      </c>
      <c r="U1981" t="s">
        <v>9111</v>
      </c>
    </row>
    <row r="1982" spans="1:21" x14ac:dyDescent="0.25">
      <c r="A1982" t="s">
        <v>9112</v>
      </c>
      <c r="B1982" t="s">
        <v>22</v>
      </c>
      <c r="C1982" t="s">
        <v>9113</v>
      </c>
      <c r="D1982">
        <f>30-2109761250</f>
        <v>-2109761220</v>
      </c>
      <c r="E1982" t="s">
        <v>9088</v>
      </c>
      <c r="F1982" t="s">
        <v>9089</v>
      </c>
      <c r="G1982" t="s">
        <v>9090</v>
      </c>
      <c r="H1982">
        <v>23.740553855896</v>
      </c>
      <c r="I1982">
        <v>37.940068481486399</v>
      </c>
      <c r="J1982">
        <v>130</v>
      </c>
      <c r="K1982" t="s">
        <v>536</v>
      </c>
      <c r="L1982" t="s">
        <v>536</v>
      </c>
      <c r="M1982" t="s">
        <v>536</v>
      </c>
      <c r="N1982" t="s">
        <v>536</v>
      </c>
      <c r="O1982" t="s">
        <v>536</v>
      </c>
      <c r="P1982" t="s">
        <v>192</v>
      </c>
      <c r="R1982" t="s">
        <v>9113</v>
      </c>
      <c r="S1982" t="s">
        <v>9114</v>
      </c>
      <c r="U1982" t="s">
        <v>9115</v>
      </c>
    </row>
    <row r="1983" spans="1:21" x14ac:dyDescent="0.25">
      <c r="A1983" t="s">
        <v>9116</v>
      </c>
      <c r="B1983" t="s">
        <v>22</v>
      </c>
      <c r="C1983" t="s">
        <v>9117</v>
      </c>
      <c r="D1983">
        <f>30-2105441594</f>
        <v>-2105441564</v>
      </c>
      <c r="E1983" t="s">
        <v>9088</v>
      </c>
      <c r="F1983" t="s">
        <v>9089</v>
      </c>
      <c r="G1983" t="s">
        <v>9090</v>
      </c>
      <c r="H1983">
        <v>23.6796569824218</v>
      </c>
      <c r="I1983">
        <v>37.980434916049802</v>
      </c>
      <c r="J1983">
        <v>130</v>
      </c>
      <c r="K1983" t="s">
        <v>536</v>
      </c>
      <c r="L1983" t="s">
        <v>536</v>
      </c>
      <c r="M1983" t="s">
        <v>536</v>
      </c>
      <c r="N1983" t="s">
        <v>536</v>
      </c>
      <c r="O1983" t="s">
        <v>536</v>
      </c>
      <c r="P1983" t="s">
        <v>192</v>
      </c>
      <c r="R1983" t="s">
        <v>9117</v>
      </c>
      <c r="S1983" t="s">
        <v>9118</v>
      </c>
      <c r="U1983" t="s">
        <v>9119</v>
      </c>
    </row>
    <row r="1984" spans="1:21" x14ac:dyDescent="0.25">
      <c r="A1984" t="s">
        <v>9120</v>
      </c>
      <c r="B1984" t="s">
        <v>38</v>
      </c>
      <c r="C1984" t="s">
        <v>9121</v>
      </c>
      <c r="D1984">
        <f>30-2531070150</f>
        <v>-2531070120</v>
      </c>
      <c r="E1984" t="s">
        <v>9122</v>
      </c>
      <c r="F1984" t="s">
        <v>9089</v>
      </c>
      <c r="G1984" t="s">
        <v>9090</v>
      </c>
      <c r="H1984">
        <v>25.3929233551025</v>
      </c>
      <c r="I1984">
        <v>41.1254978127809</v>
      </c>
      <c r="J1984">
        <v>130</v>
      </c>
      <c r="K1984" t="s">
        <v>312</v>
      </c>
      <c r="L1984" t="s">
        <v>312</v>
      </c>
      <c r="M1984" t="s">
        <v>312</v>
      </c>
      <c r="N1984" t="s">
        <v>312</v>
      </c>
      <c r="O1984" t="s">
        <v>312</v>
      </c>
      <c r="P1984" t="s">
        <v>192</v>
      </c>
      <c r="R1984" t="s">
        <v>9121</v>
      </c>
      <c r="S1984" t="s">
        <v>9123</v>
      </c>
      <c r="U1984" t="s">
        <v>9124</v>
      </c>
    </row>
    <row r="1985" spans="1:21" x14ac:dyDescent="0.25">
      <c r="A1985" t="s">
        <v>9125</v>
      </c>
      <c r="B1985" t="s">
        <v>22</v>
      </c>
      <c r="C1985" t="s">
        <v>9126</v>
      </c>
      <c r="D1985">
        <f>30-2651064027</f>
        <v>-2651063997</v>
      </c>
      <c r="E1985" t="s">
        <v>9127</v>
      </c>
      <c r="F1985" t="s">
        <v>9089</v>
      </c>
      <c r="G1985" t="s">
        <v>9090</v>
      </c>
      <c r="H1985">
        <v>20.849502682685799</v>
      </c>
      <c r="I1985">
        <v>39.6652069298379</v>
      </c>
      <c r="J1985">
        <v>130</v>
      </c>
      <c r="K1985" t="s">
        <v>536</v>
      </c>
      <c r="L1985" t="s">
        <v>536</v>
      </c>
      <c r="M1985" t="s">
        <v>536</v>
      </c>
      <c r="N1985" t="s">
        <v>536</v>
      </c>
      <c r="O1985" t="s">
        <v>536</v>
      </c>
      <c r="P1985" t="s">
        <v>192</v>
      </c>
      <c r="R1985" t="s">
        <v>9126</v>
      </c>
      <c r="U1985" t="s">
        <v>9128</v>
      </c>
    </row>
    <row r="1986" spans="1:21" x14ac:dyDescent="0.25">
      <c r="A1986" t="s">
        <v>9129</v>
      </c>
      <c r="B1986" t="s">
        <v>22</v>
      </c>
      <c r="C1986" t="s">
        <v>9130</v>
      </c>
      <c r="D1986">
        <f>30-2106199152</f>
        <v>-2106199122</v>
      </c>
      <c r="E1986" t="s">
        <v>9088</v>
      </c>
      <c r="F1986" t="s">
        <v>9089</v>
      </c>
      <c r="G1986" t="s">
        <v>9090</v>
      </c>
      <c r="H1986">
        <v>23.790464401245099</v>
      </c>
      <c r="I1986">
        <v>38.044745230151101</v>
      </c>
      <c r="J1986">
        <v>130</v>
      </c>
      <c r="K1986" t="s">
        <v>536</v>
      </c>
      <c r="L1986" t="s">
        <v>536</v>
      </c>
      <c r="M1986" t="s">
        <v>536</v>
      </c>
      <c r="N1986" t="s">
        <v>536</v>
      </c>
      <c r="O1986" t="s">
        <v>536</v>
      </c>
      <c r="P1986" t="s">
        <v>45</v>
      </c>
      <c r="R1986" t="s">
        <v>9130</v>
      </c>
      <c r="S1986" t="s">
        <v>9131</v>
      </c>
      <c r="U1986" t="s">
        <v>9132</v>
      </c>
    </row>
    <row r="1987" spans="1:21" x14ac:dyDescent="0.25">
      <c r="A1987" t="s">
        <v>9133</v>
      </c>
      <c r="B1987" t="s">
        <v>22</v>
      </c>
      <c r="C1987" t="s">
        <v>9134</v>
      </c>
      <c r="D1987">
        <f>30-2106100711</f>
        <v>-2106100681</v>
      </c>
      <c r="E1987" t="s">
        <v>9088</v>
      </c>
      <c r="F1987" t="s">
        <v>9089</v>
      </c>
      <c r="G1987" t="s">
        <v>9090</v>
      </c>
      <c r="H1987">
        <v>23.795700073242099</v>
      </c>
      <c r="I1987">
        <v>38.035044817472297</v>
      </c>
      <c r="J1987">
        <v>130</v>
      </c>
      <c r="K1987" t="s">
        <v>536</v>
      </c>
      <c r="L1987" t="s">
        <v>536</v>
      </c>
      <c r="M1987" t="s">
        <v>536</v>
      </c>
      <c r="N1987" t="s">
        <v>536</v>
      </c>
      <c r="O1987" t="s">
        <v>536</v>
      </c>
      <c r="P1987" t="s">
        <v>192</v>
      </c>
      <c r="R1987" t="s">
        <v>9134</v>
      </c>
      <c r="S1987" t="s">
        <v>9135</v>
      </c>
      <c r="U1987" t="s">
        <v>9136</v>
      </c>
    </row>
    <row r="1988" spans="1:21" x14ac:dyDescent="0.25">
      <c r="A1988" t="s">
        <v>9137</v>
      </c>
      <c r="B1988" t="s">
        <v>32</v>
      </c>
      <c r="C1988" t="s">
        <v>9138</v>
      </c>
      <c r="D1988">
        <f>30-2103233858</f>
        <v>-2103233828</v>
      </c>
      <c r="E1988" t="s">
        <v>9088</v>
      </c>
      <c r="F1988" t="s">
        <v>9089</v>
      </c>
      <c r="G1988" t="s">
        <v>9090</v>
      </c>
      <c r="H1988">
        <v>23.728440999984699</v>
      </c>
      <c r="I1988">
        <v>37.976400962506098</v>
      </c>
      <c r="J1988">
        <v>130</v>
      </c>
      <c r="K1988" t="s">
        <v>536</v>
      </c>
      <c r="L1988" t="s">
        <v>536</v>
      </c>
      <c r="M1988" t="s">
        <v>536</v>
      </c>
      <c r="N1988" t="s">
        <v>536</v>
      </c>
      <c r="O1988" t="s">
        <v>536</v>
      </c>
      <c r="P1988" t="s">
        <v>192</v>
      </c>
      <c r="R1988" t="s">
        <v>9138</v>
      </c>
      <c r="U1988" t="s">
        <v>9139</v>
      </c>
    </row>
    <row r="1989" spans="1:21" x14ac:dyDescent="0.25">
      <c r="A1989" t="s">
        <v>9140</v>
      </c>
      <c r="B1989" t="s">
        <v>22</v>
      </c>
      <c r="C1989" t="s">
        <v>9141</v>
      </c>
      <c r="D1989">
        <f>30-2102719420</f>
        <v>-2102719390</v>
      </c>
      <c r="E1989" t="s">
        <v>9088</v>
      </c>
      <c r="F1989" t="s">
        <v>9089</v>
      </c>
      <c r="G1989" t="s">
        <v>9090</v>
      </c>
      <c r="H1989">
        <v>23.7554883956909</v>
      </c>
      <c r="I1989">
        <v>38.044424156914801</v>
      </c>
      <c r="J1989">
        <v>130</v>
      </c>
      <c r="K1989" t="s">
        <v>536</v>
      </c>
      <c r="L1989" t="s">
        <v>536</v>
      </c>
      <c r="M1989" t="s">
        <v>536</v>
      </c>
      <c r="N1989" t="s">
        <v>536</v>
      </c>
      <c r="O1989" t="s">
        <v>536</v>
      </c>
      <c r="P1989" t="s">
        <v>192</v>
      </c>
      <c r="R1989" t="s">
        <v>9141</v>
      </c>
      <c r="S1989" t="s">
        <v>9142</v>
      </c>
      <c r="U1989" t="s">
        <v>9143</v>
      </c>
    </row>
    <row r="1990" spans="1:21" x14ac:dyDescent="0.25">
      <c r="A1990" t="s">
        <v>9144</v>
      </c>
      <c r="B1990" t="s">
        <v>22</v>
      </c>
      <c r="C1990" t="s">
        <v>9145</v>
      </c>
      <c r="D1990">
        <f>30-2106025971</f>
        <v>-2106025941</v>
      </c>
      <c r="E1990" t="s">
        <v>9088</v>
      </c>
      <c r="F1990" t="s">
        <v>9089</v>
      </c>
      <c r="G1990" t="s">
        <v>9090</v>
      </c>
      <c r="H1990">
        <v>23.9123278856277</v>
      </c>
      <c r="I1990">
        <v>37.984857633341598</v>
      </c>
      <c r="J1990">
        <v>130</v>
      </c>
      <c r="K1990" t="s">
        <v>536</v>
      </c>
      <c r="L1990" t="s">
        <v>536</v>
      </c>
      <c r="M1990" t="s">
        <v>536</v>
      </c>
      <c r="N1990" t="s">
        <v>536</v>
      </c>
      <c r="O1990" t="s">
        <v>536</v>
      </c>
      <c r="P1990" t="s">
        <v>45</v>
      </c>
      <c r="R1990" t="s">
        <v>9145</v>
      </c>
      <c r="S1990" t="s">
        <v>9146</v>
      </c>
      <c r="U1990" t="s">
        <v>9147</v>
      </c>
    </row>
    <row r="1991" spans="1:21" x14ac:dyDescent="0.25">
      <c r="A1991" t="s">
        <v>9148</v>
      </c>
      <c r="B1991" t="s">
        <v>22</v>
      </c>
      <c r="C1991" t="s">
        <v>9149</v>
      </c>
      <c r="D1991">
        <f>30-2168001890</f>
        <v>-2168001860</v>
      </c>
      <c r="E1991" t="s">
        <v>9088</v>
      </c>
      <c r="F1991" t="s">
        <v>9089</v>
      </c>
      <c r="G1991" t="s">
        <v>9090</v>
      </c>
      <c r="H1991">
        <v>23.703983999999998</v>
      </c>
      <c r="I1991">
        <v>37.957216699999996</v>
      </c>
      <c r="J1991">
        <v>130</v>
      </c>
      <c r="K1991" t="s">
        <v>536</v>
      </c>
      <c r="L1991" t="s">
        <v>536</v>
      </c>
      <c r="M1991" t="s">
        <v>536</v>
      </c>
      <c r="N1991" t="s">
        <v>536</v>
      </c>
      <c r="O1991" t="s">
        <v>536</v>
      </c>
      <c r="P1991" t="s">
        <v>192</v>
      </c>
      <c r="R1991" t="s">
        <v>9149</v>
      </c>
      <c r="S1991" t="s">
        <v>9150</v>
      </c>
      <c r="U1991" t="s">
        <v>9151</v>
      </c>
    </row>
    <row r="1992" spans="1:21" x14ac:dyDescent="0.25">
      <c r="A1992" t="s">
        <v>9152</v>
      </c>
      <c r="B1992" t="s">
        <v>22</v>
      </c>
      <c r="C1992" t="s">
        <v>9153</v>
      </c>
      <c r="D1992">
        <f>30-2168002777</f>
        <v>-2168002747</v>
      </c>
      <c r="E1992" t="s">
        <v>9088</v>
      </c>
      <c r="F1992" t="s">
        <v>9089</v>
      </c>
      <c r="G1992" t="s">
        <v>9090</v>
      </c>
      <c r="H1992">
        <v>23.740016900000001</v>
      </c>
      <c r="I1992">
        <v>37.978096899999997</v>
      </c>
      <c r="J1992">
        <v>130</v>
      </c>
      <c r="K1992" t="s">
        <v>536</v>
      </c>
      <c r="L1992" t="s">
        <v>536</v>
      </c>
      <c r="M1992" t="s">
        <v>536</v>
      </c>
      <c r="N1992" t="s">
        <v>536</v>
      </c>
      <c r="O1992" t="s">
        <v>536</v>
      </c>
      <c r="P1992" t="s">
        <v>192</v>
      </c>
      <c r="R1992" t="s">
        <v>9153</v>
      </c>
      <c r="S1992" t="s">
        <v>9154</v>
      </c>
      <c r="U1992" t="s">
        <v>9155</v>
      </c>
    </row>
    <row r="1993" spans="1:21" x14ac:dyDescent="0.25">
      <c r="A1993" t="s">
        <v>9156</v>
      </c>
      <c r="B1993" t="s">
        <v>22</v>
      </c>
      <c r="C1993" t="s">
        <v>9157</v>
      </c>
      <c r="D1993">
        <f>30-2610624344</f>
        <v>-2610624314</v>
      </c>
      <c r="E1993" t="s">
        <v>9158</v>
      </c>
      <c r="F1993" t="s">
        <v>9089</v>
      </c>
      <c r="G1993" t="s">
        <v>9090</v>
      </c>
      <c r="H1993">
        <v>21.735942699999999</v>
      </c>
      <c r="I1993">
        <v>38.248480499999999</v>
      </c>
      <c r="J1993">
        <v>130</v>
      </c>
      <c r="K1993" t="s">
        <v>536</v>
      </c>
      <c r="L1993" t="s">
        <v>536</v>
      </c>
      <c r="M1993" t="s">
        <v>536</v>
      </c>
      <c r="N1993" t="s">
        <v>536</v>
      </c>
      <c r="O1993" t="s">
        <v>536</v>
      </c>
      <c r="P1993" t="s">
        <v>192</v>
      </c>
      <c r="R1993" t="s">
        <v>9157</v>
      </c>
      <c r="U1993" t="s">
        <v>9159</v>
      </c>
    </row>
    <row r="1994" spans="1:21" x14ac:dyDescent="0.25">
      <c r="A1994" t="s">
        <v>9160</v>
      </c>
      <c r="B1994" t="s">
        <v>22</v>
      </c>
      <c r="C1994" t="s">
        <v>9161</v>
      </c>
      <c r="D1994">
        <f>30-2104123012</f>
        <v>-2104122982</v>
      </c>
      <c r="E1994" t="s">
        <v>9088</v>
      </c>
      <c r="F1994" t="s">
        <v>9089</v>
      </c>
      <c r="G1994" t="s">
        <v>9090</v>
      </c>
      <c r="H1994">
        <v>23.645550012588501</v>
      </c>
      <c r="I1994">
        <v>37.943664464177303</v>
      </c>
      <c r="J1994">
        <v>130</v>
      </c>
      <c r="K1994" t="s">
        <v>536</v>
      </c>
      <c r="L1994" t="s">
        <v>536</v>
      </c>
      <c r="M1994" t="s">
        <v>536</v>
      </c>
      <c r="N1994" t="s">
        <v>536</v>
      </c>
      <c r="O1994" t="s">
        <v>536</v>
      </c>
      <c r="P1994" t="s">
        <v>192</v>
      </c>
      <c r="R1994" t="s">
        <v>9161</v>
      </c>
      <c r="S1994" t="s">
        <v>9162</v>
      </c>
      <c r="U1994" t="s">
        <v>9163</v>
      </c>
    </row>
    <row r="1995" spans="1:21" x14ac:dyDescent="0.25">
      <c r="A1995" t="s">
        <v>9164</v>
      </c>
      <c r="B1995" t="s">
        <v>38</v>
      </c>
      <c r="C1995" t="s">
        <v>9165</v>
      </c>
      <c r="D1995">
        <f>30-2541029803</f>
        <v>-2541029773</v>
      </c>
      <c r="E1995" t="s">
        <v>9166</v>
      </c>
      <c r="F1995" t="s">
        <v>9089</v>
      </c>
      <c r="G1995" t="s">
        <v>9090</v>
      </c>
      <c r="H1995">
        <v>24.922828674316399</v>
      </c>
      <c r="I1995">
        <v>41.1106580998485</v>
      </c>
      <c r="J1995">
        <v>130</v>
      </c>
      <c r="K1995" t="s">
        <v>312</v>
      </c>
      <c r="L1995" t="s">
        <v>312</v>
      </c>
      <c r="M1995" t="s">
        <v>312</v>
      </c>
      <c r="N1995" t="s">
        <v>312</v>
      </c>
      <c r="O1995" t="s">
        <v>312</v>
      </c>
      <c r="P1995" t="s">
        <v>192</v>
      </c>
      <c r="R1995" t="s">
        <v>9165</v>
      </c>
      <c r="S1995" t="s">
        <v>9167</v>
      </c>
      <c r="U1995" t="s">
        <v>9168</v>
      </c>
    </row>
    <row r="1996" spans="1:21" x14ac:dyDescent="0.25">
      <c r="A1996" t="s">
        <v>9169</v>
      </c>
      <c r="B1996" t="s">
        <v>22</v>
      </c>
      <c r="C1996" t="s">
        <v>9170</v>
      </c>
      <c r="D1996">
        <f>30-2108942685</f>
        <v>-2108942655</v>
      </c>
      <c r="E1996" t="s">
        <v>9088</v>
      </c>
      <c r="F1996" t="s">
        <v>9089</v>
      </c>
      <c r="G1996" t="s">
        <v>9090</v>
      </c>
      <c r="H1996">
        <v>23.754655799215101</v>
      </c>
      <c r="I1996">
        <v>37.859941638709103</v>
      </c>
      <c r="J1996">
        <v>130</v>
      </c>
      <c r="K1996" t="s">
        <v>536</v>
      </c>
      <c r="L1996" t="s">
        <v>536</v>
      </c>
      <c r="M1996" t="s">
        <v>536</v>
      </c>
      <c r="N1996" t="s">
        <v>536</v>
      </c>
      <c r="O1996" t="s">
        <v>536</v>
      </c>
      <c r="P1996" t="s">
        <v>192</v>
      </c>
      <c r="R1996" t="s">
        <v>9170</v>
      </c>
      <c r="S1996" t="s">
        <v>9171</v>
      </c>
      <c r="U1996" t="s">
        <v>9172</v>
      </c>
    </row>
    <row r="1997" spans="1:21" x14ac:dyDescent="0.25">
      <c r="A1997" t="s">
        <v>9173</v>
      </c>
      <c r="B1997" t="s">
        <v>32</v>
      </c>
      <c r="C1997" t="s">
        <v>9174</v>
      </c>
      <c r="D1997">
        <f>30-2310264419</f>
        <v>-2310264389</v>
      </c>
      <c r="E1997" t="s">
        <v>9102</v>
      </c>
      <c r="F1997" t="s">
        <v>9089</v>
      </c>
      <c r="G1997" t="s">
        <v>9090</v>
      </c>
      <c r="H1997">
        <v>22.9404675</v>
      </c>
      <c r="I1997">
        <v>40.634135899999997</v>
      </c>
      <c r="J1997">
        <v>130</v>
      </c>
      <c r="K1997" t="s">
        <v>536</v>
      </c>
      <c r="L1997" t="s">
        <v>536</v>
      </c>
      <c r="M1997" t="s">
        <v>536</v>
      </c>
      <c r="N1997" t="s">
        <v>536</v>
      </c>
      <c r="O1997" t="s">
        <v>536</v>
      </c>
      <c r="P1997" t="s">
        <v>192</v>
      </c>
      <c r="R1997" t="s">
        <v>9174</v>
      </c>
      <c r="U1997" t="s">
        <v>9175</v>
      </c>
    </row>
    <row r="1998" spans="1:21" x14ac:dyDescent="0.25">
      <c r="A1998" t="s">
        <v>9176</v>
      </c>
      <c r="B1998" t="s">
        <v>22</v>
      </c>
      <c r="C1998" t="s">
        <v>9177</v>
      </c>
      <c r="D1998">
        <f>30-2610273411</f>
        <v>-2610273381</v>
      </c>
      <c r="E1998" t="s">
        <v>9158</v>
      </c>
      <c r="F1998" t="s">
        <v>9089</v>
      </c>
      <c r="G1998" t="s">
        <v>9090</v>
      </c>
      <c r="H1998">
        <v>21.735688447952199</v>
      </c>
      <c r="I1998">
        <v>38.248232724432498</v>
      </c>
      <c r="J1998">
        <v>130</v>
      </c>
      <c r="K1998" t="s">
        <v>536</v>
      </c>
      <c r="L1998" t="s">
        <v>536</v>
      </c>
      <c r="M1998" t="s">
        <v>536</v>
      </c>
      <c r="N1998" t="s">
        <v>536</v>
      </c>
      <c r="O1998" t="s">
        <v>536</v>
      </c>
      <c r="P1998" t="s">
        <v>192</v>
      </c>
      <c r="R1998" t="s">
        <v>9177</v>
      </c>
      <c r="U1998" t="s">
        <v>9178</v>
      </c>
    </row>
    <row r="1999" spans="1:21" x14ac:dyDescent="0.25">
      <c r="A1999" t="s">
        <v>9179</v>
      </c>
      <c r="B1999" t="s">
        <v>38</v>
      </c>
      <c r="C1999" t="s">
        <v>9180</v>
      </c>
      <c r="D1999">
        <f>30-2651003222</f>
        <v>-2651003192</v>
      </c>
      <c r="E1999" t="s">
        <v>9127</v>
      </c>
      <c r="F1999" t="s">
        <v>9089</v>
      </c>
      <c r="G1999" t="s">
        <v>9090</v>
      </c>
      <c r="H1999">
        <v>20.872457690087899</v>
      </c>
      <c r="I1999">
        <v>39.549968699023303</v>
      </c>
      <c r="J1999">
        <v>130</v>
      </c>
      <c r="K1999" t="s">
        <v>536</v>
      </c>
      <c r="L1999" t="s">
        <v>536</v>
      </c>
      <c r="M1999" t="s">
        <v>536</v>
      </c>
      <c r="N1999" t="s">
        <v>536</v>
      </c>
      <c r="O1999" t="s">
        <v>536</v>
      </c>
      <c r="P1999" t="s">
        <v>45</v>
      </c>
      <c r="R1999" t="s">
        <v>9180</v>
      </c>
      <c r="U1999" t="s">
        <v>9181</v>
      </c>
    </row>
    <row r="2000" spans="1:21" x14ac:dyDescent="0.25">
      <c r="A2000" t="s">
        <v>9182</v>
      </c>
      <c r="B2000" t="s">
        <v>38</v>
      </c>
      <c r="C2000" t="s">
        <v>9183</v>
      </c>
      <c r="D2000">
        <f>30-2421076300</f>
        <v>-2421076270</v>
      </c>
      <c r="E2000" t="s">
        <v>9184</v>
      </c>
      <c r="F2000" t="s">
        <v>9089</v>
      </c>
      <c r="G2000" t="s">
        <v>9090</v>
      </c>
      <c r="H2000">
        <v>22.948268899999999</v>
      </c>
      <c r="I2000">
        <v>39.3606549</v>
      </c>
      <c r="J2000">
        <v>130</v>
      </c>
      <c r="K2000" t="s">
        <v>536</v>
      </c>
      <c r="L2000" t="s">
        <v>536</v>
      </c>
      <c r="M2000" t="s">
        <v>536</v>
      </c>
      <c r="N2000" t="s">
        <v>536</v>
      </c>
      <c r="O2000" t="s">
        <v>536</v>
      </c>
      <c r="P2000" t="s">
        <v>192</v>
      </c>
      <c r="R2000" t="s">
        <v>9183</v>
      </c>
      <c r="U2000" t="s">
        <v>9185</v>
      </c>
    </row>
    <row r="2001" spans="1:21" x14ac:dyDescent="0.25">
      <c r="A2001" t="s">
        <v>9186</v>
      </c>
      <c r="B2001" t="s">
        <v>22</v>
      </c>
      <c r="C2001" t="s">
        <v>9187</v>
      </c>
      <c r="D2001">
        <f>30-2310478773</f>
        <v>-2310478743</v>
      </c>
      <c r="E2001" t="s">
        <v>9102</v>
      </c>
      <c r="F2001" t="s">
        <v>9089</v>
      </c>
      <c r="G2001" t="s">
        <v>9090</v>
      </c>
      <c r="H2001">
        <v>22.993268966674801</v>
      </c>
      <c r="I2001">
        <v>40.555678326925602</v>
      </c>
      <c r="J2001">
        <v>130</v>
      </c>
      <c r="K2001" t="s">
        <v>536</v>
      </c>
      <c r="L2001" t="s">
        <v>536</v>
      </c>
      <c r="M2001" t="s">
        <v>536</v>
      </c>
      <c r="N2001" t="s">
        <v>536</v>
      </c>
      <c r="O2001" t="s">
        <v>536</v>
      </c>
      <c r="P2001" t="s">
        <v>45</v>
      </c>
      <c r="R2001" t="s">
        <v>9187</v>
      </c>
      <c r="S2001" t="s">
        <v>9188</v>
      </c>
      <c r="U2001" t="s">
        <v>9189</v>
      </c>
    </row>
    <row r="2002" spans="1:21" x14ac:dyDescent="0.25">
      <c r="A2002" t="s">
        <v>9190</v>
      </c>
      <c r="B2002" t="s">
        <v>22</v>
      </c>
      <c r="C2002" t="s">
        <v>9191</v>
      </c>
      <c r="D2002">
        <f>30-2721088542</f>
        <v>-2721088512</v>
      </c>
      <c r="E2002" t="s">
        <v>9192</v>
      </c>
      <c r="F2002" t="s">
        <v>9089</v>
      </c>
      <c r="G2002" t="s">
        <v>9090</v>
      </c>
      <c r="H2002">
        <v>22.111335804951601</v>
      </c>
      <c r="I2002">
        <v>37.040460798608997</v>
      </c>
      <c r="J2002">
        <v>130</v>
      </c>
      <c r="K2002" t="s">
        <v>536</v>
      </c>
      <c r="L2002" t="s">
        <v>536</v>
      </c>
      <c r="M2002" t="s">
        <v>536</v>
      </c>
      <c r="N2002" t="s">
        <v>536</v>
      </c>
      <c r="O2002" t="s">
        <v>536</v>
      </c>
      <c r="P2002" t="s">
        <v>192</v>
      </c>
      <c r="R2002" t="s">
        <v>9191</v>
      </c>
      <c r="U2002" t="s">
        <v>9193</v>
      </c>
    </row>
    <row r="2003" spans="1:21" x14ac:dyDescent="0.25">
      <c r="A2003" t="s">
        <v>9194</v>
      </c>
      <c r="B2003" t="s">
        <v>22</v>
      </c>
      <c r="C2003" t="s">
        <v>9195</v>
      </c>
      <c r="D2003">
        <f>30-2821054077</f>
        <v>-2821054047</v>
      </c>
      <c r="E2003" t="s">
        <v>9196</v>
      </c>
      <c r="F2003" t="s">
        <v>9089</v>
      </c>
      <c r="G2003" t="s">
        <v>9090</v>
      </c>
      <c r="H2003">
        <v>24.0216898343526</v>
      </c>
      <c r="I2003">
        <v>35.513442882499</v>
      </c>
      <c r="J2003">
        <v>130</v>
      </c>
      <c r="K2003" t="s">
        <v>312</v>
      </c>
      <c r="L2003" t="s">
        <v>312</v>
      </c>
      <c r="M2003" t="s">
        <v>312</v>
      </c>
      <c r="N2003" t="s">
        <v>312</v>
      </c>
      <c r="O2003" t="s">
        <v>312</v>
      </c>
      <c r="P2003" t="s">
        <v>192</v>
      </c>
      <c r="R2003" t="s">
        <v>9195</v>
      </c>
      <c r="S2003" t="s">
        <v>9196</v>
      </c>
      <c r="U2003" t="s">
        <v>9197</v>
      </c>
    </row>
    <row r="2004" spans="1:21" x14ac:dyDescent="0.25">
      <c r="A2004" t="s">
        <v>9198</v>
      </c>
      <c r="B2004" t="s">
        <v>22</v>
      </c>
      <c r="C2004" t="s">
        <v>9199</v>
      </c>
      <c r="D2004">
        <f>30-2816007464</f>
        <v>-2816007434</v>
      </c>
      <c r="E2004" t="s">
        <v>9200</v>
      </c>
      <c r="F2004" t="s">
        <v>9089</v>
      </c>
      <c r="G2004" t="s">
        <v>9090</v>
      </c>
      <c r="H2004">
        <v>25.133999165261201</v>
      </c>
      <c r="I2004">
        <v>35.340503688256</v>
      </c>
      <c r="J2004">
        <v>130</v>
      </c>
      <c r="K2004" t="s">
        <v>536</v>
      </c>
      <c r="L2004" t="s">
        <v>536</v>
      </c>
      <c r="M2004" t="s">
        <v>536</v>
      </c>
      <c r="N2004" t="s">
        <v>536</v>
      </c>
      <c r="O2004" t="s">
        <v>536</v>
      </c>
      <c r="P2004" t="s">
        <v>192</v>
      </c>
      <c r="R2004" t="s">
        <v>9199</v>
      </c>
      <c r="S2004" t="s">
        <v>9200</v>
      </c>
      <c r="U2004" t="s">
        <v>9201</v>
      </c>
    </row>
    <row r="2005" spans="1:21" x14ac:dyDescent="0.25">
      <c r="A2005" t="s">
        <v>9202</v>
      </c>
      <c r="B2005" t="s">
        <v>32</v>
      </c>
      <c r="C2005" t="s">
        <v>9203</v>
      </c>
      <c r="D2005">
        <f>30-2103250355</f>
        <v>-2103250325</v>
      </c>
      <c r="E2005" t="s">
        <v>9088</v>
      </c>
      <c r="F2005" t="s">
        <v>9089</v>
      </c>
      <c r="G2005" t="s">
        <v>9090</v>
      </c>
      <c r="H2005">
        <v>23.732451489671199</v>
      </c>
      <c r="I2005">
        <v>37.975826158849003</v>
      </c>
      <c r="J2005">
        <v>130</v>
      </c>
      <c r="K2005" t="s">
        <v>536</v>
      </c>
      <c r="L2005" t="s">
        <v>536</v>
      </c>
      <c r="M2005" t="s">
        <v>536</v>
      </c>
      <c r="N2005" t="s">
        <v>536</v>
      </c>
      <c r="O2005" t="s">
        <v>536</v>
      </c>
      <c r="P2005" t="s">
        <v>192</v>
      </c>
      <c r="R2005" t="s">
        <v>9203</v>
      </c>
      <c r="U2005" t="s">
        <v>9204</v>
      </c>
    </row>
    <row r="2006" spans="1:21" x14ac:dyDescent="0.25">
      <c r="A2006" t="s">
        <v>9205</v>
      </c>
      <c r="B2006" t="s">
        <v>38</v>
      </c>
      <c r="C2006" t="s">
        <v>9206</v>
      </c>
      <c r="D2006">
        <f>30-2741075023</f>
        <v>-2741074993</v>
      </c>
      <c r="E2006" t="s">
        <v>9207</v>
      </c>
      <c r="F2006" t="s">
        <v>9089</v>
      </c>
      <c r="G2006" t="s">
        <v>9090</v>
      </c>
      <c r="H2006">
        <v>22.8747803582031</v>
      </c>
      <c r="I2006">
        <v>37.931734724239199</v>
      </c>
      <c r="J2006">
        <v>130</v>
      </c>
      <c r="K2006" t="s">
        <v>312</v>
      </c>
      <c r="L2006" t="s">
        <v>312</v>
      </c>
      <c r="M2006" t="s">
        <v>312</v>
      </c>
      <c r="N2006" t="s">
        <v>312</v>
      </c>
      <c r="O2006" t="s">
        <v>312</v>
      </c>
      <c r="P2006" t="s">
        <v>192</v>
      </c>
      <c r="R2006" t="s">
        <v>9206</v>
      </c>
      <c r="U2006" t="s">
        <v>9208</v>
      </c>
    </row>
    <row r="2007" spans="1:21" x14ac:dyDescent="0.25">
      <c r="A2007" t="s">
        <v>9209</v>
      </c>
      <c r="B2007" t="s">
        <v>38</v>
      </c>
      <c r="C2007" t="s">
        <v>9210</v>
      </c>
      <c r="D2007">
        <f>30-2331306733</f>
        <v>-2331306703</v>
      </c>
      <c r="E2007" t="s">
        <v>9211</v>
      </c>
      <c r="F2007" t="s">
        <v>9089</v>
      </c>
      <c r="G2007" t="s">
        <v>9090</v>
      </c>
      <c r="H2007">
        <v>22.203960926181001</v>
      </c>
      <c r="I2007">
        <v>40.522909529520398</v>
      </c>
      <c r="J2007">
        <v>130</v>
      </c>
      <c r="K2007" t="s">
        <v>312</v>
      </c>
      <c r="L2007" t="s">
        <v>312</v>
      </c>
      <c r="M2007" t="s">
        <v>312</v>
      </c>
      <c r="N2007" t="s">
        <v>312</v>
      </c>
      <c r="O2007" t="s">
        <v>312</v>
      </c>
      <c r="P2007" t="s">
        <v>192</v>
      </c>
      <c r="R2007" t="s">
        <v>9210</v>
      </c>
      <c r="U2007" t="s">
        <v>9212</v>
      </c>
    </row>
    <row r="2008" spans="1:21" x14ac:dyDescent="0.25">
      <c r="A2008" t="s">
        <v>9213</v>
      </c>
      <c r="B2008" t="s">
        <v>22</v>
      </c>
      <c r="C2008" t="s">
        <v>9214</v>
      </c>
      <c r="D2008">
        <f>30-2416007218</f>
        <v>-2416007188</v>
      </c>
      <c r="E2008" t="s">
        <v>9215</v>
      </c>
      <c r="F2008" t="s">
        <v>9089</v>
      </c>
      <c r="G2008" t="s">
        <v>9090</v>
      </c>
      <c r="H2008">
        <v>22.4197905878356</v>
      </c>
      <c r="I2008">
        <v>39.637816130087799</v>
      </c>
      <c r="J2008">
        <v>130</v>
      </c>
      <c r="K2008" t="s">
        <v>536</v>
      </c>
      <c r="L2008" t="s">
        <v>536</v>
      </c>
      <c r="M2008" t="s">
        <v>536</v>
      </c>
      <c r="N2008" t="s">
        <v>536</v>
      </c>
      <c r="O2008" t="s">
        <v>536</v>
      </c>
      <c r="P2008" t="s">
        <v>192</v>
      </c>
      <c r="R2008" t="s">
        <v>9214</v>
      </c>
      <c r="U2008" t="s">
        <v>9216</v>
      </c>
    </row>
    <row r="2009" spans="1:21" x14ac:dyDescent="0.25">
      <c r="A2009" t="s">
        <v>9217</v>
      </c>
      <c r="B2009" t="s">
        <v>22</v>
      </c>
      <c r="C2009" t="s">
        <v>9218</v>
      </c>
      <c r="D2009">
        <f>30-2168099281</f>
        <v>-2168099251</v>
      </c>
      <c r="E2009" t="s">
        <v>9088</v>
      </c>
      <c r="F2009" t="s">
        <v>9089</v>
      </c>
      <c r="G2009" t="s">
        <v>9090</v>
      </c>
      <c r="H2009">
        <v>23.822596287487801</v>
      </c>
      <c r="I2009">
        <v>38.012251093268198</v>
      </c>
      <c r="J2009">
        <v>130</v>
      </c>
      <c r="K2009" t="s">
        <v>536</v>
      </c>
      <c r="L2009" t="s">
        <v>536</v>
      </c>
      <c r="M2009" t="s">
        <v>536</v>
      </c>
      <c r="N2009" t="s">
        <v>536</v>
      </c>
      <c r="O2009" t="s">
        <v>536</v>
      </c>
      <c r="P2009" t="s">
        <v>192</v>
      </c>
      <c r="R2009" t="s">
        <v>9218</v>
      </c>
      <c r="S2009" t="s">
        <v>9219</v>
      </c>
      <c r="U2009" t="s">
        <v>9220</v>
      </c>
    </row>
    <row r="2010" spans="1:21" x14ac:dyDescent="0.25">
      <c r="A2010" t="s">
        <v>9221</v>
      </c>
      <c r="B2010" t="s">
        <v>38</v>
      </c>
      <c r="C2010" t="s">
        <v>9222</v>
      </c>
      <c r="D2010">
        <f>30-2641306802</f>
        <v>-2641306772</v>
      </c>
      <c r="E2010" t="s">
        <v>9223</v>
      </c>
      <c r="F2010" t="s">
        <v>9089</v>
      </c>
      <c r="G2010" t="s">
        <v>9090</v>
      </c>
      <c r="H2010">
        <v>21.409464653967198</v>
      </c>
      <c r="I2010">
        <v>38.625209507398502</v>
      </c>
      <c r="J2010">
        <v>130</v>
      </c>
      <c r="K2010" t="s">
        <v>312</v>
      </c>
      <c r="L2010" t="s">
        <v>312</v>
      </c>
      <c r="M2010" t="s">
        <v>312</v>
      </c>
      <c r="N2010" t="s">
        <v>312</v>
      </c>
      <c r="O2010" t="s">
        <v>312</v>
      </c>
      <c r="P2010" t="s">
        <v>192</v>
      </c>
      <c r="R2010" t="s">
        <v>9222</v>
      </c>
      <c r="U2010" t="s">
        <v>9224</v>
      </c>
    </row>
    <row r="2011" spans="1:21" x14ac:dyDescent="0.25">
      <c r="A2011" t="s">
        <v>9225</v>
      </c>
      <c r="B2011" t="s">
        <v>22</v>
      </c>
      <c r="C2011" t="s">
        <v>9226</v>
      </c>
      <c r="D2011">
        <f>852-31066940</f>
        <v>-31066088</v>
      </c>
      <c r="E2011" t="s">
        <v>9227</v>
      </c>
      <c r="F2011" t="s">
        <v>9228</v>
      </c>
      <c r="G2011" t="s">
        <v>9229</v>
      </c>
      <c r="H2011">
        <v>114.174584</v>
      </c>
      <c r="I2011">
        <v>22.337418</v>
      </c>
      <c r="J2011">
        <v>210</v>
      </c>
      <c r="K2011" t="s">
        <v>3814</v>
      </c>
      <c r="L2011" t="s">
        <v>3814</v>
      </c>
      <c r="M2011" t="s">
        <v>3814</v>
      </c>
      <c r="N2011" t="s">
        <v>3814</v>
      </c>
      <c r="O2011" t="s">
        <v>3815</v>
      </c>
      <c r="P2011" t="s">
        <v>3815</v>
      </c>
      <c r="Q2011" t="s">
        <v>3814</v>
      </c>
      <c r="R2011" t="s">
        <v>9226</v>
      </c>
      <c r="S2011" t="s">
        <v>9230</v>
      </c>
      <c r="U2011" t="s">
        <v>9231</v>
      </c>
    </row>
    <row r="2012" spans="1:21" x14ac:dyDescent="0.25">
      <c r="A2012" t="s">
        <v>9232</v>
      </c>
      <c r="B2012" t="s">
        <v>22</v>
      </c>
      <c r="C2012" t="s">
        <v>9233</v>
      </c>
      <c r="D2012">
        <f>852-31014463</f>
        <v>-31013611</v>
      </c>
      <c r="E2012" t="s">
        <v>9227</v>
      </c>
      <c r="F2012" t="s">
        <v>9228</v>
      </c>
      <c r="G2012" t="s">
        <v>9229</v>
      </c>
      <c r="H2012">
        <v>114.216012954711</v>
      </c>
      <c r="I2012">
        <v>22.284331282486601</v>
      </c>
      <c r="J2012">
        <v>210</v>
      </c>
      <c r="K2012" t="s">
        <v>27</v>
      </c>
      <c r="L2012" t="s">
        <v>27</v>
      </c>
      <c r="M2012" t="s">
        <v>27</v>
      </c>
      <c r="N2012" t="s">
        <v>27</v>
      </c>
      <c r="O2012" t="s">
        <v>77</v>
      </c>
      <c r="P2012" t="s">
        <v>77</v>
      </c>
      <c r="Q2012" t="s">
        <v>77</v>
      </c>
      <c r="R2012" t="s">
        <v>9233</v>
      </c>
      <c r="S2012" t="s">
        <v>9234</v>
      </c>
      <c r="U2012" t="s">
        <v>9235</v>
      </c>
    </row>
    <row r="2013" spans="1:21" x14ac:dyDescent="0.25">
      <c r="A2013" t="s">
        <v>9236</v>
      </c>
      <c r="B2013" t="s">
        <v>32</v>
      </c>
      <c r="C2013" t="s">
        <v>9237</v>
      </c>
      <c r="D2013">
        <f>852-35211171</f>
        <v>-35210319</v>
      </c>
      <c r="E2013" t="s">
        <v>9227</v>
      </c>
      <c r="F2013" t="s">
        <v>9228</v>
      </c>
      <c r="G2013" t="s">
        <v>9229</v>
      </c>
      <c r="H2013">
        <v>114.169235229492</v>
      </c>
      <c r="I2013">
        <v>22.297157071009298</v>
      </c>
      <c r="J2013">
        <v>210</v>
      </c>
      <c r="K2013" t="s">
        <v>9238</v>
      </c>
      <c r="L2013" t="s">
        <v>9238</v>
      </c>
      <c r="M2013" t="s">
        <v>9238</v>
      </c>
      <c r="N2013" t="s">
        <v>9238</v>
      </c>
      <c r="O2013" t="s">
        <v>9238</v>
      </c>
      <c r="P2013" t="s">
        <v>9238</v>
      </c>
      <c r="Q2013" t="s">
        <v>9238</v>
      </c>
      <c r="R2013" t="s">
        <v>9237</v>
      </c>
      <c r="S2013" t="s">
        <v>9239</v>
      </c>
      <c r="U2013" t="s">
        <v>9240</v>
      </c>
    </row>
    <row r="2014" spans="1:21" x14ac:dyDescent="0.25">
      <c r="A2014" t="s">
        <v>9241</v>
      </c>
      <c r="B2014" t="s">
        <v>38</v>
      </c>
      <c r="C2014" t="s">
        <v>9242</v>
      </c>
      <c r="D2014">
        <f>852-31029143</f>
        <v>-31028291</v>
      </c>
      <c r="E2014" t="s">
        <v>9227</v>
      </c>
      <c r="F2014" t="s">
        <v>9228</v>
      </c>
      <c r="G2014" t="s">
        <v>9229</v>
      </c>
      <c r="H2014">
        <v>114.20204699999999</v>
      </c>
      <c r="I2014">
        <v>22.340633</v>
      </c>
      <c r="J2014">
        <v>210</v>
      </c>
      <c r="K2014" t="s">
        <v>2229</v>
      </c>
      <c r="L2014" t="s">
        <v>2229</v>
      </c>
      <c r="M2014" t="s">
        <v>2229</v>
      </c>
      <c r="N2014" t="s">
        <v>2229</v>
      </c>
      <c r="O2014" t="s">
        <v>2229</v>
      </c>
      <c r="P2014" t="s">
        <v>2229</v>
      </c>
      <c r="Q2014" t="s">
        <v>2229</v>
      </c>
      <c r="R2014" t="s">
        <v>9242</v>
      </c>
      <c r="S2014" t="s">
        <v>9243</v>
      </c>
      <c r="U2014" t="s">
        <v>9244</v>
      </c>
    </row>
    <row r="2015" spans="1:21" x14ac:dyDescent="0.25">
      <c r="A2015" t="s">
        <v>9245</v>
      </c>
      <c r="B2015" t="s">
        <v>38</v>
      </c>
      <c r="C2015" t="s">
        <v>9246</v>
      </c>
      <c r="D2015">
        <f>852-21164240</f>
        <v>-21163388</v>
      </c>
      <c r="E2015" t="s">
        <v>9227</v>
      </c>
      <c r="F2015" t="s">
        <v>9228</v>
      </c>
      <c r="G2015" t="s">
        <v>9229</v>
      </c>
      <c r="H2015">
        <v>114.208168</v>
      </c>
      <c r="I2015">
        <v>22.319595</v>
      </c>
      <c r="J2015">
        <v>210</v>
      </c>
      <c r="K2015" t="s">
        <v>3815</v>
      </c>
      <c r="L2015" t="s">
        <v>3815</v>
      </c>
      <c r="M2015" t="s">
        <v>3815</v>
      </c>
      <c r="N2015" t="s">
        <v>3815</v>
      </c>
      <c r="O2015" t="s">
        <v>3815</v>
      </c>
      <c r="P2015" t="s">
        <v>3815</v>
      </c>
      <c r="Q2015" t="s">
        <v>3815</v>
      </c>
      <c r="R2015" t="s">
        <v>9246</v>
      </c>
      <c r="S2015" t="s">
        <v>9247</v>
      </c>
      <c r="U2015" t="s">
        <v>9248</v>
      </c>
    </row>
    <row r="2016" spans="1:21" x14ac:dyDescent="0.25">
      <c r="A2016" t="s">
        <v>9249</v>
      </c>
      <c r="B2016" t="s">
        <v>22</v>
      </c>
      <c r="C2016" t="s">
        <v>9250</v>
      </c>
      <c r="D2016">
        <f>852-26067708</f>
        <v>-26066856</v>
      </c>
      <c r="E2016" t="s">
        <v>9227</v>
      </c>
      <c r="F2016" t="s">
        <v>9228</v>
      </c>
      <c r="G2016" t="s">
        <v>9229</v>
      </c>
      <c r="H2016">
        <v>114.188772439956</v>
      </c>
      <c r="I2016">
        <v>22.381210265404398</v>
      </c>
      <c r="J2016">
        <v>210</v>
      </c>
      <c r="K2016" t="s">
        <v>77</v>
      </c>
      <c r="L2016" t="s">
        <v>77</v>
      </c>
      <c r="M2016" t="s">
        <v>77</v>
      </c>
      <c r="N2016" t="s">
        <v>77</v>
      </c>
      <c r="O2016" t="s">
        <v>77</v>
      </c>
      <c r="P2016" t="s">
        <v>77</v>
      </c>
      <c r="Q2016" t="s">
        <v>77</v>
      </c>
      <c r="R2016" t="s">
        <v>9250</v>
      </c>
      <c r="S2016" t="s">
        <v>9251</v>
      </c>
      <c r="U2016" t="s">
        <v>9252</v>
      </c>
    </row>
    <row r="2017" spans="1:21" x14ac:dyDescent="0.25">
      <c r="A2017" t="s">
        <v>9253</v>
      </c>
      <c r="B2017" t="s">
        <v>22</v>
      </c>
      <c r="C2017" t="s">
        <v>9254</v>
      </c>
      <c r="D2017">
        <f>852-34279470</f>
        <v>-34278618</v>
      </c>
      <c r="E2017" t="s">
        <v>9227</v>
      </c>
      <c r="F2017" t="s">
        <v>9228</v>
      </c>
      <c r="G2017" t="s">
        <v>9229</v>
      </c>
      <c r="H2017">
        <v>114.258101</v>
      </c>
      <c r="I2017">
        <v>22.323264999999999</v>
      </c>
      <c r="J2017">
        <v>210</v>
      </c>
      <c r="K2017" t="s">
        <v>27</v>
      </c>
      <c r="L2017" t="s">
        <v>27</v>
      </c>
      <c r="M2017" t="s">
        <v>27</v>
      </c>
      <c r="N2017" t="s">
        <v>27</v>
      </c>
      <c r="O2017" t="s">
        <v>27</v>
      </c>
      <c r="P2017" t="s">
        <v>27</v>
      </c>
      <c r="Q2017" t="s">
        <v>27</v>
      </c>
      <c r="R2017" t="s">
        <v>9254</v>
      </c>
      <c r="S2017" t="s">
        <v>9255</v>
      </c>
      <c r="U2017" t="s">
        <v>9256</v>
      </c>
    </row>
    <row r="2018" spans="1:21" x14ac:dyDescent="0.25">
      <c r="A2018" t="s">
        <v>9257</v>
      </c>
      <c r="B2018" t="s">
        <v>22</v>
      </c>
      <c r="C2018" t="s">
        <v>9258</v>
      </c>
      <c r="D2018">
        <f>852-31097470</f>
        <v>-31096618</v>
      </c>
      <c r="E2018" t="s">
        <v>9227</v>
      </c>
      <c r="F2018" t="s">
        <v>9228</v>
      </c>
      <c r="G2018" t="s">
        <v>9229</v>
      </c>
      <c r="H2018">
        <v>114.110978</v>
      </c>
      <c r="I2018">
        <v>22.370739</v>
      </c>
      <c r="J2018">
        <v>210</v>
      </c>
      <c r="K2018" t="s">
        <v>3814</v>
      </c>
      <c r="L2018" t="s">
        <v>3814</v>
      </c>
      <c r="M2018" t="s">
        <v>3814</v>
      </c>
      <c r="N2018" t="s">
        <v>3814</v>
      </c>
      <c r="O2018" t="s">
        <v>3814</v>
      </c>
      <c r="P2018" t="s">
        <v>3814</v>
      </c>
      <c r="Q2018" t="s">
        <v>3814</v>
      </c>
      <c r="R2018" t="s">
        <v>9258</v>
      </c>
      <c r="S2018" t="s">
        <v>9259</v>
      </c>
      <c r="U2018" t="s">
        <v>9260</v>
      </c>
    </row>
    <row r="2019" spans="1:21" x14ac:dyDescent="0.25">
      <c r="A2019" t="s">
        <v>9261</v>
      </c>
      <c r="B2019" t="s">
        <v>22</v>
      </c>
      <c r="C2019" t="s">
        <v>9262</v>
      </c>
      <c r="D2019">
        <f>852-3148-1006</f>
        <v>-3302</v>
      </c>
      <c r="E2019" t="s">
        <v>9227</v>
      </c>
      <c r="F2019" t="s">
        <v>9228</v>
      </c>
      <c r="G2019" t="s">
        <v>9229</v>
      </c>
      <c r="H2019">
        <v>114.2252</v>
      </c>
      <c r="I2019">
        <v>22.3124</v>
      </c>
      <c r="J2019">
        <v>210</v>
      </c>
      <c r="K2019" t="s">
        <v>9263</v>
      </c>
      <c r="L2019" t="s">
        <v>9263</v>
      </c>
      <c r="M2019" t="s">
        <v>9263</v>
      </c>
      <c r="N2019" t="s">
        <v>9263</v>
      </c>
      <c r="O2019" t="s">
        <v>9263</v>
      </c>
      <c r="P2019" t="s">
        <v>9263</v>
      </c>
      <c r="Q2019" t="s">
        <v>9263</v>
      </c>
      <c r="R2019" t="s">
        <v>9262</v>
      </c>
      <c r="S2019" t="s">
        <v>9264</v>
      </c>
      <c r="U2019" t="s">
        <v>9265</v>
      </c>
    </row>
    <row r="2020" spans="1:21" x14ac:dyDescent="0.25">
      <c r="A2020" t="s">
        <v>9266</v>
      </c>
      <c r="B2020" t="s">
        <v>2322</v>
      </c>
      <c r="C2020" t="s">
        <v>9267</v>
      </c>
      <c r="D2020">
        <f>852-23373400</f>
        <v>-23372548</v>
      </c>
      <c r="E2020" t="s">
        <v>9227</v>
      </c>
      <c r="F2020" t="s">
        <v>9228</v>
      </c>
      <c r="G2020" t="s">
        <v>9229</v>
      </c>
      <c r="H2020">
        <v>114.18595000000001</v>
      </c>
      <c r="I2020">
        <v>22.280487000000001</v>
      </c>
      <c r="J2020">
        <v>210</v>
      </c>
      <c r="K2020" t="s">
        <v>9238</v>
      </c>
      <c r="L2020" t="s">
        <v>9238</v>
      </c>
      <c r="M2020" t="s">
        <v>9238</v>
      </c>
      <c r="N2020" t="s">
        <v>9238</v>
      </c>
      <c r="O2020" t="s">
        <v>9268</v>
      </c>
      <c r="P2020" t="s">
        <v>9268</v>
      </c>
      <c r="Q2020" t="s">
        <v>9238</v>
      </c>
      <c r="R2020" t="s">
        <v>9267</v>
      </c>
      <c r="S2020" t="s">
        <v>9269</v>
      </c>
      <c r="U2020" t="s">
        <v>9270</v>
      </c>
    </row>
    <row r="2021" spans="1:21" x14ac:dyDescent="0.25">
      <c r="A2021" t="s">
        <v>9271</v>
      </c>
      <c r="B2021" t="s">
        <v>22</v>
      </c>
      <c r="C2021" t="s">
        <v>9272</v>
      </c>
      <c r="D2021">
        <f>852-28111584</f>
        <v>-28110732</v>
      </c>
      <c r="E2021" t="s">
        <v>9227</v>
      </c>
      <c r="F2021" t="s">
        <v>9228</v>
      </c>
      <c r="G2021" t="s">
        <v>9229</v>
      </c>
      <c r="H2021">
        <v>114.209756</v>
      </c>
      <c r="I2021">
        <v>22.218131</v>
      </c>
      <c r="J2021">
        <v>210</v>
      </c>
      <c r="K2021" t="s">
        <v>1501</v>
      </c>
      <c r="L2021" t="s">
        <v>1501</v>
      </c>
      <c r="M2021" t="s">
        <v>1501</v>
      </c>
      <c r="N2021" t="s">
        <v>1501</v>
      </c>
      <c r="O2021" t="s">
        <v>2229</v>
      </c>
      <c r="P2021" t="s">
        <v>2229</v>
      </c>
      <c r="Q2021" t="s">
        <v>1501</v>
      </c>
      <c r="R2021" t="s">
        <v>9272</v>
      </c>
      <c r="S2021" t="s">
        <v>9273</v>
      </c>
      <c r="U2021" t="s">
        <v>9274</v>
      </c>
    </row>
    <row r="2022" spans="1:21" x14ac:dyDescent="0.25">
      <c r="A2022" t="s">
        <v>9275</v>
      </c>
      <c r="B2022" t="s">
        <v>22</v>
      </c>
      <c r="C2022" t="s">
        <v>9276</v>
      </c>
      <c r="D2022">
        <f>852-22519523</f>
        <v>-22518671</v>
      </c>
      <c r="E2022" t="s">
        <v>9227</v>
      </c>
      <c r="F2022" t="s">
        <v>9228</v>
      </c>
      <c r="G2022" t="s">
        <v>9229</v>
      </c>
      <c r="H2022">
        <v>114.11217600000001</v>
      </c>
      <c r="I2022">
        <v>22.375347999999999</v>
      </c>
      <c r="J2022">
        <v>210</v>
      </c>
      <c r="K2022" t="s">
        <v>27</v>
      </c>
      <c r="L2022" t="s">
        <v>27</v>
      </c>
      <c r="M2022" t="s">
        <v>27</v>
      </c>
      <c r="N2022" t="s">
        <v>27</v>
      </c>
      <c r="O2022" t="s">
        <v>27</v>
      </c>
      <c r="P2022" t="s">
        <v>27</v>
      </c>
      <c r="Q2022" t="s">
        <v>27</v>
      </c>
      <c r="R2022" t="s">
        <v>9276</v>
      </c>
      <c r="S2022" t="s">
        <v>9277</v>
      </c>
      <c r="U2022" t="s">
        <v>9278</v>
      </c>
    </row>
    <row r="2023" spans="1:21" x14ac:dyDescent="0.25">
      <c r="A2023" t="s">
        <v>9279</v>
      </c>
      <c r="B2023" t="s">
        <v>22</v>
      </c>
      <c r="C2023" t="s">
        <v>9280</v>
      </c>
      <c r="D2023">
        <f>385-16439530</f>
        <v>-16439145</v>
      </c>
      <c r="E2023" t="s">
        <v>9281</v>
      </c>
      <c r="F2023" t="s">
        <v>9282</v>
      </c>
      <c r="G2023" t="s">
        <v>9283</v>
      </c>
      <c r="H2023">
        <v>15.9737348556518</v>
      </c>
      <c r="I2023">
        <v>45.812424616440701</v>
      </c>
      <c r="J2023">
        <v>100</v>
      </c>
      <c r="K2023" t="s">
        <v>3543</v>
      </c>
      <c r="L2023" t="s">
        <v>3543</v>
      </c>
      <c r="M2023" t="s">
        <v>3543</v>
      </c>
      <c r="N2023" t="s">
        <v>3543</v>
      </c>
      <c r="O2023" t="s">
        <v>3543</v>
      </c>
      <c r="P2023" t="s">
        <v>3543</v>
      </c>
      <c r="Q2023" t="s">
        <v>45</v>
      </c>
      <c r="R2023" t="s">
        <v>9280</v>
      </c>
      <c r="S2023" t="s">
        <v>9284</v>
      </c>
      <c r="U2023" t="s">
        <v>9285</v>
      </c>
    </row>
    <row r="2024" spans="1:21" x14ac:dyDescent="0.25">
      <c r="A2024" t="s">
        <v>9286</v>
      </c>
      <c r="B2024" t="s">
        <v>22</v>
      </c>
      <c r="C2024" t="s">
        <v>9287</v>
      </c>
      <c r="D2024">
        <f>385-16439550</f>
        <v>-16439165</v>
      </c>
      <c r="E2024" t="s">
        <v>9281</v>
      </c>
      <c r="F2024" t="s">
        <v>9282</v>
      </c>
      <c r="G2024" t="s">
        <v>9283</v>
      </c>
      <c r="H2024">
        <v>15.939230918884199</v>
      </c>
      <c r="I2024">
        <v>45.771205031957102</v>
      </c>
      <c r="J2024">
        <v>100</v>
      </c>
      <c r="K2024" t="s">
        <v>312</v>
      </c>
      <c r="L2024" t="s">
        <v>312</v>
      </c>
      <c r="M2024" t="s">
        <v>312</v>
      </c>
      <c r="N2024" t="s">
        <v>312</v>
      </c>
      <c r="O2024" t="s">
        <v>312</v>
      </c>
      <c r="P2024" t="s">
        <v>312</v>
      </c>
      <c r="Q2024" t="s">
        <v>312</v>
      </c>
      <c r="R2024" t="s">
        <v>9287</v>
      </c>
      <c r="S2024" t="s">
        <v>9288</v>
      </c>
      <c r="U2024" t="s">
        <v>9289</v>
      </c>
    </row>
    <row r="2025" spans="1:21" x14ac:dyDescent="0.25">
      <c r="A2025" t="s">
        <v>9290</v>
      </c>
      <c r="B2025" t="s">
        <v>22</v>
      </c>
      <c r="C2025" t="s">
        <v>9291</v>
      </c>
      <c r="D2025">
        <f>385-16441740</f>
        <v>-16441355</v>
      </c>
      <c r="E2025" t="s">
        <v>9281</v>
      </c>
      <c r="F2025" t="s">
        <v>9282</v>
      </c>
      <c r="G2025" t="s">
        <v>9283</v>
      </c>
      <c r="H2025">
        <v>15.8846426010131</v>
      </c>
      <c r="I2025">
        <v>45.799336400422597</v>
      </c>
      <c r="J2025">
        <v>100</v>
      </c>
      <c r="K2025" t="s">
        <v>312</v>
      </c>
      <c r="L2025" t="s">
        <v>312</v>
      </c>
      <c r="M2025" t="s">
        <v>312</v>
      </c>
      <c r="N2025" t="s">
        <v>312</v>
      </c>
      <c r="O2025" t="s">
        <v>312</v>
      </c>
      <c r="P2025" t="s">
        <v>312</v>
      </c>
      <c r="Q2025" t="s">
        <v>312</v>
      </c>
      <c r="R2025" t="s">
        <v>9291</v>
      </c>
      <c r="S2025" t="s">
        <v>9292</v>
      </c>
      <c r="U2025" t="s">
        <v>9293</v>
      </c>
    </row>
    <row r="2026" spans="1:21" x14ac:dyDescent="0.25">
      <c r="A2026" t="s">
        <v>9294</v>
      </c>
      <c r="B2026" t="s">
        <v>22</v>
      </c>
      <c r="C2026" t="s">
        <v>9295</v>
      </c>
      <c r="D2026">
        <f>385-21689100</f>
        <v>-21688715</v>
      </c>
      <c r="E2026" t="s">
        <v>9296</v>
      </c>
      <c r="F2026" t="s">
        <v>9282</v>
      </c>
      <c r="G2026" t="s">
        <v>9283</v>
      </c>
      <c r="H2026">
        <v>16.5030097961425</v>
      </c>
      <c r="I2026">
        <v>43.513545223566503</v>
      </c>
      <c r="J2026">
        <v>100</v>
      </c>
      <c r="K2026" t="s">
        <v>312</v>
      </c>
      <c r="L2026" t="s">
        <v>312</v>
      </c>
      <c r="M2026" t="s">
        <v>312</v>
      </c>
      <c r="N2026" t="s">
        <v>312</v>
      </c>
      <c r="O2026" t="s">
        <v>312</v>
      </c>
      <c r="P2026" t="s">
        <v>312</v>
      </c>
      <c r="Q2026" t="s">
        <v>312</v>
      </c>
      <c r="R2026" t="s">
        <v>9295</v>
      </c>
      <c r="S2026" t="s">
        <v>9297</v>
      </c>
      <c r="U2026" t="s">
        <v>9298</v>
      </c>
    </row>
    <row r="2027" spans="1:21" x14ac:dyDescent="0.25">
      <c r="A2027" t="s">
        <v>9299</v>
      </c>
      <c r="B2027" t="s">
        <v>38</v>
      </c>
      <c r="C2027" t="s">
        <v>9300</v>
      </c>
      <c r="D2027">
        <f>385-23628100</f>
        <v>-23627715</v>
      </c>
      <c r="E2027" t="s">
        <v>9301</v>
      </c>
      <c r="F2027" t="s">
        <v>9282</v>
      </c>
      <c r="G2027" t="s">
        <v>9283</v>
      </c>
      <c r="H2027">
        <v>15.2694082260131</v>
      </c>
      <c r="I2027">
        <v>44.117200539099002</v>
      </c>
      <c r="J2027">
        <v>100</v>
      </c>
      <c r="K2027" t="s">
        <v>312</v>
      </c>
      <c r="L2027" t="s">
        <v>312</v>
      </c>
      <c r="M2027" t="s">
        <v>312</v>
      </c>
      <c r="N2027" t="s">
        <v>312</v>
      </c>
      <c r="O2027" t="s">
        <v>312</v>
      </c>
      <c r="P2027" t="s">
        <v>312</v>
      </c>
      <c r="Q2027" t="s">
        <v>312</v>
      </c>
      <c r="R2027" t="s">
        <v>9300</v>
      </c>
      <c r="S2027" t="s">
        <v>9302</v>
      </c>
      <c r="U2027" t="s">
        <v>9303</v>
      </c>
    </row>
    <row r="2028" spans="1:21" x14ac:dyDescent="0.25">
      <c r="A2028" t="s">
        <v>9304</v>
      </c>
      <c r="B2028" t="s">
        <v>38</v>
      </c>
      <c r="C2028" t="s">
        <v>9305</v>
      </c>
      <c r="D2028">
        <f>385-16441712</f>
        <v>-16441327</v>
      </c>
      <c r="E2028" t="s">
        <v>9281</v>
      </c>
      <c r="F2028" t="s">
        <v>9282</v>
      </c>
      <c r="G2028" t="s">
        <v>9283</v>
      </c>
      <c r="H2028">
        <v>15.826535224914499</v>
      </c>
      <c r="I2028">
        <v>45.8712461842156</v>
      </c>
      <c r="J2028">
        <v>100</v>
      </c>
      <c r="K2028" t="s">
        <v>536</v>
      </c>
      <c r="L2028" t="s">
        <v>536</v>
      </c>
      <c r="M2028" t="s">
        <v>536</v>
      </c>
      <c r="N2028" t="s">
        <v>536</v>
      </c>
      <c r="O2028" t="s">
        <v>536</v>
      </c>
      <c r="P2028" t="s">
        <v>536</v>
      </c>
      <c r="Q2028" t="s">
        <v>536</v>
      </c>
      <c r="R2028" t="s">
        <v>9305</v>
      </c>
      <c r="S2028" t="s">
        <v>9306</v>
      </c>
      <c r="U2028" t="s">
        <v>9307</v>
      </c>
    </row>
    <row r="2029" spans="1:21" x14ac:dyDescent="0.25">
      <c r="A2029" t="s">
        <v>9308</v>
      </c>
      <c r="B2029" t="s">
        <v>38</v>
      </c>
      <c r="C2029" t="s">
        <v>9309</v>
      </c>
      <c r="D2029">
        <f>385-31445051</f>
        <v>-31444666</v>
      </c>
      <c r="E2029" t="s">
        <v>9310</v>
      </c>
      <c r="F2029" t="s">
        <v>9282</v>
      </c>
      <c r="G2029" t="s">
        <v>9283</v>
      </c>
      <c r="H2029">
        <v>18.638262748718201</v>
      </c>
      <c r="I2029">
        <v>45.554148019112702</v>
      </c>
      <c r="J2029">
        <v>100</v>
      </c>
      <c r="K2029" t="s">
        <v>536</v>
      </c>
      <c r="L2029" t="s">
        <v>536</v>
      </c>
      <c r="M2029" t="s">
        <v>536</v>
      </c>
      <c r="N2029" t="s">
        <v>536</v>
      </c>
      <c r="O2029" t="s">
        <v>536</v>
      </c>
      <c r="P2029" t="s">
        <v>312</v>
      </c>
      <c r="Q2029" t="s">
        <v>312</v>
      </c>
      <c r="R2029" t="s">
        <v>9309</v>
      </c>
      <c r="S2029" t="s">
        <v>9311</v>
      </c>
      <c r="U2029" t="s">
        <v>9312</v>
      </c>
    </row>
    <row r="2030" spans="1:21" x14ac:dyDescent="0.25">
      <c r="A2030" t="s">
        <v>9313</v>
      </c>
      <c r="B2030" t="s">
        <v>38</v>
      </c>
      <c r="C2030" t="s">
        <v>9314</v>
      </c>
      <c r="D2030">
        <f>385-51688841</f>
        <v>-51688456</v>
      </c>
      <c r="E2030" t="s">
        <v>9315</v>
      </c>
      <c r="F2030" t="s">
        <v>9282</v>
      </c>
      <c r="G2030" t="s">
        <v>9283</v>
      </c>
      <c r="H2030">
        <v>14.409985542297299</v>
      </c>
      <c r="I2030">
        <v>45.337637075512397</v>
      </c>
      <c r="J2030">
        <v>100</v>
      </c>
      <c r="K2030" t="s">
        <v>312</v>
      </c>
      <c r="L2030" t="s">
        <v>312</v>
      </c>
      <c r="M2030" t="s">
        <v>312</v>
      </c>
      <c r="N2030" t="s">
        <v>312</v>
      </c>
      <c r="O2030" t="s">
        <v>312</v>
      </c>
      <c r="P2030" t="s">
        <v>312</v>
      </c>
      <c r="Q2030" t="s">
        <v>312</v>
      </c>
      <c r="R2030" t="s">
        <v>9314</v>
      </c>
      <c r="S2030" t="s">
        <v>9316</v>
      </c>
      <c r="U2030" t="s">
        <v>9317</v>
      </c>
    </row>
    <row r="2031" spans="1:21" x14ac:dyDescent="0.25">
      <c r="A2031" t="s">
        <v>9318</v>
      </c>
      <c r="B2031" t="s">
        <v>22</v>
      </c>
      <c r="C2031" t="s">
        <v>9319</v>
      </c>
      <c r="D2031">
        <f>385-16443300</f>
        <v>-16442915</v>
      </c>
      <c r="E2031" t="s">
        <v>9281</v>
      </c>
      <c r="F2031" t="s">
        <v>9282</v>
      </c>
      <c r="G2031" t="s">
        <v>9283</v>
      </c>
      <c r="H2031">
        <v>16.050752252978501</v>
      </c>
      <c r="I2031">
        <v>45.8011658883091</v>
      </c>
      <c r="J2031">
        <v>100</v>
      </c>
      <c r="K2031" t="s">
        <v>312</v>
      </c>
      <c r="L2031" t="s">
        <v>312</v>
      </c>
      <c r="M2031" t="s">
        <v>312</v>
      </c>
      <c r="N2031" t="s">
        <v>312</v>
      </c>
      <c r="O2031" t="s">
        <v>312</v>
      </c>
      <c r="P2031" t="s">
        <v>312</v>
      </c>
      <c r="Q2031" t="s">
        <v>312</v>
      </c>
      <c r="R2031" t="s">
        <v>9319</v>
      </c>
      <c r="S2031" t="s">
        <v>9320</v>
      </c>
      <c r="U2031" t="s">
        <v>9321</v>
      </c>
    </row>
    <row r="2032" spans="1:21" x14ac:dyDescent="0.25">
      <c r="A2032" t="s">
        <v>9322</v>
      </c>
      <c r="B2032" t="s">
        <v>38</v>
      </c>
      <c r="C2032" t="s">
        <v>9323</v>
      </c>
      <c r="D2032">
        <f>385-35638300</f>
        <v>-35637915</v>
      </c>
      <c r="E2032" t="s">
        <v>9324</v>
      </c>
      <c r="F2032" t="s">
        <v>9282</v>
      </c>
      <c r="G2032" t="s">
        <v>9283</v>
      </c>
      <c r="H2032">
        <v>17.997581859155201</v>
      </c>
      <c r="I2032">
        <v>45.159944279741303</v>
      </c>
      <c r="J2032">
        <v>100</v>
      </c>
      <c r="K2032" t="s">
        <v>312</v>
      </c>
      <c r="L2032" t="s">
        <v>312</v>
      </c>
      <c r="M2032" t="s">
        <v>312</v>
      </c>
      <c r="N2032" t="s">
        <v>312</v>
      </c>
      <c r="O2032" t="s">
        <v>312</v>
      </c>
      <c r="P2032" t="s">
        <v>312</v>
      </c>
      <c r="Q2032" t="s">
        <v>312</v>
      </c>
      <c r="R2032" t="s">
        <v>9323</v>
      </c>
      <c r="S2032" t="s">
        <v>9325</v>
      </c>
      <c r="U2032" t="s">
        <v>9326</v>
      </c>
    </row>
    <row r="2033" spans="1:21" x14ac:dyDescent="0.25">
      <c r="A2033" t="s">
        <v>9327</v>
      </c>
      <c r="B2033" t="s">
        <v>38</v>
      </c>
      <c r="C2033" t="s">
        <v>9328</v>
      </c>
      <c r="D2033">
        <f>385-22668580</f>
        <v>-22668195</v>
      </c>
      <c r="E2033" t="s">
        <v>9329</v>
      </c>
      <c r="F2033" t="s">
        <v>9282</v>
      </c>
      <c r="G2033" t="s">
        <v>9283</v>
      </c>
      <c r="H2033">
        <v>15.913394255078099</v>
      </c>
      <c r="I2033">
        <v>43.7124529346233</v>
      </c>
      <c r="J2033">
        <v>100</v>
      </c>
      <c r="K2033" t="s">
        <v>312</v>
      </c>
      <c r="L2033" t="s">
        <v>312</v>
      </c>
      <c r="M2033" t="s">
        <v>312</v>
      </c>
      <c r="N2033" t="s">
        <v>312</v>
      </c>
      <c r="O2033" t="s">
        <v>312</v>
      </c>
      <c r="P2033" t="s">
        <v>312</v>
      </c>
      <c r="Q2033" t="s">
        <v>312</v>
      </c>
      <c r="R2033" t="s">
        <v>9328</v>
      </c>
      <c r="S2033" t="s">
        <v>9330</v>
      </c>
      <c r="U2033" t="s">
        <v>9331</v>
      </c>
    </row>
    <row r="2034" spans="1:21" x14ac:dyDescent="0.25">
      <c r="A2034" t="s">
        <v>9332</v>
      </c>
      <c r="B2034" t="s">
        <v>38</v>
      </c>
      <c r="C2034" t="s">
        <v>9333</v>
      </c>
      <c r="D2034">
        <f>385-42660370</f>
        <v>-42659985</v>
      </c>
      <c r="E2034" t="s">
        <v>9334</v>
      </c>
      <c r="F2034" t="s">
        <v>9282</v>
      </c>
      <c r="G2034" t="s">
        <v>9283</v>
      </c>
      <c r="H2034">
        <v>16.375125300000001</v>
      </c>
      <c r="I2034">
        <v>46.264961</v>
      </c>
      <c r="J2034">
        <v>100</v>
      </c>
      <c r="K2034" t="s">
        <v>312</v>
      </c>
      <c r="L2034" t="s">
        <v>312</v>
      </c>
      <c r="M2034" t="s">
        <v>312</v>
      </c>
      <c r="N2034" t="s">
        <v>312</v>
      </c>
      <c r="O2034" t="s">
        <v>312</v>
      </c>
      <c r="P2034" t="s">
        <v>312</v>
      </c>
      <c r="Q2034" t="s">
        <v>312</v>
      </c>
      <c r="R2034" t="s">
        <v>9333</v>
      </c>
      <c r="S2034" t="s">
        <v>9335</v>
      </c>
      <c r="U2034" t="s">
        <v>9336</v>
      </c>
    </row>
    <row r="2035" spans="1:21" x14ac:dyDescent="0.25">
      <c r="A2035" t="s">
        <v>9337</v>
      </c>
      <c r="B2035" t="s">
        <v>38</v>
      </c>
      <c r="C2035" t="s">
        <v>9338</v>
      </c>
      <c r="D2035">
        <f>385-20642000</f>
        <v>-20641615</v>
      </c>
      <c r="E2035" t="s">
        <v>9339</v>
      </c>
      <c r="F2035" t="s">
        <v>9282</v>
      </c>
      <c r="G2035" t="s">
        <v>9283</v>
      </c>
      <c r="H2035">
        <v>18.1918389919433</v>
      </c>
      <c r="I2035">
        <v>42.624228274487599</v>
      </c>
      <c r="J2035">
        <v>100</v>
      </c>
      <c r="K2035" t="s">
        <v>312</v>
      </c>
      <c r="L2035" t="s">
        <v>312</v>
      </c>
      <c r="M2035" t="s">
        <v>312</v>
      </c>
      <c r="N2035" t="s">
        <v>312</v>
      </c>
      <c r="O2035" t="s">
        <v>312</v>
      </c>
      <c r="P2035" t="s">
        <v>312</v>
      </c>
      <c r="Q2035" t="s">
        <v>312</v>
      </c>
      <c r="R2035" t="s">
        <v>9338</v>
      </c>
      <c r="S2035" t="s">
        <v>9340</v>
      </c>
      <c r="U2035" t="s">
        <v>9341</v>
      </c>
    </row>
    <row r="2036" spans="1:21" x14ac:dyDescent="0.25">
      <c r="A2036" t="s">
        <v>9342</v>
      </c>
      <c r="B2036" t="s">
        <v>22</v>
      </c>
      <c r="C2036" t="s">
        <v>9343</v>
      </c>
      <c r="D2036">
        <f>385-21669660</f>
        <v>-21669275</v>
      </c>
      <c r="E2036" t="s">
        <v>9296</v>
      </c>
      <c r="F2036" t="s">
        <v>9282</v>
      </c>
      <c r="G2036" t="s">
        <v>9283</v>
      </c>
      <c r="H2036">
        <v>16.4831946749267</v>
      </c>
      <c r="I2036">
        <v>43.517593709616399</v>
      </c>
      <c r="J2036">
        <v>100</v>
      </c>
      <c r="K2036" t="s">
        <v>312</v>
      </c>
      <c r="L2036" t="s">
        <v>312</v>
      </c>
      <c r="M2036" t="s">
        <v>312</v>
      </c>
      <c r="N2036" t="s">
        <v>312</v>
      </c>
      <c r="O2036" t="s">
        <v>312</v>
      </c>
      <c r="P2036" t="s">
        <v>312</v>
      </c>
      <c r="Q2036" t="s">
        <v>312</v>
      </c>
      <c r="R2036" t="s">
        <v>9343</v>
      </c>
      <c r="S2036" t="s">
        <v>9344</v>
      </c>
      <c r="U2036" t="s">
        <v>9345</v>
      </c>
    </row>
    <row r="2037" spans="1:21" x14ac:dyDescent="0.25">
      <c r="A2037" t="s">
        <v>9346</v>
      </c>
      <c r="B2037" t="s">
        <v>38</v>
      </c>
      <c r="C2037" t="s">
        <v>9347</v>
      </c>
      <c r="D2037">
        <f>385-52633521</f>
        <v>-52633136</v>
      </c>
      <c r="E2037" t="s">
        <v>9348</v>
      </c>
      <c r="F2037" t="s">
        <v>9282</v>
      </c>
      <c r="G2037" t="s">
        <v>9283</v>
      </c>
      <c r="H2037">
        <v>13.8249898677368</v>
      </c>
      <c r="I2037">
        <v>44.860191644405504</v>
      </c>
      <c r="J2037">
        <v>100</v>
      </c>
      <c r="K2037" t="s">
        <v>312</v>
      </c>
      <c r="L2037" t="s">
        <v>312</v>
      </c>
      <c r="M2037" t="s">
        <v>312</v>
      </c>
      <c r="N2037" t="s">
        <v>312</v>
      </c>
      <c r="O2037" t="s">
        <v>312</v>
      </c>
      <c r="P2037" t="s">
        <v>312</v>
      </c>
      <c r="Q2037" t="s">
        <v>312</v>
      </c>
      <c r="R2037" t="s">
        <v>9347</v>
      </c>
      <c r="S2037" t="s">
        <v>9349</v>
      </c>
      <c r="U2037" t="s">
        <v>9350</v>
      </c>
    </row>
    <row r="2038" spans="1:21" x14ac:dyDescent="0.25">
      <c r="A2038" t="s">
        <v>9351</v>
      </c>
      <c r="B2038" t="s">
        <v>22</v>
      </c>
      <c r="C2038" t="s">
        <v>9352</v>
      </c>
      <c r="D2038">
        <f>385-16439571</f>
        <v>-16439186</v>
      </c>
      <c r="E2038" t="s">
        <v>9281</v>
      </c>
      <c r="F2038" t="s">
        <v>9282</v>
      </c>
      <c r="G2038" t="s">
        <v>9283</v>
      </c>
      <c r="H2038">
        <v>15.979065029608099</v>
      </c>
      <c r="I2038">
        <v>45.776995884008699</v>
      </c>
      <c r="J2038">
        <v>100</v>
      </c>
      <c r="K2038" t="s">
        <v>3543</v>
      </c>
      <c r="L2038" t="s">
        <v>3543</v>
      </c>
      <c r="M2038" t="s">
        <v>3543</v>
      </c>
      <c r="N2038" t="s">
        <v>3543</v>
      </c>
      <c r="O2038" t="s">
        <v>3543</v>
      </c>
      <c r="P2038" t="s">
        <v>3543</v>
      </c>
      <c r="Q2038" t="s">
        <v>536</v>
      </c>
      <c r="R2038" t="s">
        <v>9352</v>
      </c>
      <c r="S2038" t="s">
        <v>9353</v>
      </c>
      <c r="U2038" t="s">
        <v>9354</v>
      </c>
    </row>
    <row r="2039" spans="1:21" x14ac:dyDescent="0.25">
      <c r="A2039" t="s">
        <v>9355</v>
      </c>
      <c r="B2039" t="s">
        <v>22</v>
      </c>
      <c r="C2039" t="s">
        <v>9356</v>
      </c>
      <c r="D2039">
        <f>36-18151378</f>
        <v>-18151342</v>
      </c>
      <c r="E2039" t="s">
        <v>9357</v>
      </c>
      <c r="F2039" t="s">
        <v>9358</v>
      </c>
      <c r="G2039" t="s">
        <v>9359</v>
      </c>
      <c r="H2039">
        <v>19.137332000000001</v>
      </c>
      <c r="I2039">
        <v>47.502423</v>
      </c>
      <c r="J2039">
        <v>100</v>
      </c>
      <c r="K2039" t="s">
        <v>536</v>
      </c>
      <c r="L2039" t="s">
        <v>536</v>
      </c>
      <c r="M2039" t="s">
        <v>536</v>
      </c>
      <c r="N2039" t="s">
        <v>536</v>
      </c>
      <c r="O2039" t="s">
        <v>536</v>
      </c>
      <c r="P2039" t="s">
        <v>536</v>
      </c>
      <c r="Q2039" t="s">
        <v>535</v>
      </c>
      <c r="R2039" t="s">
        <v>9356</v>
      </c>
      <c r="S2039" t="s">
        <v>9360</v>
      </c>
      <c r="U2039" t="s">
        <v>9361</v>
      </c>
    </row>
    <row r="2040" spans="1:21" x14ac:dyDescent="0.25">
      <c r="A2040" t="s">
        <v>9362</v>
      </c>
      <c r="B2040" t="s">
        <v>22</v>
      </c>
      <c r="C2040" t="s">
        <v>9363</v>
      </c>
      <c r="D2040">
        <f>36-96555121</f>
        <v>-96555085</v>
      </c>
      <c r="E2040" t="s">
        <v>9364</v>
      </c>
      <c r="F2040" t="s">
        <v>9358</v>
      </c>
      <c r="G2040" t="s">
        <v>9359</v>
      </c>
      <c r="H2040">
        <v>17.6446866989135</v>
      </c>
      <c r="I2040">
        <v>47.689428060158498</v>
      </c>
      <c r="J2040">
        <v>100</v>
      </c>
      <c r="K2040" t="s">
        <v>192</v>
      </c>
      <c r="L2040" t="s">
        <v>192</v>
      </c>
      <c r="M2040" t="s">
        <v>192</v>
      </c>
      <c r="N2040" t="s">
        <v>192</v>
      </c>
      <c r="O2040" t="s">
        <v>192</v>
      </c>
      <c r="P2040" t="s">
        <v>192</v>
      </c>
      <c r="Q2040" t="s">
        <v>428</v>
      </c>
      <c r="R2040" t="s">
        <v>9363</v>
      </c>
      <c r="S2040" t="s">
        <v>9365</v>
      </c>
      <c r="U2040" t="s">
        <v>9366</v>
      </c>
    </row>
    <row r="2041" spans="1:21" x14ac:dyDescent="0.25">
      <c r="A2041" t="s">
        <v>9367</v>
      </c>
      <c r="B2041" t="s">
        <v>22</v>
      </c>
      <c r="C2041" t="s">
        <v>9368</v>
      </c>
      <c r="D2041">
        <f>36-14243042</f>
        <v>-14243006</v>
      </c>
      <c r="E2041" t="s">
        <v>9357</v>
      </c>
      <c r="F2041" t="s">
        <v>9358</v>
      </c>
      <c r="G2041" t="s">
        <v>9359</v>
      </c>
      <c r="H2041">
        <v>19.0161323547363</v>
      </c>
      <c r="I2041">
        <v>47.406337145500402</v>
      </c>
      <c r="J2041">
        <v>100</v>
      </c>
      <c r="K2041" t="s">
        <v>45</v>
      </c>
      <c r="L2041" t="s">
        <v>45</v>
      </c>
      <c r="M2041" t="s">
        <v>45</v>
      </c>
      <c r="N2041" t="s">
        <v>45</v>
      </c>
      <c r="O2041" t="s">
        <v>45</v>
      </c>
      <c r="P2041" t="s">
        <v>45</v>
      </c>
      <c r="Q2041" t="s">
        <v>535</v>
      </c>
      <c r="R2041" t="s">
        <v>9368</v>
      </c>
      <c r="S2041" t="s">
        <v>9369</v>
      </c>
      <c r="U2041" t="s">
        <v>9370</v>
      </c>
    </row>
    <row r="2042" spans="1:21" x14ac:dyDescent="0.25">
      <c r="A2042" t="s">
        <v>9371</v>
      </c>
      <c r="B2042" t="s">
        <v>22</v>
      </c>
      <c r="C2042" t="s">
        <v>9372</v>
      </c>
      <c r="D2042">
        <f>36-18151376</f>
        <v>-18151340</v>
      </c>
      <c r="E2042" t="s">
        <v>9357</v>
      </c>
      <c r="F2042" t="s">
        <v>9358</v>
      </c>
      <c r="G2042" t="s">
        <v>9359</v>
      </c>
      <c r="H2042">
        <v>19.091218000000001</v>
      </c>
      <c r="I2042">
        <v>47.498064999999997</v>
      </c>
      <c r="J2042">
        <v>100</v>
      </c>
      <c r="K2042" t="s">
        <v>536</v>
      </c>
      <c r="L2042" t="s">
        <v>536</v>
      </c>
      <c r="M2042" t="s">
        <v>536</v>
      </c>
      <c r="N2042" t="s">
        <v>536</v>
      </c>
      <c r="O2042" t="s">
        <v>536</v>
      </c>
      <c r="P2042" t="s">
        <v>536</v>
      </c>
      <c r="Q2042" t="s">
        <v>535</v>
      </c>
      <c r="R2042" t="s">
        <v>9372</v>
      </c>
      <c r="S2042" t="s">
        <v>9373</v>
      </c>
      <c r="U2042" t="s">
        <v>9374</v>
      </c>
    </row>
    <row r="2043" spans="1:21" x14ac:dyDescent="0.25">
      <c r="A2043" t="s">
        <v>9375</v>
      </c>
      <c r="B2043" t="s">
        <v>38</v>
      </c>
      <c r="C2043" t="s">
        <v>9376</v>
      </c>
      <c r="D2043">
        <f>36-52815670</f>
        <v>-52815634</v>
      </c>
      <c r="E2043" t="s">
        <v>9377</v>
      </c>
      <c r="F2043" t="s">
        <v>9358</v>
      </c>
      <c r="G2043" t="s">
        <v>9359</v>
      </c>
      <c r="H2043">
        <v>21.577421999999999</v>
      </c>
      <c r="I2043">
        <v>47.543326</v>
      </c>
      <c r="J2043">
        <v>100</v>
      </c>
      <c r="K2043" t="s">
        <v>45</v>
      </c>
      <c r="L2043" t="s">
        <v>45</v>
      </c>
      <c r="M2043" t="s">
        <v>45</v>
      </c>
      <c r="N2043" t="s">
        <v>45</v>
      </c>
      <c r="O2043" t="s">
        <v>45</v>
      </c>
      <c r="P2043" t="s">
        <v>45</v>
      </c>
      <c r="Q2043" t="s">
        <v>428</v>
      </c>
      <c r="R2043" t="s">
        <v>9376</v>
      </c>
      <c r="S2043" t="s">
        <v>9378</v>
      </c>
      <c r="U2043" t="s">
        <v>9379</v>
      </c>
    </row>
    <row r="2044" spans="1:21" x14ac:dyDescent="0.25">
      <c r="A2044" t="s">
        <v>9380</v>
      </c>
      <c r="B2044" t="s">
        <v>38</v>
      </c>
      <c r="C2044" t="s">
        <v>9381</v>
      </c>
      <c r="D2044">
        <f>36-52815672</f>
        <v>-52815636</v>
      </c>
      <c r="E2044" t="s">
        <v>9377</v>
      </c>
      <c r="F2044" t="s">
        <v>9358</v>
      </c>
      <c r="G2044" t="s">
        <v>9359</v>
      </c>
      <c r="H2044">
        <v>21.6292369365692</v>
      </c>
      <c r="I2044">
        <v>47.532697434998099</v>
      </c>
      <c r="J2044">
        <v>100</v>
      </c>
      <c r="K2044" t="s">
        <v>192</v>
      </c>
      <c r="L2044" t="s">
        <v>192</v>
      </c>
      <c r="M2044" t="s">
        <v>192</v>
      </c>
      <c r="N2044" t="s">
        <v>192</v>
      </c>
      <c r="O2044" t="s">
        <v>192</v>
      </c>
      <c r="P2044" t="s">
        <v>192</v>
      </c>
      <c r="Q2044" t="s">
        <v>428</v>
      </c>
      <c r="R2044" t="s">
        <v>9381</v>
      </c>
      <c r="S2044" t="s">
        <v>9382</v>
      </c>
      <c r="U2044" t="s">
        <v>9383</v>
      </c>
    </row>
    <row r="2045" spans="1:21" x14ac:dyDescent="0.25">
      <c r="A2045" t="s">
        <v>9384</v>
      </c>
      <c r="B2045" t="s">
        <v>22</v>
      </c>
      <c r="C2045" t="s">
        <v>9385</v>
      </c>
      <c r="D2045">
        <f>36-18151380</f>
        <v>-18151344</v>
      </c>
      <c r="E2045" t="s">
        <v>9357</v>
      </c>
      <c r="F2045" t="s">
        <v>9358</v>
      </c>
      <c r="G2045" t="s">
        <v>9359</v>
      </c>
      <c r="H2045">
        <v>19.049339</v>
      </c>
      <c r="I2045">
        <v>47.474432999999998</v>
      </c>
      <c r="J2045">
        <v>100</v>
      </c>
      <c r="K2045" t="s">
        <v>536</v>
      </c>
      <c r="L2045" t="s">
        <v>536</v>
      </c>
      <c r="M2045" t="s">
        <v>536</v>
      </c>
      <c r="N2045" t="s">
        <v>536</v>
      </c>
      <c r="O2045" t="s">
        <v>536</v>
      </c>
      <c r="P2045" t="s">
        <v>536</v>
      </c>
      <c r="Q2045" t="s">
        <v>535</v>
      </c>
      <c r="R2045" t="s">
        <v>9385</v>
      </c>
      <c r="S2045" t="s">
        <v>9386</v>
      </c>
      <c r="U2045" t="s">
        <v>9387</v>
      </c>
    </row>
    <row r="2046" spans="1:21" x14ac:dyDescent="0.25">
      <c r="A2046" t="s">
        <v>9388</v>
      </c>
      <c r="B2046" t="s">
        <v>22</v>
      </c>
      <c r="C2046" t="s">
        <v>9389</v>
      </c>
      <c r="D2046">
        <f>36-72814190</f>
        <v>-72814154</v>
      </c>
      <c r="E2046" t="s">
        <v>9390</v>
      </c>
      <c r="F2046" t="s">
        <v>9358</v>
      </c>
      <c r="G2046" t="s">
        <v>9359</v>
      </c>
      <c r="H2046">
        <v>18.232092999999999</v>
      </c>
      <c r="I2046">
        <v>46.072144000000002</v>
      </c>
      <c r="J2046">
        <v>100</v>
      </c>
      <c r="K2046" t="s">
        <v>192</v>
      </c>
      <c r="L2046" t="s">
        <v>192</v>
      </c>
      <c r="M2046" t="s">
        <v>192</v>
      </c>
      <c r="N2046" t="s">
        <v>192</v>
      </c>
      <c r="O2046" t="s">
        <v>192</v>
      </c>
      <c r="P2046" t="s">
        <v>192</v>
      </c>
      <c r="Q2046" t="s">
        <v>428</v>
      </c>
      <c r="R2046" t="s">
        <v>9389</v>
      </c>
      <c r="S2046" t="s">
        <v>9391</v>
      </c>
      <c r="U2046" t="s">
        <v>9392</v>
      </c>
    </row>
    <row r="2047" spans="1:21" x14ac:dyDescent="0.25">
      <c r="A2047" t="s">
        <v>9393</v>
      </c>
      <c r="B2047" t="s">
        <v>22</v>
      </c>
      <c r="C2047" t="s">
        <v>9394</v>
      </c>
      <c r="D2047">
        <f>36-18151374</f>
        <v>-18151338</v>
      </c>
      <c r="E2047" t="s">
        <v>9357</v>
      </c>
      <c r="F2047" t="s">
        <v>9358</v>
      </c>
      <c r="G2047" t="s">
        <v>9359</v>
      </c>
      <c r="H2047">
        <v>19.074357748031598</v>
      </c>
      <c r="I2047">
        <v>47.485722223407201</v>
      </c>
      <c r="J2047">
        <v>100</v>
      </c>
      <c r="K2047" t="s">
        <v>536</v>
      </c>
      <c r="L2047" t="s">
        <v>536</v>
      </c>
      <c r="M2047" t="s">
        <v>536</v>
      </c>
      <c r="N2047" t="s">
        <v>536</v>
      </c>
      <c r="O2047" t="s">
        <v>536</v>
      </c>
      <c r="P2047" t="s">
        <v>536</v>
      </c>
      <c r="Q2047" t="s">
        <v>535</v>
      </c>
      <c r="R2047" t="s">
        <v>9394</v>
      </c>
      <c r="S2047" t="s">
        <v>9395</v>
      </c>
      <c r="U2047" t="s">
        <v>9396</v>
      </c>
    </row>
    <row r="2048" spans="1:21" x14ac:dyDescent="0.25">
      <c r="A2048" t="s">
        <v>9397</v>
      </c>
      <c r="B2048" t="s">
        <v>22</v>
      </c>
      <c r="C2048" t="s">
        <v>9398</v>
      </c>
      <c r="D2048">
        <f>36-15015470</f>
        <v>-15015434</v>
      </c>
      <c r="E2048" t="s">
        <v>9357</v>
      </c>
      <c r="F2048" t="s">
        <v>9358</v>
      </c>
      <c r="G2048" t="s">
        <v>9359</v>
      </c>
      <c r="H2048">
        <v>19.058521986007602</v>
      </c>
      <c r="I2048">
        <v>47.513128331897903</v>
      </c>
      <c r="J2048">
        <v>100</v>
      </c>
      <c r="K2048" t="s">
        <v>536</v>
      </c>
      <c r="L2048" t="s">
        <v>536</v>
      </c>
      <c r="M2048" t="s">
        <v>536</v>
      </c>
      <c r="N2048" t="s">
        <v>536</v>
      </c>
      <c r="O2048" t="s">
        <v>536</v>
      </c>
      <c r="P2048" t="s">
        <v>536</v>
      </c>
      <c r="Q2048" t="s">
        <v>535</v>
      </c>
      <c r="R2048" t="s">
        <v>9398</v>
      </c>
      <c r="S2048" t="s">
        <v>9399</v>
      </c>
      <c r="U2048" t="s">
        <v>9400</v>
      </c>
    </row>
    <row r="2049" spans="1:21" x14ac:dyDescent="0.25">
      <c r="A2049" t="s">
        <v>9401</v>
      </c>
      <c r="B2049" t="s">
        <v>22</v>
      </c>
      <c r="C2049" t="s">
        <v>9402</v>
      </c>
      <c r="D2049">
        <f>36-15015420</f>
        <v>-15015384</v>
      </c>
      <c r="E2049" t="s">
        <v>9357</v>
      </c>
      <c r="F2049" t="s">
        <v>9358</v>
      </c>
      <c r="G2049" t="s">
        <v>9359</v>
      </c>
      <c r="H2049">
        <v>19.0728020668029</v>
      </c>
      <c r="I2049">
        <v>47.548986168632403</v>
      </c>
      <c r="J2049">
        <v>100</v>
      </c>
      <c r="K2049" t="s">
        <v>536</v>
      </c>
      <c r="L2049" t="s">
        <v>536</v>
      </c>
      <c r="M2049" t="s">
        <v>536</v>
      </c>
      <c r="N2049" t="s">
        <v>536</v>
      </c>
      <c r="O2049" t="s">
        <v>536</v>
      </c>
      <c r="P2049" t="s">
        <v>536</v>
      </c>
      <c r="Q2049" t="s">
        <v>535</v>
      </c>
      <c r="R2049" t="s">
        <v>9402</v>
      </c>
      <c r="S2049" t="s">
        <v>9403</v>
      </c>
      <c r="U2049" t="s">
        <v>9404</v>
      </c>
    </row>
    <row r="2050" spans="1:21" x14ac:dyDescent="0.25">
      <c r="A2050" t="s">
        <v>9405</v>
      </c>
      <c r="B2050" t="s">
        <v>38</v>
      </c>
      <c r="C2050" t="s">
        <v>9406</v>
      </c>
      <c r="D2050">
        <f>36-46815670</f>
        <v>-46815634</v>
      </c>
      <c r="E2050" t="s">
        <v>9407</v>
      </c>
      <c r="F2050" t="s">
        <v>9358</v>
      </c>
      <c r="G2050" t="s">
        <v>9359</v>
      </c>
      <c r="H2050">
        <v>20.788699999999999</v>
      </c>
      <c r="I2050">
        <v>48.106603</v>
      </c>
      <c r="J2050">
        <v>100</v>
      </c>
      <c r="K2050" t="s">
        <v>192</v>
      </c>
      <c r="L2050" t="s">
        <v>192</v>
      </c>
      <c r="M2050" t="s">
        <v>192</v>
      </c>
      <c r="N2050" t="s">
        <v>192</v>
      </c>
      <c r="O2050" t="s">
        <v>192</v>
      </c>
      <c r="P2050" t="s">
        <v>192</v>
      </c>
      <c r="Q2050" t="s">
        <v>535</v>
      </c>
      <c r="R2050" t="s">
        <v>9406</v>
      </c>
      <c r="S2050" t="s">
        <v>9408</v>
      </c>
      <c r="U2050" t="s">
        <v>9409</v>
      </c>
    </row>
    <row r="2051" spans="1:21" x14ac:dyDescent="0.25">
      <c r="A2051" t="s">
        <v>9410</v>
      </c>
      <c r="B2051" t="s">
        <v>38</v>
      </c>
      <c r="C2051" t="s">
        <v>9411</v>
      </c>
      <c r="D2051">
        <f>36-62814610</f>
        <v>-62814574</v>
      </c>
      <c r="E2051" t="s">
        <v>9412</v>
      </c>
      <c r="F2051" t="s">
        <v>9358</v>
      </c>
      <c r="G2051" t="s">
        <v>9359</v>
      </c>
      <c r="H2051">
        <v>20.129158</v>
      </c>
      <c r="I2051">
        <v>46.266388999999997</v>
      </c>
      <c r="J2051">
        <v>100</v>
      </c>
      <c r="K2051" t="s">
        <v>45</v>
      </c>
      <c r="L2051" t="s">
        <v>45</v>
      </c>
      <c r="M2051" t="s">
        <v>45</v>
      </c>
      <c r="N2051" t="s">
        <v>45</v>
      </c>
      <c r="O2051" t="s">
        <v>45</v>
      </c>
      <c r="P2051" t="s">
        <v>1189</v>
      </c>
      <c r="Q2051" t="s">
        <v>535</v>
      </c>
      <c r="R2051" t="s">
        <v>9411</v>
      </c>
      <c r="S2051" t="s">
        <v>9413</v>
      </c>
      <c r="U2051" t="s">
        <v>9414</v>
      </c>
    </row>
    <row r="2052" spans="1:21" x14ac:dyDescent="0.25">
      <c r="A2052" t="s">
        <v>9415</v>
      </c>
      <c r="B2052" t="s">
        <v>38</v>
      </c>
      <c r="C2052" t="s">
        <v>9416</v>
      </c>
      <c r="D2052">
        <f>36-15770900</f>
        <v>-15770864</v>
      </c>
      <c r="E2052" t="s">
        <v>9357</v>
      </c>
      <c r="F2052" t="s">
        <v>9358</v>
      </c>
      <c r="G2052" t="s">
        <v>9359</v>
      </c>
      <c r="H2052">
        <v>19.149470999999998</v>
      </c>
      <c r="I2052">
        <v>47.462660999999997</v>
      </c>
      <c r="J2052">
        <v>100</v>
      </c>
      <c r="K2052" t="s">
        <v>536</v>
      </c>
      <c r="L2052" t="s">
        <v>536</v>
      </c>
      <c r="M2052" t="s">
        <v>536</v>
      </c>
      <c r="N2052" t="s">
        <v>536</v>
      </c>
      <c r="O2052" t="s">
        <v>536</v>
      </c>
      <c r="P2052" t="s">
        <v>536</v>
      </c>
      <c r="Q2052" t="s">
        <v>535</v>
      </c>
      <c r="R2052" t="s">
        <v>9416</v>
      </c>
      <c r="S2052" t="s">
        <v>9417</v>
      </c>
      <c r="U2052" t="s">
        <v>9418</v>
      </c>
    </row>
    <row r="2053" spans="1:21" x14ac:dyDescent="0.25">
      <c r="A2053" t="s">
        <v>9419</v>
      </c>
      <c r="B2053" t="s">
        <v>38</v>
      </c>
      <c r="C2053" t="s">
        <v>9420</v>
      </c>
      <c r="D2053">
        <f>36-34814390</f>
        <v>-34814354</v>
      </c>
      <c r="E2053" t="s">
        <v>9421</v>
      </c>
      <c r="F2053" t="s">
        <v>9358</v>
      </c>
      <c r="G2053" t="s">
        <v>9359</v>
      </c>
      <c r="H2053">
        <v>18.393754000000001</v>
      </c>
      <c r="I2053">
        <v>47.586874999999999</v>
      </c>
      <c r="J2053">
        <v>100</v>
      </c>
      <c r="K2053" t="s">
        <v>45</v>
      </c>
      <c r="L2053" t="s">
        <v>45</v>
      </c>
      <c r="M2053" t="s">
        <v>45</v>
      </c>
      <c r="N2053" t="s">
        <v>45</v>
      </c>
      <c r="O2053" t="s">
        <v>45</v>
      </c>
      <c r="P2053" t="s">
        <v>45</v>
      </c>
      <c r="Q2053" t="s">
        <v>428</v>
      </c>
      <c r="R2053" t="s">
        <v>9420</v>
      </c>
      <c r="S2053" t="s">
        <v>9422</v>
      </c>
      <c r="U2053" t="s">
        <v>9423</v>
      </c>
    </row>
    <row r="2054" spans="1:21" x14ac:dyDescent="0.25">
      <c r="A2054" t="s">
        <v>9424</v>
      </c>
      <c r="B2054" t="s">
        <v>22</v>
      </c>
      <c r="C2054" t="s">
        <v>9425</v>
      </c>
      <c r="D2054">
        <f>36-62814643</f>
        <v>-62814607</v>
      </c>
      <c r="E2054" t="s">
        <v>9412</v>
      </c>
      <c r="F2054" t="s">
        <v>9358</v>
      </c>
      <c r="G2054" t="s">
        <v>9359</v>
      </c>
      <c r="H2054">
        <v>20.138576</v>
      </c>
      <c r="I2054">
        <v>46.254601000000001</v>
      </c>
      <c r="J2054">
        <v>100</v>
      </c>
      <c r="K2054" t="s">
        <v>192</v>
      </c>
      <c r="L2054" t="s">
        <v>192</v>
      </c>
      <c r="M2054" t="s">
        <v>192</v>
      </c>
      <c r="N2054" t="s">
        <v>192</v>
      </c>
      <c r="O2054" t="s">
        <v>192</v>
      </c>
      <c r="P2054" t="s">
        <v>192</v>
      </c>
      <c r="Q2054" t="s">
        <v>428</v>
      </c>
      <c r="R2054" t="s">
        <v>9425</v>
      </c>
      <c r="S2054" t="s">
        <v>9426</v>
      </c>
      <c r="U2054" t="s">
        <v>9427</v>
      </c>
    </row>
    <row r="2055" spans="1:21" x14ac:dyDescent="0.25">
      <c r="A2055" t="s">
        <v>9428</v>
      </c>
      <c r="B2055" t="s">
        <v>22</v>
      </c>
      <c r="C2055" t="s">
        <v>9429</v>
      </c>
      <c r="D2055">
        <f>36-15770960</f>
        <v>-15770924</v>
      </c>
      <c r="E2055" t="s">
        <v>9357</v>
      </c>
      <c r="F2055" t="s">
        <v>9358</v>
      </c>
      <c r="G2055" t="s">
        <v>9359</v>
      </c>
      <c r="H2055">
        <v>19.141922000000001</v>
      </c>
      <c r="I2055">
        <v>47.553832999999997</v>
      </c>
      <c r="J2055">
        <v>100</v>
      </c>
      <c r="K2055" t="s">
        <v>45</v>
      </c>
      <c r="L2055" t="s">
        <v>45</v>
      </c>
      <c r="M2055" t="s">
        <v>45</v>
      </c>
      <c r="N2055" t="s">
        <v>45</v>
      </c>
      <c r="O2055" t="s">
        <v>45</v>
      </c>
      <c r="P2055" t="s">
        <v>45</v>
      </c>
      <c r="Q2055" t="s">
        <v>535</v>
      </c>
      <c r="R2055" t="s">
        <v>9429</v>
      </c>
      <c r="S2055" t="s">
        <v>9430</v>
      </c>
      <c r="U2055" t="s">
        <v>9431</v>
      </c>
    </row>
    <row r="2056" spans="1:21" x14ac:dyDescent="0.25">
      <c r="A2056" t="s">
        <v>9432</v>
      </c>
      <c r="B2056" t="s">
        <v>38</v>
      </c>
      <c r="C2056" t="s">
        <v>9433</v>
      </c>
      <c r="D2056">
        <f>36-76814070</f>
        <v>-76814034</v>
      </c>
      <c r="E2056" t="s">
        <v>9434</v>
      </c>
      <c r="F2056" t="s">
        <v>9358</v>
      </c>
      <c r="G2056" t="s">
        <v>9359</v>
      </c>
      <c r="H2056">
        <v>19.689125000000001</v>
      </c>
      <c r="I2056">
        <v>46.907575999999999</v>
      </c>
      <c r="J2056">
        <v>100</v>
      </c>
      <c r="K2056" t="s">
        <v>45</v>
      </c>
      <c r="L2056" t="s">
        <v>45</v>
      </c>
      <c r="M2056" t="s">
        <v>45</v>
      </c>
      <c r="N2056" t="s">
        <v>45</v>
      </c>
      <c r="O2056" t="s">
        <v>45</v>
      </c>
      <c r="P2056" t="s">
        <v>45</v>
      </c>
      <c r="Q2056" t="s">
        <v>428</v>
      </c>
      <c r="R2056" t="s">
        <v>9433</v>
      </c>
      <c r="S2056" t="s">
        <v>9435</v>
      </c>
      <c r="U2056" t="s">
        <v>9436</v>
      </c>
    </row>
    <row r="2057" spans="1:21" x14ac:dyDescent="0.25">
      <c r="A2057" t="s">
        <v>9437</v>
      </c>
      <c r="B2057" t="s">
        <v>22</v>
      </c>
      <c r="C2057" t="s">
        <v>9438</v>
      </c>
      <c r="D2057">
        <f>36-42814070</f>
        <v>-42814034</v>
      </c>
      <c r="E2057" t="s">
        <v>9439</v>
      </c>
      <c r="F2057" t="s">
        <v>9358</v>
      </c>
      <c r="G2057" t="s">
        <v>9359</v>
      </c>
      <c r="H2057">
        <v>21.731833000000002</v>
      </c>
      <c r="I2057">
        <v>47.954154000000003</v>
      </c>
      <c r="J2057">
        <v>100</v>
      </c>
      <c r="K2057" t="s">
        <v>192</v>
      </c>
      <c r="L2057" t="s">
        <v>192</v>
      </c>
      <c r="M2057" t="s">
        <v>192</v>
      </c>
      <c r="N2057" t="s">
        <v>192</v>
      </c>
      <c r="O2057" t="s">
        <v>192</v>
      </c>
      <c r="P2057" t="s">
        <v>192</v>
      </c>
      <c r="Q2057" t="s">
        <v>428</v>
      </c>
      <c r="R2057" t="s">
        <v>9438</v>
      </c>
      <c r="S2057" t="s">
        <v>9440</v>
      </c>
      <c r="U2057" t="s">
        <v>9441</v>
      </c>
    </row>
    <row r="2058" spans="1:21" x14ac:dyDescent="0.25">
      <c r="A2058" t="s">
        <v>9442</v>
      </c>
      <c r="B2058" t="s">
        <v>22</v>
      </c>
      <c r="C2058" t="s">
        <v>9443</v>
      </c>
      <c r="D2058">
        <f>36-15770980</f>
        <v>-15770944</v>
      </c>
      <c r="E2058" t="s">
        <v>9357</v>
      </c>
      <c r="F2058" t="s">
        <v>9358</v>
      </c>
      <c r="G2058" t="s">
        <v>9359</v>
      </c>
      <c r="H2058">
        <v>19.023993000000001</v>
      </c>
      <c r="I2058">
        <v>47.490572</v>
      </c>
      <c r="J2058">
        <v>100</v>
      </c>
      <c r="K2058" t="s">
        <v>45</v>
      </c>
      <c r="L2058" t="s">
        <v>45</v>
      </c>
      <c r="M2058" t="s">
        <v>45</v>
      </c>
      <c r="N2058" t="s">
        <v>45</v>
      </c>
      <c r="O2058" t="s">
        <v>45</v>
      </c>
      <c r="P2058" t="s">
        <v>536</v>
      </c>
      <c r="Q2058" t="s">
        <v>428</v>
      </c>
      <c r="R2058" t="s">
        <v>9443</v>
      </c>
      <c r="S2058" t="s">
        <v>9444</v>
      </c>
      <c r="U2058" t="s">
        <v>9445</v>
      </c>
    </row>
    <row r="2059" spans="1:21" x14ac:dyDescent="0.25">
      <c r="A2059" t="s">
        <v>9446</v>
      </c>
      <c r="B2059" t="s">
        <v>38</v>
      </c>
      <c r="C2059" t="s">
        <v>9447</v>
      </c>
      <c r="D2059">
        <f>36-29814560</f>
        <v>-29814524</v>
      </c>
      <c r="E2059" t="s">
        <v>9357</v>
      </c>
      <c r="F2059" t="s">
        <v>9358</v>
      </c>
      <c r="G2059" t="s">
        <v>9359</v>
      </c>
      <c r="H2059">
        <v>19.250207</v>
      </c>
      <c r="I2059">
        <v>47.415706999999998</v>
      </c>
      <c r="J2059">
        <v>100</v>
      </c>
      <c r="K2059" t="s">
        <v>45</v>
      </c>
      <c r="L2059" t="s">
        <v>45</v>
      </c>
      <c r="M2059" t="s">
        <v>45</v>
      </c>
      <c r="N2059" t="s">
        <v>45</v>
      </c>
      <c r="O2059" t="s">
        <v>45</v>
      </c>
      <c r="P2059" t="s">
        <v>45</v>
      </c>
      <c r="Q2059" t="s">
        <v>428</v>
      </c>
      <c r="R2059" t="s">
        <v>9447</v>
      </c>
      <c r="S2059" t="s">
        <v>9448</v>
      </c>
      <c r="U2059" t="s">
        <v>9449</v>
      </c>
    </row>
    <row r="2060" spans="1:21" x14ac:dyDescent="0.25">
      <c r="A2060" t="s">
        <v>9450</v>
      </c>
      <c r="B2060" t="s">
        <v>22</v>
      </c>
      <c r="C2060" t="s">
        <v>9451</v>
      </c>
      <c r="D2060">
        <f>36-99814060</f>
        <v>-99814024</v>
      </c>
      <c r="E2060" t="s">
        <v>9452</v>
      </c>
      <c r="F2060" t="s">
        <v>9358</v>
      </c>
      <c r="G2060" t="s">
        <v>9359</v>
      </c>
      <c r="H2060">
        <v>16.578467</v>
      </c>
      <c r="I2060">
        <v>47.698580999999997</v>
      </c>
      <c r="J2060">
        <v>100</v>
      </c>
      <c r="K2060" t="s">
        <v>45</v>
      </c>
      <c r="L2060" t="s">
        <v>45</v>
      </c>
      <c r="M2060" t="s">
        <v>45</v>
      </c>
      <c r="N2060" t="s">
        <v>45</v>
      </c>
      <c r="O2060" t="s">
        <v>45</v>
      </c>
      <c r="P2060" t="s">
        <v>45</v>
      </c>
      <c r="Q2060" t="s">
        <v>535</v>
      </c>
      <c r="R2060" t="s">
        <v>9451</v>
      </c>
      <c r="S2060" t="s">
        <v>9453</v>
      </c>
      <c r="U2060" t="s">
        <v>9454</v>
      </c>
    </row>
    <row r="2061" spans="1:21" x14ac:dyDescent="0.25">
      <c r="A2061" t="s">
        <v>9455</v>
      </c>
      <c r="B2061" t="s">
        <v>22</v>
      </c>
      <c r="C2061" t="s">
        <v>9456</v>
      </c>
      <c r="D2061">
        <f>36-88814060</f>
        <v>-88814024</v>
      </c>
      <c r="E2061" t="s">
        <v>9457</v>
      </c>
      <c r="F2061" t="s">
        <v>9358</v>
      </c>
      <c r="G2061" t="s">
        <v>9359</v>
      </c>
      <c r="H2061">
        <v>17.918064000000001</v>
      </c>
      <c r="I2061">
        <v>47.095500999999999</v>
      </c>
      <c r="J2061">
        <v>100</v>
      </c>
      <c r="K2061" t="s">
        <v>192</v>
      </c>
      <c r="L2061" t="s">
        <v>192</v>
      </c>
      <c r="M2061" t="s">
        <v>192</v>
      </c>
      <c r="N2061" t="s">
        <v>192</v>
      </c>
      <c r="O2061" t="s">
        <v>192</v>
      </c>
      <c r="P2061" t="s">
        <v>192</v>
      </c>
      <c r="Q2061" t="s">
        <v>535</v>
      </c>
      <c r="R2061" t="s">
        <v>9456</v>
      </c>
      <c r="S2061" t="s">
        <v>9458</v>
      </c>
      <c r="U2061" t="s">
        <v>9459</v>
      </c>
    </row>
    <row r="2062" spans="1:21" x14ac:dyDescent="0.25">
      <c r="A2062" t="s">
        <v>9460</v>
      </c>
      <c r="B2062" t="s">
        <v>38</v>
      </c>
      <c r="C2062" t="s">
        <v>9461</v>
      </c>
      <c r="D2062">
        <f>36-84814070</f>
        <v>-84814034</v>
      </c>
      <c r="E2062" t="s">
        <v>9462</v>
      </c>
      <c r="F2062" t="s">
        <v>9358</v>
      </c>
      <c r="G2062" t="s">
        <v>9359</v>
      </c>
      <c r="H2062">
        <v>18.051241000000001</v>
      </c>
      <c r="I2062">
        <v>46.906438999999999</v>
      </c>
      <c r="J2062">
        <v>100</v>
      </c>
      <c r="K2062" t="s">
        <v>45</v>
      </c>
      <c r="L2062" t="s">
        <v>45</v>
      </c>
      <c r="M2062" t="s">
        <v>45</v>
      </c>
      <c r="N2062" t="s">
        <v>45</v>
      </c>
      <c r="O2062" t="s">
        <v>45</v>
      </c>
      <c r="P2062" t="s">
        <v>45</v>
      </c>
      <c r="Q2062" t="s">
        <v>428</v>
      </c>
      <c r="R2062" t="s">
        <v>9461</v>
      </c>
      <c r="S2062" t="s">
        <v>9463</v>
      </c>
      <c r="U2062" t="s">
        <v>9464</v>
      </c>
    </row>
    <row r="2063" spans="1:21" x14ac:dyDescent="0.25">
      <c r="A2063" t="s">
        <v>9465</v>
      </c>
      <c r="B2063" t="s">
        <v>22</v>
      </c>
      <c r="C2063" t="s">
        <v>9466</v>
      </c>
      <c r="D2063">
        <f>36-15770986</f>
        <v>-15770950</v>
      </c>
      <c r="E2063" t="s">
        <v>9357</v>
      </c>
      <c r="F2063" t="s">
        <v>9358</v>
      </c>
      <c r="G2063" t="s">
        <v>9359</v>
      </c>
      <c r="H2063">
        <v>19.028777000000002</v>
      </c>
      <c r="I2063">
        <v>47.543567000000003</v>
      </c>
      <c r="J2063">
        <v>100</v>
      </c>
      <c r="K2063" t="s">
        <v>192</v>
      </c>
      <c r="L2063" t="s">
        <v>192</v>
      </c>
      <c r="M2063" t="s">
        <v>192</v>
      </c>
      <c r="N2063" t="s">
        <v>192</v>
      </c>
      <c r="O2063" t="s">
        <v>192</v>
      </c>
      <c r="P2063" t="s">
        <v>192</v>
      </c>
      <c r="Q2063" t="s">
        <v>535</v>
      </c>
      <c r="R2063" t="s">
        <v>9466</v>
      </c>
      <c r="S2063" t="s">
        <v>9467</v>
      </c>
      <c r="U2063" t="s">
        <v>9468</v>
      </c>
    </row>
    <row r="2064" spans="1:21" x14ac:dyDescent="0.25">
      <c r="A2064" t="s">
        <v>9469</v>
      </c>
      <c r="B2064" t="s">
        <v>38</v>
      </c>
      <c r="C2064" t="s">
        <v>9470</v>
      </c>
      <c r="D2064">
        <f>36-23814062</f>
        <v>-23814026</v>
      </c>
      <c r="E2064" t="s">
        <v>9471</v>
      </c>
      <c r="F2064" t="s">
        <v>9358</v>
      </c>
      <c r="G2064" t="s">
        <v>9359</v>
      </c>
      <c r="H2064">
        <v>18.925180000000001</v>
      </c>
      <c r="I2064">
        <v>47.379269999999998</v>
      </c>
      <c r="J2064">
        <v>100</v>
      </c>
      <c r="K2064" t="s">
        <v>192</v>
      </c>
      <c r="L2064" t="s">
        <v>192</v>
      </c>
      <c r="M2064" t="s">
        <v>192</v>
      </c>
      <c r="N2064" t="s">
        <v>192</v>
      </c>
      <c r="O2064" t="s">
        <v>192</v>
      </c>
      <c r="P2064" t="s">
        <v>192</v>
      </c>
      <c r="Q2064" t="s">
        <v>428</v>
      </c>
      <c r="R2064" t="s">
        <v>9470</v>
      </c>
      <c r="S2064" t="s">
        <v>9472</v>
      </c>
      <c r="U2064" t="s">
        <v>9473</v>
      </c>
    </row>
    <row r="2065" spans="1:21" x14ac:dyDescent="0.25">
      <c r="A2065" t="s">
        <v>9474</v>
      </c>
      <c r="B2065" t="s">
        <v>38</v>
      </c>
      <c r="C2065" t="s">
        <v>9475</v>
      </c>
      <c r="D2065">
        <f>36-28815670</f>
        <v>-28815634</v>
      </c>
      <c r="E2065" t="s">
        <v>9476</v>
      </c>
      <c r="F2065" t="s">
        <v>9358</v>
      </c>
      <c r="G2065" t="s">
        <v>9359</v>
      </c>
      <c r="H2065">
        <v>19.339513</v>
      </c>
      <c r="I2065">
        <v>47.608901000000003</v>
      </c>
      <c r="J2065">
        <v>100</v>
      </c>
      <c r="K2065" t="s">
        <v>45</v>
      </c>
      <c r="L2065" t="s">
        <v>45</v>
      </c>
      <c r="M2065" t="s">
        <v>45</v>
      </c>
      <c r="N2065" t="s">
        <v>45</v>
      </c>
      <c r="O2065" t="s">
        <v>45</v>
      </c>
      <c r="P2065" t="s">
        <v>45</v>
      </c>
      <c r="Q2065" t="s">
        <v>428</v>
      </c>
      <c r="R2065" t="s">
        <v>9475</v>
      </c>
      <c r="S2065" t="s">
        <v>9477</v>
      </c>
      <c r="U2065" t="s">
        <v>9478</v>
      </c>
    </row>
    <row r="2066" spans="1:21" x14ac:dyDescent="0.25">
      <c r="A2066" t="s">
        <v>9479</v>
      </c>
      <c r="B2066" t="s">
        <v>38</v>
      </c>
      <c r="C2066" t="s">
        <v>9480</v>
      </c>
      <c r="D2066">
        <f>36-27815670</f>
        <v>-27815634</v>
      </c>
      <c r="E2066" t="s">
        <v>9357</v>
      </c>
      <c r="F2066" t="s">
        <v>9358</v>
      </c>
      <c r="G2066" t="s">
        <v>9359</v>
      </c>
      <c r="H2066">
        <v>19.115894000000001</v>
      </c>
      <c r="I2066">
        <v>47.606293000000001</v>
      </c>
      <c r="J2066">
        <v>100</v>
      </c>
      <c r="K2066" t="s">
        <v>192</v>
      </c>
      <c r="L2066" t="s">
        <v>192</v>
      </c>
      <c r="M2066" t="s">
        <v>192</v>
      </c>
      <c r="N2066" t="s">
        <v>192</v>
      </c>
      <c r="O2066" t="s">
        <v>192</v>
      </c>
      <c r="P2066" t="s">
        <v>192</v>
      </c>
      <c r="Q2066" t="s">
        <v>535</v>
      </c>
      <c r="R2066" t="s">
        <v>9480</v>
      </c>
      <c r="S2066" t="s">
        <v>9481</v>
      </c>
      <c r="U2066" t="s">
        <v>9482</v>
      </c>
    </row>
    <row r="2067" spans="1:21" x14ac:dyDescent="0.25">
      <c r="A2067" t="s">
        <v>9483</v>
      </c>
      <c r="B2067" t="s">
        <v>38</v>
      </c>
      <c r="C2067" t="s">
        <v>9484</v>
      </c>
      <c r="D2067">
        <f>36-22815670</f>
        <v>-22815634</v>
      </c>
      <c r="E2067" t="s">
        <v>9485</v>
      </c>
      <c r="F2067" t="s">
        <v>9358</v>
      </c>
      <c r="G2067" t="s">
        <v>9359</v>
      </c>
      <c r="H2067">
        <v>18.406981999999999</v>
      </c>
      <c r="I2067">
        <v>47.189794999999997</v>
      </c>
      <c r="J2067">
        <v>100</v>
      </c>
      <c r="K2067" t="s">
        <v>192</v>
      </c>
      <c r="L2067" t="s">
        <v>192</v>
      </c>
      <c r="M2067" t="s">
        <v>192</v>
      </c>
      <c r="N2067" t="s">
        <v>192</v>
      </c>
      <c r="O2067" t="s">
        <v>192</v>
      </c>
      <c r="P2067" t="s">
        <v>192</v>
      </c>
      <c r="Q2067" t="s">
        <v>535</v>
      </c>
      <c r="R2067" t="s">
        <v>9484</v>
      </c>
      <c r="S2067" t="s">
        <v>9486</v>
      </c>
      <c r="U2067" t="s">
        <v>9487</v>
      </c>
    </row>
    <row r="2068" spans="1:21" x14ac:dyDescent="0.25">
      <c r="A2068" t="s">
        <v>9488</v>
      </c>
      <c r="B2068" t="s">
        <v>38</v>
      </c>
      <c r="C2068" t="s">
        <v>9489</v>
      </c>
      <c r="D2068">
        <f>36-82815670</f>
        <v>-82815634</v>
      </c>
      <c r="E2068" t="s">
        <v>9490</v>
      </c>
      <c r="F2068" t="s">
        <v>9358</v>
      </c>
      <c r="G2068" t="s">
        <v>9359</v>
      </c>
      <c r="H2068">
        <v>17.785012999999999</v>
      </c>
      <c r="I2068">
        <v>46.356437999999997</v>
      </c>
      <c r="J2068">
        <v>100</v>
      </c>
      <c r="K2068" t="s">
        <v>45</v>
      </c>
      <c r="L2068" t="s">
        <v>45</v>
      </c>
      <c r="M2068" t="s">
        <v>45</v>
      </c>
      <c r="N2068" t="s">
        <v>45</v>
      </c>
      <c r="O2068" t="s">
        <v>45</v>
      </c>
      <c r="P2068" t="s">
        <v>45</v>
      </c>
      <c r="Q2068" t="s">
        <v>428</v>
      </c>
      <c r="R2068" t="s">
        <v>9489</v>
      </c>
      <c r="S2068" t="s">
        <v>9491</v>
      </c>
      <c r="U2068" t="s">
        <v>9492</v>
      </c>
    </row>
    <row r="2069" spans="1:21" x14ac:dyDescent="0.25">
      <c r="A2069" t="s">
        <v>9493</v>
      </c>
      <c r="B2069" t="s">
        <v>22</v>
      </c>
      <c r="C2069" t="s">
        <v>9494</v>
      </c>
      <c r="D2069">
        <f>36-18151372</f>
        <v>-18151336</v>
      </c>
      <c r="E2069" t="s">
        <v>9357</v>
      </c>
      <c r="F2069" t="s">
        <v>9358</v>
      </c>
      <c r="G2069" t="s">
        <v>9359</v>
      </c>
      <c r="H2069">
        <v>19.058851000000001</v>
      </c>
      <c r="I2069">
        <v>47.513686999999997</v>
      </c>
      <c r="J2069">
        <v>100</v>
      </c>
      <c r="K2069" t="s">
        <v>536</v>
      </c>
      <c r="L2069" t="s">
        <v>536</v>
      </c>
      <c r="M2069" t="s">
        <v>536</v>
      </c>
      <c r="N2069" t="s">
        <v>536</v>
      </c>
      <c r="O2069" t="s">
        <v>536</v>
      </c>
      <c r="P2069" t="s">
        <v>536</v>
      </c>
      <c r="Q2069" t="s">
        <v>535</v>
      </c>
      <c r="R2069" t="s">
        <v>9494</v>
      </c>
      <c r="S2069" t="s">
        <v>9399</v>
      </c>
      <c r="U2069" t="s">
        <v>9495</v>
      </c>
    </row>
    <row r="2070" spans="1:21" x14ac:dyDescent="0.25">
      <c r="A2070" t="s">
        <v>9496</v>
      </c>
      <c r="B2070" t="s">
        <v>38</v>
      </c>
      <c r="C2070" t="s">
        <v>9497</v>
      </c>
      <c r="D2070">
        <f>36-93815670</f>
        <v>-93815634</v>
      </c>
      <c r="E2070" t="s">
        <v>9498</v>
      </c>
      <c r="F2070" t="s">
        <v>9358</v>
      </c>
      <c r="G2070" t="s">
        <v>9359</v>
      </c>
      <c r="H2070">
        <v>17.007873</v>
      </c>
      <c r="I2070">
        <v>46.463349000000001</v>
      </c>
      <c r="J2070">
        <v>100</v>
      </c>
      <c r="K2070" t="s">
        <v>192</v>
      </c>
      <c r="L2070" t="s">
        <v>192</v>
      </c>
      <c r="M2070" t="s">
        <v>192</v>
      </c>
      <c r="N2070" t="s">
        <v>192</v>
      </c>
      <c r="O2070" t="s">
        <v>192</v>
      </c>
      <c r="P2070" t="s">
        <v>192</v>
      </c>
      <c r="Q2070" t="s">
        <v>428</v>
      </c>
      <c r="R2070" t="s">
        <v>9497</v>
      </c>
      <c r="S2070" t="s">
        <v>9499</v>
      </c>
      <c r="U2070" t="s">
        <v>9500</v>
      </c>
    </row>
    <row r="2071" spans="1:21" x14ac:dyDescent="0.25">
      <c r="A2071" t="s">
        <v>9501</v>
      </c>
      <c r="B2071" t="s">
        <v>22</v>
      </c>
      <c r="C2071" t="s">
        <v>9502</v>
      </c>
      <c r="D2071">
        <f>36-23815670</f>
        <v>-23815634</v>
      </c>
      <c r="E2071" t="s">
        <v>9503</v>
      </c>
      <c r="F2071" t="s">
        <v>9358</v>
      </c>
      <c r="G2071" t="s">
        <v>9359</v>
      </c>
      <c r="H2071">
        <v>18.964078000000001</v>
      </c>
      <c r="I2071">
        <v>47.449890000000003</v>
      </c>
      <c r="J2071">
        <v>100</v>
      </c>
      <c r="K2071" t="s">
        <v>192</v>
      </c>
      <c r="L2071" t="s">
        <v>192</v>
      </c>
      <c r="M2071" t="s">
        <v>192</v>
      </c>
      <c r="N2071" t="s">
        <v>192</v>
      </c>
      <c r="O2071" t="s">
        <v>192</v>
      </c>
      <c r="P2071" t="s">
        <v>192</v>
      </c>
      <c r="Q2071" t="s">
        <v>165</v>
      </c>
      <c r="R2071" t="s">
        <v>9502</v>
      </c>
      <c r="S2071" t="s">
        <v>9504</v>
      </c>
      <c r="U2071" t="s">
        <v>9505</v>
      </c>
    </row>
    <row r="2072" spans="1:21" x14ac:dyDescent="0.25">
      <c r="A2072" t="s">
        <v>9506</v>
      </c>
      <c r="B2072" t="s">
        <v>22</v>
      </c>
      <c r="C2072" t="s">
        <v>9507</v>
      </c>
      <c r="D2072">
        <f>36-13242080</f>
        <v>-13242044</v>
      </c>
      <c r="E2072" t="s">
        <v>9357</v>
      </c>
      <c r="F2072" t="s">
        <v>9358</v>
      </c>
      <c r="G2072" t="s">
        <v>9359</v>
      </c>
      <c r="H2072">
        <v>19.026668999999998</v>
      </c>
      <c r="I2072">
        <v>47.508712000000003</v>
      </c>
      <c r="J2072">
        <v>100</v>
      </c>
      <c r="K2072" t="s">
        <v>536</v>
      </c>
      <c r="L2072" t="s">
        <v>536</v>
      </c>
      <c r="M2072" t="s">
        <v>536</v>
      </c>
      <c r="N2072" t="s">
        <v>536</v>
      </c>
      <c r="O2072" t="s">
        <v>536</v>
      </c>
      <c r="P2072" t="s">
        <v>536</v>
      </c>
      <c r="Q2072" t="s">
        <v>428</v>
      </c>
      <c r="R2072" t="s">
        <v>9507</v>
      </c>
      <c r="S2072" t="s">
        <v>9508</v>
      </c>
      <c r="U2072" t="s">
        <v>9509</v>
      </c>
    </row>
    <row r="2073" spans="1:21" x14ac:dyDescent="0.25">
      <c r="A2073" t="s">
        <v>9510</v>
      </c>
      <c r="B2073" t="s">
        <v>38</v>
      </c>
      <c r="C2073" t="s">
        <v>9511</v>
      </c>
      <c r="D2073">
        <f>36-56814566</f>
        <v>-56814530</v>
      </c>
      <c r="E2073" t="s">
        <v>9512</v>
      </c>
      <c r="F2073" t="s">
        <v>9358</v>
      </c>
      <c r="G2073" t="s">
        <v>9359</v>
      </c>
      <c r="H2073">
        <v>20.19688</v>
      </c>
      <c r="I2073">
        <v>47.159298</v>
      </c>
      <c r="J2073">
        <v>100</v>
      </c>
      <c r="K2073" t="s">
        <v>192</v>
      </c>
      <c r="L2073" t="s">
        <v>192</v>
      </c>
      <c r="M2073" t="s">
        <v>192</v>
      </c>
      <c r="N2073" t="s">
        <v>192</v>
      </c>
      <c r="O2073" t="s">
        <v>192</v>
      </c>
      <c r="P2073" t="s">
        <v>192</v>
      </c>
      <c r="Q2073" t="s">
        <v>165</v>
      </c>
      <c r="R2073" t="s">
        <v>9511</v>
      </c>
      <c r="S2073" t="s">
        <v>9513</v>
      </c>
      <c r="U2073" t="s">
        <v>9514</v>
      </c>
    </row>
    <row r="2074" spans="1:21" x14ac:dyDescent="0.25">
      <c r="A2074" t="s">
        <v>9515</v>
      </c>
      <c r="B2074" t="s">
        <v>38</v>
      </c>
      <c r="C2074" t="s">
        <v>9516</v>
      </c>
      <c r="D2074">
        <f>36-94814653</f>
        <v>-94814617</v>
      </c>
      <c r="E2074" t="s">
        <v>9517</v>
      </c>
      <c r="F2074" t="s">
        <v>9358</v>
      </c>
      <c r="G2074" t="s">
        <v>9359</v>
      </c>
      <c r="H2074">
        <v>16.617052999999999</v>
      </c>
      <c r="I2074">
        <v>47.221989999999998</v>
      </c>
      <c r="J2074">
        <v>100</v>
      </c>
      <c r="K2074" t="s">
        <v>45</v>
      </c>
      <c r="L2074" t="s">
        <v>45</v>
      </c>
      <c r="M2074" t="s">
        <v>45</v>
      </c>
      <c r="N2074" t="s">
        <v>45</v>
      </c>
      <c r="O2074" t="s">
        <v>45</v>
      </c>
      <c r="P2074" t="s">
        <v>45</v>
      </c>
      <c r="Q2074" t="s">
        <v>428</v>
      </c>
      <c r="R2074" t="s">
        <v>9516</v>
      </c>
      <c r="S2074" t="s">
        <v>9518</v>
      </c>
      <c r="U2074" t="s">
        <v>9519</v>
      </c>
    </row>
    <row r="2075" spans="1:21" x14ac:dyDescent="0.25">
      <c r="A2075" t="s">
        <v>9520</v>
      </c>
      <c r="B2075" t="s">
        <v>38</v>
      </c>
      <c r="C2075" t="s">
        <v>9521</v>
      </c>
      <c r="D2075">
        <f>36-92814670</f>
        <v>-92814634</v>
      </c>
      <c r="E2075" t="s">
        <v>9522</v>
      </c>
      <c r="F2075" t="s">
        <v>9358</v>
      </c>
      <c r="G2075" t="s">
        <v>9359</v>
      </c>
      <c r="H2075">
        <v>16.867610601501902</v>
      </c>
      <c r="I2075">
        <v>46.841515904467101</v>
      </c>
      <c r="J2075">
        <v>100</v>
      </c>
      <c r="K2075" t="s">
        <v>45</v>
      </c>
      <c r="L2075" t="s">
        <v>45</v>
      </c>
      <c r="M2075" t="s">
        <v>45</v>
      </c>
      <c r="N2075" t="s">
        <v>45</v>
      </c>
      <c r="O2075" t="s">
        <v>45</v>
      </c>
      <c r="P2075" t="s">
        <v>45</v>
      </c>
      <c r="Q2075" t="s">
        <v>428</v>
      </c>
      <c r="R2075" t="s">
        <v>9521</v>
      </c>
      <c r="S2075" t="s">
        <v>9523</v>
      </c>
      <c r="U2075" t="s">
        <v>9524</v>
      </c>
    </row>
    <row r="2076" spans="1:21" x14ac:dyDescent="0.25">
      <c r="A2076" t="s">
        <v>9525</v>
      </c>
      <c r="B2076" t="s">
        <v>32</v>
      </c>
      <c r="C2076" t="s">
        <v>9526</v>
      </c>
      <c r="D2076">
        <f>36-12109034</f>
        <v>-12108998</v>
      </c>
      <c r="E2076" t="s">
        <v>9357</v>
      </c>
      <c r="F2076" t="s">
        <v>9358</v>
      </c>
      <c r="G2076" t="s">
        <v>9359</v>
      </c>
      <c r="H2076">
        <v>19.051116</v>
      </c>
      <c r="I2076">
        <v>47.495811000000003</v>
      </c>
      <c r="J2076">
        <v>100</v>
      </c>
      <c r="K2076" t="s">
        <v>536</v>
      </c>
      <c r="L2076" t="s">
        <v>536</v>
      </c>
      <c r="M2076" t="s">
        <v>536</v>
      </c>
      <c r="N2076" t="s">
        <v>536</v>
      </c>
      <c r="O2076" t="s">
        <v>536</v>
      </c>
      <c r="P2076" t="s">
        <v>536</v>
      </c>
      <c r="Q2076" t="s">
        <v>45</v>
      </c>
      <c r="R2076" t="s">
        <v>9526</v>
      </c>
      <c r="S2076" t="s">
        <v>9527</v>
      </c>
      <c r="U2076" t="s">
        <v>9528</v>
      </c>
    </row>
    <row r="2077" spans="1:21" x14ac:dyDescent="0.25">
      <c r="A2077" t="s">
        <v>9529</v>
      </c>
      <c r="B2077" t="s">
        <v>38</v>
      </c>
      <c r="C2077" t="s">
        <v>9530</v>
      </c>
      <c r="D2077">
        <f>36-24-520690</f>
        <v>-520678</v>
      </c>
      <c r="E2077" t="s">
        <v>9357</v>
      </c>
      <c r="F2077" t="s">
        <v>9358</v>
      </c>
      <c r="G2077" t="s">
        <v>9359</v>
      </c>
      <c r="H2077">
        <v>18.995529000000001</v>
      </c>
      <c r="I2077">
        <v>47.338304000000001</v>
      </c>
      <c r="J2077">
        <v>100</v>
      </c>
      <c r="K2077" t="s">
        <v>192</v>
      </c>
      <c r="L2077" t="s">
        <v>192</v>
      </c>
      <c r="M2077" t="s">
        <v>192</v>
      </c>
      <c r="N2077" t="s">
        <v>192</v>
      </c>
      <c r="O2077" t="s">
        <v>192</v>
      </c>
      <c r="P2077" t="s">
        <v>192</v>
      </c>
      <c r="Q2077" t="s">
        <v>166</v>
      </c>
      <c r="R2077" t="s">
        <v>9530</v>
      </c>
      <c r="S2077" t="s">
        <v>9531</v>
      </c>
      <c r="U2077" t="s">
        <v>9532</v>
      </c>
    </row>
    <row r="2078" spans="1:21" x14ac:dyDescent="0.25">
      <c r="A2078" t="s">
        <v>9533</v>
      </c>
      <c r="B2078" t="s">
        <v>38</v>
      </c>
      <c r="C2078" t="s">
        <v>9534</v>
      </c>
      <c r="D2078">
        <f>36-12053144</f>
        <v>-12053108</v>
      </c>
      <c r="E2078" t="s">
        <v>9357</v>
      </c>
      <c r="F2078" t="s">
        <v>9358</v>
      </c>
      <c r="G2078" t="s">
        <v>9359</v>
      </c>
      <c r="H2078">
        <v>19.067610999999999</v>
      </c>
      <c r="I2078">
        <v>47.423673999999998</v>
      </c>
      <c r="J2078">
        <v>100</v>
      </c>
      <c r="K2078" t="s">
        <v>45</v>
      </c>
      <c r="L2078" t="s">
        <v>45</v>
      </c>
      <c r="M2078" t="s">
        <v>45</v>
      </c>
      <c r="N2078" t="s">
        <v>45</v>
      </c>
      <c r="O2078" t="s">
        <v>45</v>
      </c>
      <c r="P2078" t="s">
        <v>45</v>
      </c>
      <c r="Q2078" t="s">
        <v>428</v>
      </c>
      <c r="R2078" t="s">
        <v>9534</v>
      </c>
      <c r="S2078" t="s">
        <v>9535</v>
      </c>
      <c r="U2078" t="s">
        <v>9536</v>
      </c>
    </row>
    <row r="2079" spans="1:21" x14ac:dyDescent="0.25">
      <c r="A2079" t="s">
        <v>9537</v>
      </c>
      <c r="B2079" t="s">
        <v>38</v>
      </c>
      <c r="C2079" t="s">
        <v>9538</v>
      </c>
      <c r="D2079">
        <f>36-46503966</f>
        <v>-46503930</v>
      </c>
      <c r="E2079" t="s">
        <v>9407</v>
      </c>
      <c r="F2079" t="s">
        <v>9358</v>
      </c>
      <c r="G2079" t="s">
        <v>9359</v>
      </c>
      <c r="H2079">
        <v>20.782551999999999</v>
      </c>
      <c r="I2079">
        <v>48.126063000000002</v>
      </c>
      <c r="J2079">
        <v>100</v>
      </c>
      <c r="K2079" t="s">
        <v>192</v>
      </c>
      <c r="L2079" t="s">
        <v>192</v>
      </c>
      <c r="M2079" t="s">
        <v>192</v>
      </c>
      <c r="N2079" t="s">
        <v>192</v>
      </c>
      <c r="O2079" t="s">
        <v>192</v>
      </c>
      <c r="P2079" t="s">
        <v>192</v>
      </c>
      <c r="Q2079" t="s">
        <v>535</v>
      </c>
      <c r="R2079" t="s">
        <v>9538</v>
      </c>
      <c r="S2079" t="s">
        <v>9539</v>
      </c>
      <c r="U2079" t="s">
        <v>9540</v>
      </c>
    </row>
    <row r="2080" spans="1:21" x14ac:dyDescent="0.25">
      <c r="A2080" t="s">
        <v>9541</v>
      </c>
      <c r="B2080" t="s">
        <v>38</v>
      </c>
      <c r="C2080" t="s">
        <v>9542</v>
      </c>
      <c r="D2080">
        <f>36-36471308</f>
        <v>-36471272</v>
      </c>
      <c r="E2080" t="s">
        <v>9543</v>
      </c>
      <c r="F2080" t="s">
        <v>9358</v>
      </c>
      <c r="G2080" t="s">
        <v>9359</v>
      </c>
      <c r="H2080">
        <v>20.370238450391099</v>
      </c>
      <c r="I2080">
        <v>47.925206060801102</v>
      </c>
      <c r="J2080">
        <v>100</v>
      </c>
      <c r="K2080" t="s">
        <v>192</v>
      </c>
      <c r="L2080" t="s">
        <v>192</v>
      </c>
      <c r="M2080" t="s">
        <v>192</v>
      </c>
      <c r="N2080" t="s">
        <v>192</v>
      </c>
      <c r="O2080" t="s">
        <v>192</v>
      </c>
      <c r="P2080" t="s">
        <v>192</v>
      </c>
      <c r="Q2080" t="s">
        <v>165</v>
      </c>
      <c r="R2080" t="s">
        <v>9542</v>
      </c>
      <c r="S2080" t="s">
        <v>9544</v>
      </c>
      <c r="U2080" t="s">
        <v>9545</v>
      </c>
    </row>
    <row r="2081" spans="1:21" x14ac:dyDescent="0.25">
      <c r="A2081" t="s">
        <v>9546</v>
      </c>
      <c r="B2081" t="s">
        <v>38</v>
      </c>
      <c r="C2081" t="s">
        <v>9547</v>
      </c>
      <c r="D2081">
        <f>36-62535610</f>
        <v>-62535574</v>
      </c>
      <c r="E2081" t="s">
        <v>9548</v>
      </c>
      <c r="F2081" t="s">
        <v>9358</v>
      </c>
      <c r="G2081" t="s">
        <v>9359</v>
      </c>
      <c r="H2081">
        <v>20.332521</v>
      </c>
      <c r="I2081">
        <v>46.412506999999998</v>
      </c>
      <c r="J2081">
        <v>100</v>
      </c>
      <c r="K2081" t="s">
        <v>192</v>
      </c>
      <c r="L2081" t="s">
        <v>192</v>
      </c>
      <c r="M2081" t="s">
        <v>192</v>
      </c>
      <c r="N2081" t="s">
        <v>192</v>
      </c>
      <c r="O2081" t="s">
        <v>192</v>
      </c>
      <c r="P2081" t="s">
        <v>192</v>
      </c>
      <c r="Q2081" t="s">
        <v>165</v>
      </c>
      <c r="R2081" t="s">
        <v>9547</v>
      </c>
      <c r="S2081" t="s">
        <v>9549</v>
      </c>
      <c r="U2081" t="s">
        <v>9550</v>
      </c>
    </row>
    <row r="2082" spans="1:21" x14ac:dyDescent="0.25">
      <c r="A2082" t="s">
        <v>9551</v>
      </c>
      <c r="B2082" t="s">
        <v>38</v>
      </c>
      <c r="C2082" t="s">
        <v>9552</v>
      </c>
      <c r="D2082">
        <f>36-76320178</f>
        <v>-76320142</v>
      </c>
      <c r="E2082" t="s">
        <v>9434</v>
      </c>
      <c r="F2082" t="s">
        <v>9358</v>
      </c>
      <c r="G2082" t="s">
        <v>9359</v>
      </c>
      <c r="H2082">
        <v>19.665531999999999</v>
      </c>
      <c r="I2082">
        <v>46.933630000000001</v>
      </c>
      <c r="J2082">
        <v>100</v>
      </c>
      <c r="K2082" t="s">
        <v>45</v>
      </c>
      <c r="L2082" t="s">
        <v>45</v>
      </c>
      <c r="M2082" t="s">
        <v>45</v>
      </c>
      <c r="N2082" t="s">
        <v>45</v>
      </c>
      <c r="O2082" t="s">
        <v>45</v>
      </c>
      <c r="P2082" t="s">
        <v>45</v>
      </c>
      <c r="Q2082" t="s">
        <v>428</v>
      </c>
      <c r="R2082" t="s">
        <v>9552</v>
      </c>
      <c r="S2082" t="s">
        <v>9553</v>
      </c>
      <c r="U2082" t="s">
        <v>9554</v>
      </c>
    </row>
    <row r="2083" spans="1:21" x14ac:dyDescent="0.25">
      <c r="A2083" t="s">
        <v>9555</v>
      </c>
      <c r="B2083" t="s">
        <v>22</v>
      </c>
      <c r="C2083" t="s">
        <v>9556</v>
      </c>
      <c r="D2083">
        <f>36-17816409</f>
        <v>-17816373</v>
      </c>
      <c r="E2083" t="s">
        <v>9357</v>
      </c>
      <c r="F2083" t="s">
        <v>9358</v>
      </c>
      <c r="G2083" t="s">
        <v>9359</v>
      </c>
      <c r="H2083">
        <v>19.023827000000001</v>
      </c>
      <c r="I2083">
        <v>47.464646999999999</v>
      </c>
      <c r="J2083">
        <v>100</v>
      </c>
      <c r="K2083" t="s">
        <v>536</v>
      </c>
      <c r="L2083" t="s">
        <v>536</v>
      </c>
      <c r="M2083" t="s">
        <v>536</v>
      </c>
      <c r="N2083" t="s">
        <v>536</v>
      </c>
      <c r="O2083" t="s">
        <v>536</v>
      </c>
      <c r="P2083" t="s">
        <v>536</v>
      </c>
      <c r="Q2083" t="s">
        <v>45</v>
      </c>
      <c r="R2083" t="s">
        <v>9557</v>
      </c>
      <c r="U2083" t="s">
        <v>9558</v>
      </c>
    </row>
    <row r="2084" spans="1:21" x14ac:dyDescent="0.25">
      <c r="A2084" t="s">
        <v>9559</v>
      </c>
      <c r="B2084" t="s">
        <v>32</v>
      </c>
      <c r="C2084" t="s">
        <v>9560</v>
      </c>
      <c r="D2084">
        <f>62-2123580378</f>
        <v>-2123580316</v>
      </c>
      <c r="E2084" t="s">
        <v>9561</v>
      </c>
      <c r="F2084" t="s">
        <v>9562</v>
      </c>
      <c r="G2084" t="s">
        <v>9563</v>
      </c>
      <c r="H2084">
        <v>106.81975389999999</v>
      </c>
      <c r="I2084">
        <v>-6.1947597999999999</v>
      </c>
      <c r="J2084">
        <v>205</v>
      </c>
      <c r="K2084" t="s">
        <v>27</v>
      </c>
      <c r="L2084" t="s">
        <v>27</v>
      </c>
      <c r="M2084" t="s">
        <v>27</v>
      </c>
      <c r="N2084" t="s">
        <v>27</v>
      </c>
      <c r="O2084" t="s">
        <v>27</v>
      </c>
      <c r="P2084" t="s">
        <v>27</v>
      </c>
      <c r="Q2084" t="s">
        <v>27</v>
      </c>
      <c r="R2084" t="s">
        <v>9560</v>
      </c>
      <c r="S2084" t="s">
        <v>9564</v>
      </c>
      <c r="U2084" t="s">
        <v>9565</v>
      </c>
    </row>
    <row r="2085" spans="1:21" x14ac:dyDescent="0.25">
      <c r="A2085" t="s">
        <v>9566</v>
      </c>
      <c r="B2085" t="s">
        <v>22</v>
      </c>
      <c r="C2085" t="s">
        <v>9567</v>
      </c>
      <c r="D2085">
        <f>62-217692441</f>
        <v>-217692379</v>
      </c>
      <c r="E2085" t="s">
        <v>9561</v>
      </c>
      <c r="F2085" t="s">
        <v>9562</v>
      </c>
      <c r="G2085" t="s">
        <v>9563</v>
      </c>
      <c r="H2085">
        <v>106.7843323</v>
      </c>
      <c r="I2085">
        <v>-6.2653515999999998</v>
      </c>
      <c r="J2085">
        <v>205</v>
      </c>
      <c r="K2085" t="s">
        <v>27</v>
      </c>
      <c r="L2085" t="s">
        <v>27</v>
      </c>
      <c r="M2085" t="s">
        <v>27</v>
      </c>
      <c r="N2085" t="s">
        <v>27</v>
      </c>
      <c r="O2085" t="s">
        <v>27</v>
      </c>
      <c r="P2085" t="s">
        <v>27</v>
      </c>
      <c r="Q2085" t="s">
        <v>27</v>
      </c>
      <c r="R2085" t="s">
        <v>9567</v>
      </c>
      <c r="S2085" t="s">
        <v>9568</v>
      </c>
      <c r="U2085" t="s">
        <v>9569</v>
      </c>
    </row>
    <row r="2086" spans="1:21" x14ac:dyDescent="0.25">
      <c r="A2086" t="s">
        <v>9570</v>
      </c>
      <c r="B2086" t="s">
        <v>22</v>
      </c>
      <c r="C2086" t="s">
        <v>9571</v>
      </c>
      <c r="D2086">
        <f>62-2129889076</f>
        <v>-2129889014</v>
      </c>
      <c r="E2086" t="s">
        <v>9561</v>
      </c>
      <c r="F2086" t="s">
        <v>9562</v>
      </c>
      <c r="G2086" t="s">
        <v>9563</v>
      </c>
      <c r="H2086">
        <v>106.8228548</v>
      </c>
      <c r="I2086">
        <v>-6.2236450000000003</v>
      </c>
      <c r="J2086">
        <v>205</v>
      </c>
      <c r="K2086" t="s">
        <v>27</v>
      </c>
      <c r="L2086" t="s">
        <v>27</v>
      </c>
      <c r="M2086" t="s">
        <v>27</v>
      </c>
      <c r="N2086" t="s">
        <v>27</v>
      </c>
      <c r="O2086" t="s">
        <v>27</v>
      </c>
      <c r="P2086" t="s">
        <v>27</v>
      </c>
      <c r="Q2086" t="s">
        <v>27</v>
      </c>
      <c r="R2086" t="s">
        <v>9571</v>
      </c>
      <c r="S2086" t="s">
        <v>9572</v>
      </c>
      <c r="U2086" t="s">
        <v>9573</v>
      </c>
    </row>
    <row r="2087" spans="1:21" x14ac:dyDescent="0.25">
      <c r="A2087" t="s">
        <v>9574</v>
      </c>
      <c r="B2087" t="s">
        <v>22</v>
      </c>
      <c r="C2087" t="s">
        <v>9575</v>
      </c>
      <c r="D2087">
        <f>62-2129236380</f>
        <v>-2129236318</v>
      </c>
      <c r="E2087" t="s">
        <v>9561</v>
      </c>
      <c r="F2087" t="s">
        <v>9562</v>
      </c>
      <c r="G2087" t="s">
        <v>9563</v>
      </c>
      <c r="H2087">
        <v>106.7831645</v>
      </c>
      <c r="I2087">
        <v>-6.2442352999999997</v>
      </c>
      <c r="J2087">
        <v>205</v>
      </c>
      <c r="K2087" t="s">
        <v>27</v>
      </c>
      <c r="L2087" t="s">
        <v>27</v>
      </c>
      <c r="M2087" t="s">
        <v>27</v>
      </c>
      <c r="N2087" t="s">
        <v>27</v>
      </c>
      <c r="O2087" t="s">
        <v>27</v>
      </c>
      <c r="P2087" t="s">
        <v>27</v>
      </c>
      <c r="Q2087" t="s">
        <v>27</v>
      </c>
      <c r="R2087" t="s">
        <v>9575</v>
      </c>
      <c r="S2087" t="s">
        <v>9576</v>
      </c>
      <c r="U2087" t="s">
        <v>9577</v>
      </c>
    </row>
    <row r="2088" spans="1:21" x14ac:dyDescent="0.25">
      <c r="A2088" t="s">
        <v>9578</v>
      </c>
      <c r="B2088" t="s">
        <v>22</v>
      </c>
      <c r="C2088" t="s">
        <v>9579</v>
      </c>
      <c r="D2088">
        <f>62-2129475102</f>
        <v>-2129475040</v>
      </c>
      <c r="E2088" t="s">
        <v>9561</v>
      </c>
      <c r="F2088" t="s">
        <v>9562</v>
      </c>
      <c r="G2088" t="s">
        <v>9563</v>
      </c>
      <c r="H2088">
        <v>106.8428638</v>
      </c>
      <c r="I2088">
        <v>-6.2239082999999997</v>
      </c>
      <c r="J2088">
        <v>205</v>
      </c>
      <c r="K2088" t="s">
        <v>27</v>
      </c>
      <c r="L2088" t="s">
        <v>27</v>
      </c>
      <c r="M2088" t="s">
        <v>27</v>
      </c>
      <c r="N2088" t="s">
        <v>27</v>
      </c>
      <c r="O2088" t="s">
        <v>27</v>
      </c>
      <c r="P2088" t="s">
        <v>27</v>
      </c>
      <c r="Q2088" t="s">
        <v>27</v>
      </c>
      <c r="R2088" t="s">
        <v>9579</v>
      </c>
      <c r="S2088" t="s">
        <v>9580</v>
      </c>
      <c r="U2088" t="s">
        <v>9581</v>
      </c>
    </row>
    <row r="2089" spans="1:21" x14ac:dyDescent="0.25">
      <c r="A2089" t="s">
        <v>9582</v>
      </c>
      <c r="B2089" t="s">
        <v>22</v>
      </c>
      <c r="C2089" t="s">
        <v>9583</v>
      </c>
      <c r="D2089">
        <f>62-2287783795</f>
        <v>-2287783733</v>
      </c>
      <c r="E2089" t="s">
        <v>9584</v>
      </c>
      <c r="F2089" t="s">
        <v>9562</v>
      </c>
      <c r="G2089" t="s">
        <v>9563</v>
      </c>
      <c r="H2089">
        <v>107.595805</v>
      </c>
      <c r="I2089">
        <v>-6.889284</v>
      </c>
      <c r="J2089">
        <v>205</v>
      </c>
      <c r="K2089" t="s">
        <v>45</v>
      </c>
      <c r="L2089" t="s">
        <v>45</v>
      </c>
      <c r="M2089" t="s">
        <v>45</v>
      </c>
      <c r="N2089" t="s">
        <v>45</v>
      </c>
      <c r="O2089" t="s">
        <v>45</v>
      </c>
      <c r="P2089" t="s">
        <v>45</v>
      </c>
      <c r="Q2089" t="s">
        <v>45</v>
      </c>
      <c r="R2089" t="s">
        <v>9583</v>
      </c>
      <c r="S2089" t="s">
        <v>9585</v>
      </c>
      <c r="U2089" t="s">
        <v>9586</v>
      </c>
    </row>
    <row r="2090" spans="1:21" x14ac:dyDescent="0.25">
      <c r="A2090" t="s">
        <v>9587</v>
      </c>
      <c r="B2090" t="s">
        <v>22</v>
      </c>
      <c r="C2090" t="s">
        <v>9588</v>
      </c>
      <c r="D2090">
        <f>62-614501895</f>
        <v>-614501833</v>
      </c>
      <c r="E2090" t="s">
        <v>9589</v>
      </c>
      <c r="F2090" t="s">
        <v>9562</v>
      </c>
      <c r="G2090" t="s">
        <v>9563</v>
      </c>
      <c r="H2090">
        <v>98.671675100000002</v>
      </c>
      <c r="I2090">
        <v>3.5824867</v>
      </c>
      <c r="J2090">
        <v>205</v>
      </c>
      <c r="K2090" t="s">
        <v>27</v>
      </c>
      <c r="L2090" t="s">
        <v>27</v>
      </c>
      <c r="M2090" t="s">
        <v>27</v>
      </c>
      <c r="N2090" t="s">
        <v>27</v>
      </c>
      <c r="O2090" t="s">
        <v>27</v>
      </c>
      <c r="P2090" t="s">
        <v>27</v>
      </c>
      <c r="Q2090" t="s">
        <v>27</v>
      </c>
      <c r="R2090" t="s">
        <v>9588</v>
      </c>
      <c r="S2090" t="s">
        <v>9590</v>
      </c>
      <c r="U2090" t="s">
        <v>9591</v>
      </c>
    </row>
    <row r="2091" spans="1:21" x14ac:dyDescent="0.25">
      <c r="A2091" t="s">
        <v>9592</v>
      </c>
      <c r="B2091" t="s">
        <v>22</v>
      </c>
      <c r="C2091" t="s">
        <v>9593</v>
      </c>
      <c r="D2091">
        <f>62-6180510729</f>
        <v>-6180510667</v>
      </c>
      <c r="E2091" t="s">
        <v>9589</v>
      </c>
      <c r="F2091" t="s">
        <v>9562</v>
      </c>
      <c r="G2091" t="s">
        <v>9563</v>
      </c>
      <c r="H2091">
        <v>98.681036000000006</v>
      </c>
      <c r="I2091">
        <v>3.5916765000000002</v>
      </c>
      <c r="J2091">
        <v>205</v>
      </c>
      <c r="K2091" t="s">
        <v>27</v>
      </c>
      <c r="L2091" t="s">
        <v>27</v>
      </c>
      <c r="M2091" t="s">
        <v>27</v>
      </c>
      <c r="N2091" t="s">
        <v>27</v>
      </c>
      <c r="O2091" t="s">
        <v>27</v>
      </c>
      <c r="P2091" t="s">
        <v>27</v>
      </c>
      <c r="Q2091" t="s">
        <v>27</v>
      </c>
      <c r="R2091" t="s">
        <v>9593</v>
      </c>
      <c r="S2091" t="s">
        <v>9594</v>
      </c>
      <c r="U2091" t="s">
        <v>9595</v>
      </c>
    </row>
    <row r="2092" spans="1:21" x14ac:dyDescent="0.25">
      <c r="A2092" t="s">
        <v>9596</v>
      </c>
      <c r="B2092" t="s">
        <v>22</v>
      </c>
      <c r="C2092" t="s">
        <v>9597</v>
      </c>
      <c r="D2092">
        <f>62-2166676557</f>
        <v>-2166676495</v>
      </c>
      <c r="E2092" t="s">
        <v>9561</v>
      </c>
      <c r="F2092" t="s">
        <v>9562</v>
      </c>
      <c r="G2092" t="s">
        <v>9563</v>
      </c>
      <c r="H2092">
        <v>106.7910255</v>
      </c>
      <c r="I2092">
        <v>-6.1273777999999997</v>
      </c>
      <c r="J2092">
        <v>205</v>
      </c>
      <c r="K2092" t="s">
        <v>27</v>
      </c>
      <c r="L2092" t="s">
        <v>27</v>
      </c>
      <c r="M2092" t="s">
        <v>27</v>
      </c>
      <c r="N2092" t="s">
        <v>27</v>
      </c>
      <c r="O2092" t="s">
        <v>27</v>
      </c>
      <c r="P2092" t="s">
        <v>27</v>
      </c>
      <c r="Q2092" t="s">
        <v>27</v>
      </c>
      <c r="R2092" t="s">
        <v>9597</v>
      </c>
      <c r="S2092" t="s">
        <v>9598</v>
      </c>
      <c r="U2092" t="s">
        <v>9599</v>
      </c>
    </row>
    <row r="2093" spans="1:21" x14ac:dyDescent="0.25">
      <c r="A2093" t="s">
        <v>9600</v>
      </c>
      <c r="B2093" t="s">
        <v>22</v>
      </c>
      <c r="C2093" t="s">
        <v>9601</v>
      </c>
      <c r="D2093">
        <f>62-2129111260</f>
        <v>-2129111198</v>
      </c>
      <c r="E2093" t="s">
        <v>9561</v>
      </c>
      <c r="F2093" t="s">
        <v>9562</v>
      </c>
      <c r="G2093" t="s">
        <v>9563</v>
      </c>
      <c r="H2093">
        <v>106.73857479999999</v>
      </c>
      <c r="I2093">
        <v>-6.19008</v>
      </c>
      <c r="J2093">
        <v>205</v>
      </c>
      <c r="K2093" t="s">
        <v>27</v>
      </c>
      <c r="L2093" t="s">
        <v>27</v>
      </c>
      <c r="M2093" t="s">
        <v>27</v>
      </c>
      <c r="N2093" t="s">
        <v>27</v>
      </c>
      <c r="O2093" t="s">
        <v>27</v>
      </c>
      <c r="P2093" t="s">
        <v>27</v>
      </c>
      <c r="Q2093" t="s">
        <v>27</v>
      </c>
      <c r="R2093" t="s">
        <v>9601</v>
      </c>
      <c r="S2093" t="s">
        <v>9602</v>
      </c>
      <c r="U2093" t="s">
        <v>9603</v>
      </c>
    </row>
    <row r="2094" spans="1:21" x14ac:dyDescent="0.25">
      <c r="A2094" t="s">
        <v>9604</v>
      </c>
      <c r="B2094" t="s">
        <v>22</v>
      </c>
      <c r="C2094" t="s">
        <v>9605</v>
      </c>
      <c r="D2094">
        <f>62-3618465386</f>
        <v>-3618465324</v>
      </c>
      <c r="E2094" t="s">
        <v>9606</v>
      </c>
      <c r="F2094" t="s">
        <v>9562</v>
      </c>
      <c r="G2094" t="s">
        <v>9563</v>
      </c>
      <c r="H2094">
        <v>115.18426909999999</v>
      </c>
      <c r="I2094">
        <v>-8.7233105000000002</v>
      </c>
      <c r="J2094">
        <v>205</v>
      </c>
      <c r="K2094" t="s">
        <v>27</v>
      </c>
      <c r="L2094" t="s">
        <v>27</v>
      </c>
      <c r="M2094" t="s">
        <v>27</v>
      </c>
      <c r="N2094" t="s">
        <v>27</v>
      </c>
      <c r="O2094" t="s">
        <v>27</v>
      </c>
      <c r="P2094" t="s">
        <v>27</v>
      </c>
      <c r="Q2094" t="s">
        <v>27</v>
      </c>
      <c r="R2094" t="s">
        <v>9605</v>
      </c>
      <c r="S2094" t="s">
        <v>9607</v>
      </c>
      <c r="U2094" t="s">
        <v>9608</v>
      </c>
    </row>
    <row r="2095" spans="1:21" x14ac:dyDescent="0.25">
      <c r="A2095" t="s">
        <v>9609</v>
      </c>
      <c r="B2095" t="s">
        <v>22</v>
      </c>
      <c r="C2095" t="s">
        <v>9610</v>
      </c>
      <c r="D2095">
        <f>62-2129168267</f>
        <v>-2129168205</v>
      </c>
      <c r="E2095" t="s">
        <v>9561</v>
      </c>
      <c r="F2095" t="s">
        <v>9562</v>
      </c>
      <c r="G2095" t="s">
        <v>9563</v>
      </c>
      <c r="H2095">
        <v>106.643997</v>
      </c>
      <c r="I2095">
        <v>-6.3047139999999997</v>
      </c>
      <c r="J2095">
        <v>205</v>
      </c>
      <c r="K2095" t="s">
        <v>27</v>
      </c>
      <c r="L2095" t="s">
        <v>27</v>
      </c>
      <c r="M2095" t="s">
        <v>27</v>
      </c>
      <c r="N2095" t="s">
        <v>27</v>
      </c>
      <c r="O2095" t="s">
        <v>27</v>
      </c>
      <c r="P2095" t="s">
        <v>27</v>
      </c>
      <c r="Q2095" t="s">
        <v>27</v>
      </c>
      <c r="R2095" t="s">
        <v>9610</v>
      </c>
      <c r="S2095" t="s">
        <v>9611</v>
      </c>
      <c r="U2095" t="s">
        <v>9612</v>
      </c>
    </row>
    <row r="2096" spans="1:21" x14ac:dyDescent="0.25">
      <c r="A2096" t="s">
        <v>9613</v>
      </c>
      <c r="B2096" t="s">
        <v>22</v>
      </c>
      <c r="C2096" t="s">
        <v>9614</v>
      </c>
      <c r="D2096">
        <f>62-2122570808</f>
        <v>-2122570746</v>
      </c>
      <c r="E2096" t="s">
        <v>9561</v>
      </c>
      <c r="F2096" t="s">
        <v>9562</v>
      </c>
      <c r="G2096" t="s">
        <v>9563</v>
      </c>
      <c r="H2096">
        <v>106.73985759999999</v>
      </c>
      <c r="I2096">
        <v>-6.1092890999999998</v>
      </c>
      <c r="J2096">
        <v>205</v>
      </c>
      <c r="K2096" t="s">
        <v>27</v>
      </c>
      <c r="L2096" t="s">
        <v>27</v>
      </c>
      <c r="M2096" t="s">
        <v>27</v>
      </c>
      <c r="N2096" t="s">
        <v>27</v>
      </c>
      <c r="O2096" t="s">
        <v>27</v>
      </c>
      <c r="P2096" t="s">
        <v>27</v>
      </c>
      <c r="Q2096" t="s">
        <v>27</v>
      </c>
      <c r="R2096" t="s">
        <v>9614</v>
      </c>
      <c r="S2096" t="s">
        <v>9615</v>
      </c>
      <c r="U2096" t="s">
        <v>9616</v>
      </c>
    </row>
    <row r="2097" spans="1:21" x14ac:dyDescent="0.25">
      <c r="A2097" t="s">
        <v>9617</v>
      </c>
      <c r="B2097" t="s">
        <v>22</v>
      </c>
      <c r="C2097" t="s">
        <v>9618</v>
      </c>
      <c r="D2097">
        <f>62-2129201018</f>
        <v>-2129200956</v>
      </c>
      <c r="E2097" t="s">
        <v>9561</v>
      </c>
      <c r="F2097" t="s">
        <v>9562</v>
      </c>
      <c r="G2097" t="s">
        <v>9563</v>
      </c>
      <c r="H2097">
        <v>106.79778169999901</v>
      </c>
      <c r="I2097">
        <v>-6.1958383000000001</v>
      </c>
      <c r="J2097">
        <v>205</v>
      </c>
      <c r="K2097" t="s">
        <v>27</v>
      </c>
      <c r="L2097" t="s">
        <v>27</v>
      </c>
      <c r="M2097" t="s">
        <v>27</v>
      </c>
      <c r="N2097" t="s">
        <v>27</v>
      </c>
      <c r="O2097" t="s">
        <v>27</v>
      </c>
      <c r="P2097" t="s">
        <v>27</v>
      </c>
      <c r="Q2097" t="s">
        <v>27</v>
      </c>
      <c r="R2097" t="s">
        <v>9618</v>
      </c>
      <c r="S2097" t="s">
        <v>9619</v>
      </c>
      <c r="U2097" t="s">
        <v>9620</v>
      </c>
    </row>
    <row r="2098" spans="1:21" x14ac:dyDescent="0.25">
      <c r="A2098" t="s">
        <v>9621</v>
      </c>
      <c r="B2098" t="s">
        <v>22</v>
      </c>
      <c r="C2098" t="s">
        <v>9622</v>
      </c>
      <c r="D2098">
        <f>62-2122570808</f>
        <v>-2122570746</v>
      </c>
      <c r="E2098" t="s">
        <v>9606</v>
      </c>
      <c r="F2098" t="s">
        <v>9562</v>
      </c>
      <c r="G2098" t="s">
        <v>9563</v>
      </c>
      <c r="H2098">
        <v>115.169539</v>
      </c>
      <c r="I2098">
        <v>-8.7165110000000006</v>
      </c>
      <c r="J2098">
        <v>227</v>
      </c>
      <c r="K2098" t="s">
        <v>27</v>
      </c>
      <c r="L2098" t="s">
        <v>27</v>
      </c>
      <c r="M2098" t="s">
        <v>27</v>
      </c>
      <c r="N2098" t="s">
        <v>27</v>
      </c>
      <c r="O2098" t="s">
        <v>27</v>
      </c>
      <c r="P2098" t="s">
        <v>27</v>
      </c>
      <c r="Q2098" t="s">
        <v>27</v>
      </c>
      <c r="R2098" t="s">
        <v>9622</v>
      </c>
      <c r="S2098" t="s">
        <v>9623</v>
      </c>
      <c r="U2098" t="s">
        <v>9624</v>
      </c>
    </row>
    <row r="2099" spans="1:21" x14ac:dyDescent="0.25">
      <c r="A2099" t="s">
        <v>9625</v>
      </c>
      <c r="B2099" t="s">
        <v>22</v>
      </c>
      <c r="C2099" t="s">
        <v>9626</v>
      </c>
      <c r="D2099">
        <f>62-3614727940</f>
        <v>-3614727878</v>
      </c>
      <c r="E2099" t="s">
        <v>9627</v>
      </c>
      <c r="F2099" t="s">
        <v>9562</v>
      </c>
      <c r="G2099" t="s">
        <v>9563</v>
      </c>
      <c r="H2099">
        <v>110.403138</v>
      </c>
      <c r="I2099">
        <v>-7.7586180000000002</v>
      </c>
      <c r="J2099">
        <v>205</v>
      </c>
      <c r="K2099" t="s">
        <v>27</v>
      </c>
      <c r="L2099" t="s">
        <v>27</v>
      </c>
      <c r="M2099" t="s">
        <v>27</v>
      </c>
      <c r="N2099" t="s">
        <v>27</v>
      </c>
      <c r="O2099" t="s">
        <v>27</v>
      </c>
      <c r="P2099" t="s">
        <v>27</v>
      </c>
      <c r="Q2099" t="s">
        <v>27</v>
      </c>
      <c r="R2099" t="s">
        <v>9626</v>
      </c>
      <c r="S2099" t="s">
        <v>9628</v>
      </c>
      <c r="U2099" t="s">
        <v>9629</v>
      </c>
    </row>
    <row r="2100" spans="1:21" x14ac:dyDescent="0.25">
      <c r="A2100" t="s">
        <v>9630</v>
      </c>
      <c r="B2100" t="s">
        <v>22</v>
      </c>
      <c r="C2100" t="s">
        <v>9631</v>
      </c>
      <c r="D2100">
        <f>62-5428521820</f>
        <v>-5428521758</v>
      </c>
      <c r="E2100" t="s">
        <v>9632</v>
      </c>
      <c r="F2100" t="s">
        <v>9562</v>
      </c>
      <c r="G2100" t="s">
        <v>9563</v>
      </c>
      <c r="H2100">
        <v>116.8569893</v>
      </c>
      <c r="I2100">
        <v>-1.2744198</v>
      </c>
      <c r="J2100">
        <v>227</v>
      </c>
      <c r="K2100" t="s">
        <v>27</v>
      </c>
      <c r="L2100" t="s">
        <v>27</v>
      </c>
      <c r="M2100" t="s">
        <v>27</v>
      </c>
      <c r="N2100" t="s">
        <v>27</v>
      </c>
      <c r="O2100" t="s">
        <v>27</v>
      </c>
      <c r="P2100" t="s">
        <v>27</v>
      </c>
      <c r="Q2100" t="s">
        <v>27</v>
      </c>
      <c r="R2100" t="s">
        <v>9631</v>
      </c>
      <c r="S2100" t="s">
        <v>9633</v>
      </c>
      <c r="U2100" t="s">
        <v>9634</v>
      </c>
    </row>
    <row r="2101" spans="1:21" x14ac:dyDescent="0.25">
      <c r="A2101" t="s">
        <v>9635</v>
      </c>
      <c r="B2101" t="s">
        <v>22</v>
      </c>
      <c r="C2101" t="s">
        <v>9636</v>
      </c>
      <c r="D2101">
        <f>62-2154213708</f>
        <v>-2154213646</v>
      </c>
      <c r="E2101" t="s">
        <v>9637</v>
      </c>
      <c r="F2101" t="s">
        <v>9562</v>
      </c>
      <c r="G2101" t="s">
        <v>9563</v>
      </c>
      <c r="H2101">
        <v>106.6071156</v>
      </c>
      <c r="I2101">
        <v>-6.2268175000000001</v>
      </c>
      <c r="J2101">
        <v>205</v>
      </c>
      <c r="K2101" t="s">
        <v>27</v>
      </c>
      <c r="L2101" t="s">
        <v>27</v>
      </c>
      <c r="M2101" t="s">
        <v>27</v>
      </c>
      <c r="N2101" t="s">
        <v>27</v>
      </c>
      <c r="O2101" t="s">
        <v>27</v>
      </c>
      <c r="P2101" t="s">
        <v>27</v>
      </c>
      <c r="Q2101" t="s">
        <v>27</v>
      </c>
      <c r="R2101" t="s">
        <v>9636</v>
      </c>
      <c r="S2101" t="s">
        <v>9638</v>
      </c>
      <c r="U2101" t="s">
        <v>9639</v>
      </c>
    </row>
    <row r="2102" spans="1:21" x14ac:dyDescent="0.25">
      <c r="A2102" t="s">
        <v>9640</v>
      </c>
      <c r="B2102" t="s">
        <v>22</v>
      </c>
      <c r="C2102" t="s">
        <v>9641</v>
      </c>
      <c r="D2102">
        <f>62-3199147677</f>
        <v>-3199147615</v>
      </c>
      <c r="E2102" t="s">
        <v>9642</v>
      </c>
      <c r="F2102" t="s">
        <v>9562</v>
      </c>
      <c r="G2102" t="s">
        <v>9563</v>
      </c>
      <c r="H2102">
        <v>112.674717</v>
      </c>
      <c r="I2102">
        <v>-7.290095</v>
      </c>
      <c r="J2102">
        <v>205</v>
      </c>
      <c r="K2102" t="s">
        <v>27</v>
      </c>
      <c r="L2102" t="s">
        <v>27</v>
      </c>
      <c r="M2102" t="s">
        <v>27</v>
      </c>
      <c r="N2102" t="s">
        <v>27</v>
      </c>
      <c r="O2102" t="s">
        <v>27</v>
      </c>
      <c r="P2102" t="s">
        <v>27</v>
      </c>
      <c r="Q2102" t="s">
        <v>27</v>
      </c>
      <c r="R2102" t="s">
        <v>9641</v>
      </c>
      <c r="S2102" t="s">
        <v>9643</v>
      </c>
      <c r="U2102" t="s">
        <v>9644</v>
      </c>
    </row>
    <row r="2103" spans="1:21" x14ac:dyDescent="0.25">
      <c r="A2103" t="s">
        <v>9645</v>
      </c>
      <c r="B2103" t="s">
        <v>22</v>
      </c>
      <c r="C2103" t="s">
        <v>9646</v>
      </c>
      <c r="D2103">
        <f>62-2125691212</f>
        <v>-2125691150</v>
      </c>
      <c r="E2103" t="s">
        <v>9561</v>
      </c>
      <c r="F2103" t="s">
        <v>9562</v>
      </c>
      <c r="G2103" t="s">
        <v>9563</v>
      </c>
      <c r="H2103">
        <v>106.73857479999999</v>
      </c>
      <c r="I2103">
        <v>-6.19008</v>
      </c>
      <c r="J2103">
        <v>205</v>
      </c>
      <c r="K2103" t="s">
        <v>27</v>
      </c>
      <c r="L2103" t="s">
        <v>27</v>
      </c>
      <c r="M2103" t="s">
        <v>27</v>
      </c>
      <c r="N2103" t="s">
        <v>27</v>
      </c>
      <c r="O2103" t="s">
        <v>27</v>
      </c>
      <c r="P2103" t="s">
        <v>27</v>
      </c>
      <c r="Q2103" t="s">
        <v>27</v>
      </c>
      <c r="R2103" t="s">
        <v>9646</v>
      </c>
      <c r="S2103" t="s">
        <v>9647</v>
      </c>
      <c r="U2103" t="s">
        <v>9648</v>
      </c>
    </row>
    <row r="2104" spans="1:21" x14ac:dyDescent="0.25">
      <c r="A2104" t="s">
        <v>9649</v>
      </c>
      <c r="B2104" t="s">
        <v>22</v>
      </c>
      <c r="C2104" t="s">
        <v>9650</v>
      </c>
      <c r="D2104">
        <f>62-2177817140</f>
        <v>-2177817078</v>
      </c>
      <c r="E2104" t="s">
        <v>9651</v>
      </c>
      <c r="F2104" t="s">
        <v>9562</v>
      </c>
      <c r="G2104" t="s">
        <v>9563</v>
      </c>
      <c r="H2104">
        <v>106.849446</v>
      </c>
      <c r="I2104">
        <v>-6.3794320000000004</v>
      </c>
      <c r="J2104">
        <v>205</v>
      </c>
      <c r="K2104" t="s">
        <v>27</v>
      </c>
      <c r="L2104" t="s">
        <v>27</v>
      </c>
      <c r="M2104" t="s">
        <v>27</v>
      </c>
      <c r="N2104" t="s">
        <v>27</v>
      </c>
      <c r="O2104" t="s">
        <v>27</v>
      </c>
      <c r="P2104" t="s">
        <v>27</v>
      </c>
      <c r="Q2104" t="s">
        <v>27</v>
      </c>
      <c r="R2104" t="s">
        <v>9650</v>
      </c>
      <c r="S2104" t="s">
        <v>9652</v>
      </c>
      <c r="U2104" t="s">
        <v>9653</v>
      </c>
    </row>
    <row r="2105" spans="1:21" x14ac:dyDescent="0.25">
      <c r="A2105" t="s">
        <v>9654</v>
      </c>
      <c r="B2105" t="s">
        <v>22</v>
      </c>
      <c r="C2105" t="s">
        <v>9655</v>
      </c>
      <c r="D2105">
        <f>622-20568060</f>
        <v>-20567438</v>
      </c>
      <c r="E2105" t="s">
        <v>9584</v>
      </c>
      <c r="F2105" t="s">
        <v>9562</v>
      </c>
      <c r="G2105" t="s">
        <v>9563</v>
      </c>
      <c r="H2105">
        <v>107.594042299999</v>
      </c>
      <c r="I2105">
        <v>-6.9154144000000004</v>
      </c>
      <c r="J2105">
        <v>205</v>
      </c>
      <c r="K2105" t="s">
        <v>27</v>
      </c>
      <c r="L2105" t="s">
        <v>27</v>
      </c>
      <c r="M2105" t="s">
        <v>27</v>
      </c>
      <c r="N2105" t="s">
        <v>27</v>
      </c>
      <c r="O2105" t="s">
        <v>27</v>
      </c>
      <c r="P2105" t="s">
        <v>27</v>
      </c>
      <c r="Q2105" t="s">
        <v>27</v>
      </c>
      <c r="R2105" t="s">
        <v>9655</v>
      </c>
      <c r="S2105" t="s">
        <v>9656</v>
      </c>
      <c r="U2105" t="s">
        <v>9657</v>
      </c>
    </row>
    <row r="2106" spans="1:21" x14ac:dyDescent="0.25">
      <c r="A2106" t="s">
        <v>9658</v>
      </c>
      <c r="B2106" t="s">
        <v>22</v>
      </c>
      <c r="C2106" t="s">
        <v>9659</v>
      </c>
      <c r="D2106">
        <f>62-3199246968</f>
        <v>-3199246906</v>
      </c>
      <c r="E2106" t="s">
        <v>9642</v>
      </c>
      <c r="F2106" t="s">
        <v>9562</v>
      </c>
      <c r="G2106" t="s">
        <v>9563</v>
      </c>
      <c r="H2106">
        <v>112.74035809999999</v>
      </c>
      <c r="I2106">
        <v>-7.2629282000000002</v>
      </c>
      <c r="J2106">
        <v>205</v>
      </c>
      <c r="K2106" t="s">
        <v>27</v>
      </c>
      <c r="L2106" t="s">
        <v>27</v>
      </c>
      <c r="M2106" t="s">
        <v>27</v>
      </c>
      <c r="N2106" t="s">
        <v>27</v>
      </c>
      <c r="O2106" t="s">
        <v>27</v>
      </c>
      <c r="P2106" t="s">
        <v>27</v>
      </c>
      <c r="Q2106" t="s">
        <v>27</v>
      </c>
      <c r="R2106" t="s">
        <v>9659</v>
      </c>
      <c r="S2106" t="s">
        <v>9660</v>
      </c>
      <c r="U2106" t="s">
        <v>9661</v>
      </c>
    </row>
    <row r="2107" spans="1:21" x14ac:dyDescent="0.25">
      <c r="A2107" t="s">
        <v>9662</v>
      </c>
      <c r="B2107" t="s">
        <v>22</v>
      </c>
      <c r="C2107" t="s">
        <v>9663</v>
      </c>
      <c r="D2107">
        <f>62-315957914</f>
        <v>-315957852</v>
      </c>
      <c r="E2107" t="s">
        <v>9642</v>
      </c>
      <c r="F2107" t="s">
        <v>9562</v>
      </c>
      <c r="G2107" t="s">
        <v>9563</v>
      </c>
      <c r="H2107">
        <v>112.78188909999901</v>
      </c>
      <c r="I2107">
        <v>-7.2761762000000001</v>
      </c>
      <c r="J2107">
        <v>205</v>
      </c>
      <c r="K2107" t="s">
        <v>27</v>
      </c>
      <c r="L2107" t="s">
        <v>27</v>
      </c>
      <c r="M2107" t="s">
        <v>27</v>
      </c>
      <c r="N2107" t="s">
        <v>27</v>
      </c>
      <c r="O2107" t="s">
        <v>27</v>
      </c>
      <c r="P2107" t="s">
        <v>27</v>
      </c>
      <c r="Q2107" t="s">
        <v>27</v>
      </c>
      <c r="R2107" t="s">
        <v>9663</v>
      </c>
      <c r="S2107" t="s">
        <v>9664</v>
      </c>
      <c r="U2107" t="s">
        <v>9665</v>
      </c>
    </row>
    <row r="2108" spans="1:21" x14ac:dyDescent="0.25">
      <c r="A2108" t="s">
        <v>9666</v>
      </c>
      <c r="B2108" t="s">
        <v>22</v>
      </c>
      <c r="C2108" t="s">
        <v>9667</v>
      </c>
      <c r="D2108">
        <f>62-761848117</f>
        <v>-761848055</v>
      </c>
      <c r="E2108" t="s">
        <v>9668</v>
      </c>
      <c r="F2108" t="s">
        <v>9562</v>
      </c>
      <c r="G2108" t="s">
        <v>9563</v>
      </c>
      <c r="H2108">
        <v>101.418096399999</v>
      </c>
      <c r="I2108">
        <v>0.49985990000000002</v>
      </c>
      <c r="J2108">
        <v>205</v>
      </c>
      <c r="K2108" t="s">
        <v>27</v>
      </c>
      <c r="L2108" t="s">
        <v>27</v>
      </c>
      <c r="M2108" t="s">
        <v>27</v>
      </c>
      <c r="N2108" t="s">
        <v>27</v>
      </c>
      <c r="O2108" t="s">
        <v>27</v>
      </c>
      <c r="P2108" t="s">
        <v>27</v>
      </c>
      <c r="Q2108" t="s">
        <v>27</v>
      </c>
      <c r="R2108" t="s">
        <v>9667</v>
      </c>
      <c r="S2108" t="s">
        <v>9669</v>
      </c>
      <c r="U2108" t="s">
        <v>9670</v>
      </c>
    </row>
    <row r="2109" spans="1:21" x14ac:dyDescent="0.25">
      <c r="A2109" t="s">
        <v>9671</v>
      </c>
      <c r="B2109" t="s">
        <v>22</v>
      </c>
      <c r="C2109" t="s">
        <v>9672</v>
      </c>
      <c r="D2109">
        <f>62-315915273</f>
        <v>-315915211</v>
      </c>
      <c r="E2109" t="s">
        <v>9642</v>
      </c>
      <c r="F2109" t="s">
        <v>9562</v>
      </c>
      <c r="G2109" t="s">
        <v>9563</v>
      </c>
      <c r="H2109">
        <v>112.781847</v>
      </c>
      <c r="I2109">
        <v>-7.2760473000000001</v>
      </c>
      <c r="J2109">
        <v>205</v>
      </c>
      <c r="K2109" t="s">
        <v>27</v>
      </c>
      <c r="L2109" t="s">
        <v>27</v>
      </c>
      <c r="M2109" t="s">
        <v>27</v>
      </c>
      <c r="N2109" t="s">
        <v>27</v>
      </c>
      <c r="O2109" t="s">
        <v>27</v>
      </c>
      <c r="P2109" t="s">
        <v>27</v>
      </c>
      <c r="Q2109" t="s">
        <v>27</v>
      </c>
      <c r="R2109" t="s">
        <v>9672</v>
      </c>
      <c r="S2109" t="s">
        <v>9673</v>
      </c>
      <c r="U2109" t="s">
        <v>9674</v>
      </c>
    </row>
    <row r="2110" spans="1:21" x14ac:dyDescent="0.25">
      <c r="A2110" t="s">
        <v>9675</v>
      </c>
      <c r="B2110" t="s">
        <v>22</v>
      </c>
      <c r="C2110" t="s">
        <v>9676</v>
      </c>
      <c r="D2110">
        <f>62-2122458476</f>
        <v>-2122458414</v>
      </c>
      <c r="E2110" t="s">
        <v>9561</v>
      </c>
      <c r="F2110" t="s">
        <v>9562</v>
      </c>
      <c r="G2110" t="s">
        <v>9563</v>
      </c>
      <c r="H2110">
        <v>106.8906726</v>
      </c>
      <c r="I2110">
        <v>-6.1492452999999996</v>
      </c>
      <c r="J2110">
        <v>205</v>
      </c>
      <c r="K2110" t="s">
        <v>27</v>
      </c>
      <c r="L2110" t="s">
        <v>27</v>
      </c>
      <c r="M2110" t="s">
        <v>27</v>
      </c>
      <c r="N2110" t="s">
        <v>27</v>
      </c>
      <c r="O2110" t="s">
        <v>27</v>
      </c>
      <c r="P2110" t="s">
        <v>27</v>
      </c>
      <c r="Q2110" t="s">
        <v>27</v>
      </c>
      <c r="R2110" t="s">
        <v>9676</v>
      </c>
      <c r="S2110" t="s">
        <v>9677</v>
      </c>
      <c r="U2110" t="s">
        <v>9678</v>
      </c>
    </row>
    <row r="2111" spans="1:21" x14ac:dyDescent="0.25">
      <c r="A2111" t="s">
        <v>9679</v>
      </c>
      <c r="B2111" t="s">
        <v>22</v>
      </c>
      <c r="C2111" t="s">
        <v>9680</v>
      </c>
      <c r="D2111">
        <f>62-2717891431</f>
        <v>-2717891369</v>
      </c>
      <c r="E2111" t="s">
        <v>9681</v>
      </c>
      <c r="F2111" t="s">
        <v>9562</v>
      </c>
      <c r="G2111" t="s">
        <v>9563</v>
      </c>
      <c r="H2111">
        <v>110.81667</v>
      </c>
      <c r="I2111">
        <v>-7.5989050000000002</v>
      </c>
      <c r="J2111">
        <v>205</v>
      </c>
      <c r="K2111" t="s">
        <v>27</v>
      </c>
      <c r="L2111" t="s">
        <v>27</v>
      </c>
      <c r="M2111" t="s">
        <v>27</v>
      </c>
      <c r="N2111" t="s">
        <v>27</v>
      </c>
      <c r="O2111" t="s">
        <v>27</v>
      </c>
      <c r="P2111" t="s">
        <v>27</v>
      </c>
      <c r="Q2111" t="s">
        <v>27</v>
      </c>
      <c r="R2111" t="s">
        <v>9680</v>
      </c>
      <c r="S2111" t="s">
        <v>9682</v>
      </c>
      <c r="U2111" t="s">
        <v>9683</v>
      </c>
    </row>
    <row r="2112" spans="1:21" x14ac:dyDescent="0.25">
      <c r="A2112" t="s">
        <v>9684</v>
      </c>
      <c r="B2112" t="s">
        <v>22</v>
      </c>
      <c r="C2112" t="s">
        <v>9685</v>
      </c>
      <c r="D2112">
        <f>62-215793545</f>
        <v>-215793483</v>
      </c>
      <c r="E2112" t="s">
        <v>9561</v>
      </c>
      <c r="F2112" t="s">
        <v>9562</v>
      </c>
      <c r="G2112" t="s">
        <v>9563</v>
      </c>
      <c r="H2112">
        <v>106.809833</v>
      </c>
      <c r="I2112">
        <v>-6.2248429999999999</v>
      </c>
      <c r="J2112">
        <v>205</v>
      </c>
      <c r="K2112" t="s">
        <v>27</v>
      </c>
      <c r="L2112" t="s">
        <v>27</v>
      </c>
      <c r="M2112" t="s">
        <v>27</v>
      </c>
      <c r="N2112" t="s">
        <v>27</v>
      </c>
      <c r="O2112" t="s">
        <v>27</v>
      </c>
      <c r="P2112" t="s">
        <v>27</v>
      </c>
      <c r="Q2112" t="s">
        <v>27</v>
      </c>
      <c r="R2112" t="s">
        <v>9685</v>
      </c>
      <c r="S2112" t="s">
        <v>9686</v>
      </c>
      <c r="U2112" t="s">
        <v>9687</v>
      </c>
    </row>
    <row r="2113" spans="1:21" x14ac:dyDescent="0.25">
      <c r="A2113" t="s">
        <v>9688</v>
      </c>
      <c r="B2113" t="s">
        <v>22</v>
      </c>
      <c r="C2113" t="s">
        <v>9689</v>
      </c>
      <c r="D2113">
        <f>62-2129613060</f>
        <v>-2129612998</v>
      </c>
      <c r="E2113" t="s">
        <v>9561</v>
      </c>
      <c r="F2113" t="s">
        <v>9562</v>
      </c>
      <c r="G2113" t="s">
        <v>9563</v>
      </c>
      <c r="H2113">
        <v>106.8219486</v>
      </c>
      <c r="I2113">
        <v>-6.1930595999999998</v>
      </c>
      <c r="J2113">
        <v>205</v>
      </c>
      <c r="K2113" t="s">
        <v>27</v>
      </c>
      <c r="L2113" t="s">
        <v>27</v>
      </c>
      <c r="M2113" t="s">
        <v>27</v>
      </c>
      <c r="N2113" t="s">
        <v>27</v>
      </c>
      <c r="O2113" t="s">
        <v>27</v>
      </c>
      <c r="P2113" t="s">
        <v>27</v>
      </c>
      <c r="Q2113" t="s">
        <v>27</v>
      </c>
      <c r="R2113" t="s">
        <v>9689</v>
      </c>
      <c r="S2113" t="s">
        <v>9690</v>
      </c>
      <c r="U2113" t="s">
        <v>9691</v>
      </c>
    </row>
    <row r="2114" spans="1:21" x14ac:dyDescent="0.25">
      <c r="A2114" t="s">
        <v>9692</v>
      </c>
      <c r="B2114" t="s">
        <v>22</v>
      </c>
      <c r="C2114" t="s">
        <v>9693</v>
      </c>
      <c r="D2114">
        <f>62-2129613060</f>
        <v>-2129612998</v>
      </c>
      <c r="E2114" t="s">
        <v>9694</v>
      </c>
      <c r="F2114" t="s">
        <v>9562</v>
      </c>
      <c r="G2114" t="s">
        <v>9563</v>
      </c>
      <c r="H2114">
        <v>106.972218</v>
      </c>
      <c r="I2114">
        <v>-6.2708849999999998</v>
      </c>
      <c r="J2114">
        <v>205</v>
      </c>
      <c r="K2114" t="s">
        <v>27</v>
      </c>
      <c r="L2114" t="s">
        <v>27</v>
      </c>
      <c r="M2114" t="s">
        <v>27</v>
      </c>
      <c r="N2114" t="s">
        <v>27</v>
      </c>
      <c r="O2114" t="s">
        <v>27</v>
      </c>
      <c r="P2114" t="s">
        <v>27</v>
      </c>
      <c r="Q2114" t="s">
        <v>27</v>
      </c>
      <c r="R2114" t="s">
        <v>9693</v>
      </c>
      <c r="S2114" t="s">
        <v>9695</v>
      </c>
      <c r="U2114" t="s">
        <v>9696</v>
      </c>
    </row>
    <row r="2115" spans="1:21" x14ac:dyDescent="0.25">
      <c r="A2115" t="s">
        <v>9697</v>
      </c>
      <c r="B2115" t="s">
        <v>22</v>
      </c>
      <c r="C2115" t="s">
        <v>9698</v>
      </c>
      <c r="D2115">
        <f>62-2187964926</f>
        <v>-2187964864</v>
      </c>
      <c r="E2115" t="s">
        <v>9699</v>
      </c>
      <c r="F2115" t="s">
        <v>9562</v>
      </c>
      <c r="G2115" t="s">
        <v>9563</v>
      </c>
      <c r="H2115">
        <v>106.8574744</v>
      </c>
      <c r="I2115">
        <v>-6.5672079999999999</v>
      </c>
      <c r="J2115">
        <v>205</v>
      </c>
      <c r="K2115" t="s">
        <v>27</v>
      </c>
      <c r="L2115" t="s">
        <v>27</v>
      </c>
      <c r="M2115" t="s">
        <v>27</v>
      </c>
      <c r="N2115" t="s">
        <v>27</v>
      </c>
      <c r="O2115" t="s">
        <v>27</v>
      </c>
      <c r="P2115" t="s">
        <v>27</v>
      </c>
      <c r="Q2115" t="s">
        <v>27</v>
      </c>
      <c r="R2115" t="s">
        <v>9698</v>
      </c>
      <c r="S2115" t="s">
        <v>9700</v>
      </c>
      <c r="U2115" t="s">
        <v>9701</v>
      </c>
    </row>
    <row r="2116" spans="1:21" x14ac:dyDescent="0.25">
      <c r="A2116" t="s">
        <v>9702</v>
      </c>
      <c r="B2116" t="s">
        <v>22</v>
      </c>
      <c r="C2116" t="s">
        <v>9703</v>
      </c>
      <c r="D2116">
        <f>62-2139715570</f>
        <v>-2139715508</v>
      </c>
      <c r="E2116" t="s">
        <v>9704</v>
      </c>
      <c r="F2116" t="s">
        <v>9562</v>
      </c>
      <c r="G2116" t="s">
        <v>9563</v>
      </c>
      <c r="H2116">
        <v>106.902328</v>
      </c>
      <c r="I2116">
        <v>-6.3755189999999997</v>
      </c>
      <c r="J2116">
        <v>205</v>
      </c>
      <c r="K2116" t="s">
        <v>27</v>
      </c>
      <c r="L2116" t="s">
        <v>27</v>
      </c>
      <c r="M2116" t="s">
        <v>27</v>
      </c>
      <c r="N2116" t="s">
        <v>27</v>
      </c>
      <c r="O2116" t="s">
        <v>27</v>
      </c>
      <c r="P2116" t="s">
        <v>27</v>
      </c>
      <c r="Q2116" t="s">
        <v>27</v>
      </c>
      <c r="R2116" t="s">
        <v>9703</v>
      </c>
      <c r="S2116" t="s">
        <v>9705</v>
      </c>
      <c r="U2116" t="s">
        <v>9706</v>
      </c>
    </row>
    <row r="2117" spans="1:21" x14ac:dyDescent="0.25">
      <c r="A2117" t="s">
        <v>9707</v>
      </c>
      <c r="B2117" t="s">
        <v>22</v>
      </c>
      <c r="C2117" t="s">
        <v>9708</v>
      </c>
      <c r="D2117">
        <f>62-318291680</f>
        <v>-318291618</v>
      </c>
      <c r="E2117" t="s">
        <v>9699</v>
      </c>
      <c r="F2117" t="s">
        <v>9562</v>
      </c>
      <c r="G2117" t="s">
        <v>9563</v>
      </c>
      <c r="H2117">
        <v>108.55028799999999</v>
      </c>
      <c r="I2117">
        <v>-6.7176939000000004</v>
      </c>
      <c r="J2117">
        <v>205</v>
      </c>
      <c r="K2117" t="s">
        <v>27</v>
      </c>
      <c r="L2117" t="s">
        <v>27</v>
      </c>
      <c r="M2117" t="s">
        <v>27</v>
      </c>
      <c r="N2117" t="s">
        <v>27</v>
      </c>
      <c r="O2117" t="s">
        <v>27</v>
      </c>
      <c r="P2117" t="s">
        <v>27</v>
      </c>
      <c r="Q2117" t="s">
        <v>27</v>
      </c>
      <c r="R2117" t="s">
        <v>9708</v>
      </c>
      <c r="S2117" t="s">
        <v>9709</v>
      </c>
      <c r="U2117" t="s">
        <v>9710</v>
      </c>
    </row>
    <row r="2118" spans="1:21" x14ac:dyDescent="0.25">
      <c r="A2118" t="s">
        <v>9711</v>
      </c>
      <c r="B2118" t="s">
        <v>22</v>
      </c>
      <c r="C2118" t="s">
        <v>9712</v>
      </c>
      <c r="D2118">
        <f>62-217438490</f>
        <v>-217438428</v>
      </c>
      <c r="E2118" t="s">
        <v>9704</v>
      </c>
      <c r="F2118" t="s">
        <v>9562</v>
      </c>
      <c r="G2118" t="s">
        <v>9563</v>
      </c>
      <c r="H2118">
        <v>106.73236799999999</v>
      </c>
      <c r="I2118">
        <v>-6.3902760000000001</v>
      </c>
      <c r="J2118">
        <v>205</v>
      </c>
      <c r="K2118" t="s">
        <v>27</v>
      </c>
      <c r="L2118" t="s">
        <v>27</v>
      </c>
      <c r="M2118" t="s">
        <v>27</v>
      </c>
      <c r="N2118" t="s">
        <v>27</v>
      </c>
      <c r="O2118" t="s">
        <v>27</v>
      </c>
      <c r="P2118" t="s">
        <v>27</v>
      </c>
      <c r="Q2118" t="s">
        <v>27</v>
      </c>
      <c r="R2118" t="s">
        <v>9712</v>
      </c>
      <c r="S2118" t="s">
        <v>9713</v>
      </c>
      <c r="U2118" t="s">
        <v>9714</v>
      </c>
    </row>
    <row r="2119" spans="1:21" x14ac:dyDescent="0.25">
      <c r="A2119" t="s">
        <v>9715</v>
      </c>
      <c r="B2119" t="s">
        <v>22</v>
      </c>
      <c r="C2119" t="s">
        <v>9716</v>
      </c>
      <c r="D2119">
        <f>62-3613350802</f>
        <v>-3613350740</v>
      </c>
      <c r="E2119" t="s">
        <v>9606</v>
      </c>
      <c r="F2119" t="s">
        <v>9562</v>
      </c>
      <c r="G2119" t="s">
        <v>9563</v>
      </c>
      <c r="H2119">
        <v>115.1570232</v>
      </c>
      <c r="I2119">
        <v>-8.6832837000000005</v>
      </c>
      <c r="J2119">
        <v>227</v>
      </c>
      <c r="K2119" t="s">
        <v>27</v>
      </c>
      <c r="L2119" t="s">
        <v>27</v>
      </c>
      <c r="M2119" t="s">
        <v>27</v>
      </c>
      <c r="N2119" t="s">
        <v>27</v>
      </c>
      <c r="O2119" t="s">
        <v>27</v>
      </c>
      <c r="P2119" t="s">
        <v>27</v>
      </c>
      <c r="Q2119" t="s">
        <v>27</v>
      </c>
      <c r="R2119" t="s">
        <v>9716</v>
      </c>
      <c r="S2119" t="s">
        <v>9717</v>
      </c>
      <c r="U2119" t="s">
        <v>9718</v>
      </c>
    </row>
    <row r="2120" spans="1:21" x14ac:dyDescent="0.25">
      <c r="A2120" t="s">
        <v>9719</v>
      </c>
      <c r="B2120" t="s">
        <v>22</v>
      </c>
      <c r="C2120" t="s">
        <v>9720</v>
      </c>
      <c r="D2120">
        <f>62-2129329255</f>
        <v>-2129329193</v>
      </c>
      <c r="E2120" t="s">
        <v>9561</v>
      </c>
      <c r="F2120" t="s">
        <v>9562</v>
      </c>
      <c r="G2120" t="s">
        <v>9563</v>
      </c>
      <c r="H2120">
        <v>106.797299</v>
      </c>
      <c r="I2120">
        <v>-6.2274390000000004</v>
      </c>
      <c r="J2120">
        <v>205</v>
      </c>
      <c r="K2120" t="s">
        <v>27</v>
      </c>
      <c r="L2120" t="s">
        <v>27</v>
      </c>
      <c r="M2120" t="s">
        <v>27</v>
      </c>
      <c r="N2120" t="s">
        <v>27</v>
      </c>
      <c r="O2120" t="s">
        <v>27</v>
      </c>
      <c r="P2120" t="s">
        <v>27</v>
      </c>
      <c r="Q2120" t="s">
        <v>27</v>
      </c>
      <c r="R2120" t="s">
        <v>9720</v>
      </c>
      <c r="S2120" t="s">
        <v>9721</v>
      </c>
      <c r="U2120" t="s">
        <v>9722</v>
      </c>
    </row>
    <row r="2121" spans="1:21" x14ac:dyDescent="0.25">
      <c r="A2121" t="s">
        <v>9723</v>
      </c>
      <c r="B2121" t="s">
        <v>22</v>
      </c>
      <c r="C2121" t="s">
        <v>9724</v>
      </c>
      <c r="D2121">
        <f>62-2139720189</f>
        <v>-2139720127</v>
      </c>
      <c r="E2121" t="s">
        <v>9725</v>
      </c>
      <c r="F2121" t="s">
        <v>9562</v>
      </c>
      <c r="G2121" t="s">
        <v>9563</v>
      </c>
      <c r="H2121">
        <v>106.831619</v>
      </c>
      <c r="I2121">
        <v>-6.5240390000000001</v>
      </c>
      <c r="J2121">
        <v>205</v>
      </c>
      <c r="K2121" t="s">
        <v>27</v>
      </c>
      <c r="L2121" t="s">
        <v>27</v>
      </c>
      <c r="M2121" t="s">
        <v>27</v>
      </c>
      <c r="N2121" t="s">
        <v>27</v>
      </c>
      <c r="O2121" t="s">
        <v>27</v>
      </c>
      <c r="P2121" t="s">
        <v>27</v>
      </c>
      <c r="Q2121" t="s">
        <v>27</v>
      </c>
      <c r="R2121" t="s">
        <v>9724</v>
      </c>
      <c r="S2121" t="s">
        <v>9726</v>
      </c>
      <c r="U2121" t="s">
        <v>9727</v>
      </c>
    </row>
    <row r="2122" spans="1:21" x14ac:dyDescent="0.25">
      <c r="A2122" t="s">
        <v>9728</v>
      </c>
      <c r="B2122" t="s">
        <v>22</v>
      </c>
      <c r="C2122" t="s">
        <v>9729</v>
      </c>
      <c r="E2122" t="s">
        <v>9730</v>
      </c>
      <c r="F2122" t="s">
        <v>9562</v>
      </c>
      <c r="G2122" t="s">
        <v>9563</v>
      </c>
      <c r="H2122">
        <v>104.75356499999999</v>
      </c>
      <c r="I2122">
        <v>-2.9845746000000002</v>
      </c>
      <c r="J2122">
        <v>205</v>
      </c>
      <c r="K2122" t="s">
        <v>27</v>
      </c>
      <c r="L2122" t="s">
        <v>27</v>
      </c>
      <c r="M2122" t="s">
        <v>27</v>
      </c>
      <c r="N2122" t="s">
        <v>27</v>
      </c>
      <c r="O2122" t="s">
        <v>27</v>
      </c>
      <c r="P2122" t="s">
        <v>27</v>
      </c>
      <c r="Q2122" t="s">
        <v>27</v>
      </c>
      <c r="R2122" t="s">
        <v>9729</v>
      </c>
      <c r="S2122" t="s">
        <v>9731</v>
      </c>
      <c r="U2122" t="s">
        <v>9732</v>
      </c>
    </row>
    <row r="2123" spans="1:21" x14ac:dyDescent="0.25">
      <c r="A2123" t="s">
        <v>9733</v>
      </c>
      <c r="B2123" t="s">
        <v>22</v>
      </c>
      <c r="C2123" t="s">
        <v>9734</v>
      </c>
      <c r="D2123">
        <f>62-2286012570</f>
        <v>-2286012508</v>
      </c>
      <c r="E2123" t="s">
        <v>9584</v>
      </c>
      <c r="F2123" t="s">
        <v>9562</v>
      </c>
      <c r="G2123" t="s">
        <v>9563</v>
      </c>
      <c r="H2123">
        <v>107.63669899999999</v>
      </c>
      <c r="I2123">
        <v>-6.9255839999999997</v>
      </c>
      <c r="J2123">
        <v>205</v>
      </c>
      <c r="K2123" t="s">
        <v>27</v>
      </c>
      <c r="L2123" t="s">
        <v>27</v>
      </c>
      <c r="M2123" t="s">
        <v>27</v>
      </c>
      <c r="N2123" t="s">
        <v>27</v>
      </c>
      <c r="O2123" t="s">
        <v>27</v>
      </c>
      <c r="P2123" t="s">
        <v>27</v>
      </c>
      <c r="Q2123" t="s">
        <v>27</v>
      </c>
      <c r="R2123" t="s">
        <v>9734</v>
      </c>
      <c r="S2123" t="s">
        <v>9735</v>
      </c>
      <c r="U2123" t="s">
        <v>9736</v>
      </c>
    </row>
    <row r="2124" spans="1:21" x14ac:dyDescent="0.25">
      <c r="A2124" t="s">
        <v>9737</v>
      </c>
      <c r="B2124" t="s">
        <v>22</v>
      </c>
      <c r="C2124" t="s">
        <v>9738</v>
      </c>
      <c r="E2124" t="s">
        <v>9739</v>
      </c>
      <c r="F2124" t="s">
        <v>9562</v>
      </c>
      <c r="G2124" t="s">
        <v>9563</v>
      </c>
      <c r="H2124">
        <v>110.398967</v>
      </c>
      <c r="I2124">
        <v>-6.9644159999999999</v>
      </c>
      <c r="J2124">
        <v>205</v>
      </c>
      <c r="K2124" t="s">
        <v>27</v>
      </c>
      <c r="L2124" t="s">
        <v>27</v>
      </c>
      <c r="M2124" t="s">
        <v>27</v>
      </c>
      <c r="N2124" t="s">
        <v>27</v>
      </c>
      <c r="O2124" t="s">
        <v>27</v>
      </c>
      <c r="P2124" t="s">
        <v>27</v>
      </c>
      <c r="Q2124" t="s">
        <v>27</v>
      </c>
      <c r="R2124" t="s">
        <v>9738</v>
      </c>
      <c r="S2124" t="s">
        <v>9740</v>
      </c>
      <c r="U2124" t="s">
        <v>9741</v>
      </c>
    </row>
    <row r="2125" spans="1:21" x14ac:dyDescent="0.25">
      <c r="A2125" t="s">
        <v>9742</v>
      </c>
      <c r="B2125" t="s">
        <v>22</v>
      </c>
      <c r="C2125" t="s">
        <v>9743</v>
      </c>
      <c r="D2125">
        <f>62-3616200540</f>
        <v>-3616200478</v>
      </c>
      <c r="E2125" t="s">
        <v>9606</v>
      </c>
      <c r="F2125" t="s">
        <v>9562</v>
      </c>
      <c r="G2125" t="s">
        <v>9563</v>
      </c>
      <c r="H2125">
        <v>115.1828021</v>
      </c>
      <c r="I2125">
        <v>-8.7018085999999997</v>
      </c>
      <c r="J2125">
        <v>205</v>
      </c>
      <c r="K2125" t="s">
        <v>27</v>
      </c>
      <c r="L2125" t="s">
        <v>27</v>
      </c>
      <c r="M2125" t="s">
        <v>27</v>
      </c>
      <c r="N2125" t="s">
        <v>27</v>
      </c>
      <c r="O2125" t="s">
        <v>27</v>
      </c>
      <c r="P2125" t="s">
        <v>27</v>
      </c>
      <c r="Q2125" t="s">
        <v>27</v>
      </c>
      <c r="R2125" t="s">
        <v>9743</v>
      </c>
      <c r="S2125" t="s">
        <v>9744</v>
      </c>
      <c r="U2125" t="s">
        <v>9745</v>
      </c>
    </row>
    <row r="2126" spans="1:21" x14ac:dyDescent="0.25">
      <c r="A2126" t="s">
        <v>9746</v>
      </c>
      <c r="B2126" t="s">
        <v>22</v>
      </c>
      <c r="C2126" t="s">
        <v>9747</v>
      </c>
      <c r="D2126">
        <f>62-84888202</f>
        <v>-84888140</v>
      </c>
      <c r="E2126" t="s">
        <v>9748</v>
      </c>
      <c r="F2126" t="s">
        <v>9562</v>
      </c>
      <c r="G2126" t="s">
        <v>9563</v>
      </c>
      <c r="H2126">
        <v>104.007221</v>
      </c>
      <c r="I2126">
        <v>1.1348824</v>
      </c>
      <c r="J2126">
        <v>205</v>
      </c>
      <c r="K2126" t="s">
        <v>27</v>
      </c>
      <c r="L2126" t="s">
        <v>27</v>
      </c>
      <c r="M2126" t="s">
        <v>27</v>
      </c>
      <c r="N2126" t="s">
        <v>27</v>
      </c>
      <c r="O2126" t="s">
        <v>27</v>
      </c>
      <c r="P2126" t="s">
        <v>27</v>
      </c>
      <c r="Q2126" t="s">
        <v>27</v>
      </c>
      <c r="R2126" t="s">
        <v>9747</v>
      </c>
      <c r="S2126" t="s">
        <v>9749</v>
      </c>
      <c r="U2126" t="s">
        <v>9750</v>
      </c>
    </row>
    <row r="2127" spans="1:21" x14ac:dyDescent="0.25">
      <c r="A2127" t="s">
        <v>9751</v>
      </c>
      <c r="B2127" t="s">
        <v>22</v>
      </c>
      <c r="C2127" t="s">
        <v>9752</v>
      </c>
      <c r="D2127">
        <f>62-2129403870</f>
        <v>-2129403808</v>
      </c>
      <c r="E2127" t="s">
        <v>9561</v>
      </c>
      <c r="F2127" t="s">
        <v>9562</v>
      </c>
      <c r="G2127" t="s">
        <v>9563</v>
      </c>
      <c r="H2127">
        <v>106.78241</v>
      </c>
      <c r="I2127">
        <v>-6.3174960000000002</v>
      </c>
      <c r="J2127">
        <v>205</v>
      </c>
      <c r="K2127" t="s">
        <v>27</v>
      </c>
      <c r="L2127" t="s">
        <v>27</v>
      </c>
      <c r="M2127" t="s">
        <v>27</v>
      </c>
      <c r="N2127" t="s">
        <v>27</v>
      </c>
      <c r="O2127" t="s">
        <v>27</v>
      </c>
      <c r="P2127" t="s">
        <v>27</v>
      </c>
      <c r="Q2127" t="s">
        <v>27</v>
      </c>
      <c r="R2127" t="s">
        <v>9752</v>
      </c>
      <c r="S2127" t="s">
        <v>9753</v>
      </c>
      <c r="U2127" t="s">
        <v>9754</v>
      </c>
    </row>
    <row r="2128" spans="1:21" x14ac:dyDescent="0.25">
      <c r="A2128" t="s">
        <v>9755</v>
      </c>
      <c r="B2128" t="s">
        <v>38</v>
      </c>
      <c r="C2128" t="s">
        <v>9756</v>
      </c>
      <c r="E2128" t="s">
        <v>9757</v>
      </c>
      <c r="F2128" t="s">
        <v>9562</v>
      </c>
      <c r="G2128" t="s">
        <v>9563</v>
      </c>
      <c r="H2128">
        <v>119.44971099999999</v>
      </c>
      <c r="I2128">
        <v>-5.1398070000000002</v>
      </c>
      <c r="J2128">
        <v>205</v>
      </c>
      <c r="K2128" t="s">
        <v>27</v>
      </c>
      <c r="L2128" t="s">
        <v>27</v>
      </c>
      <c r="M2128" t="s">
        <v>27</v>
      </c>
      <c r="N2128" t="s">
        <v>27</v>
      </c>
      <c r="O2128" t="s">
        <v>27</v>
      </c>
      <c r="P2128" t="s">
        <v>27</v>
      </c>
      <c r="Q2128" t="s">
        <v>27</v>
      </c>
      <c r="R2128" t="s">
        <v>9756</v>
      </c>
      <c r="S2128" t="s">
        <v>9758</v>
      </c>
      <c r="U2128" t="s">
        <v>9759</v>
      </c>
    </row>
    <row r="2129" spans="1:21" x14ac:dyDescent="0.25">
      <c r="A2129" t="s">
        <v>9760</v>
      </c>
      <c r="B2129" t="s">
        <v>22</v>
      </c>
      <c r="C2129" t="s">
        <v>9761</v>
      </c>
      <c r="D2129">
        <f>62-2145865000</f>
        <v>-2145864938</v>
      </c>
      <c r="E2129" t="s">
        <v>9561</v>
      </c>
      <c r="F2129" t="s">
        <v>9562</v>
      </c>
      <c r="G2129" t="s">
        <v>9563</v>
      </c>
      <c r="H2129">
        <v>106.908643</v>
      </c>
      <c r="I2129">
        <v>-6.156828</v>
      </c>
      <c r="J2129">
        <v>205</v>
      </c>
      <c r="K2129" t="s">
        <v>27</v>
      </c>
      <c r="L2129" t="s">
        <v>27</v>
      </c>
      <c r="M2129" t="s">
        <v>27</v>
      </c>
      <c r="N2129" t="s">
        <v>27</v>
      </c>
      <c r="O2129" t="s">
        <v>27</v>
      </c>
      <c r="P2129" t="s">
        <v>27</v>
      </c>
      <c r="Q2129" t="s">
        <v>27</v>
      </c>
      <c r="R2129" t="s">
        <v>9761</v>
      </c>
      <c r="S2129" t="s">
        <v>9762</v>
      </c>
      <c r="U2129" t="s">
        <v>9763</v>
      </c>
    </row>
    <row r="2130" spans="1:21" x14ac:dyDescent="0.25">
      <c r="A2130" t="s">
        <v>9764</v>
      </c>
      <c r="B2130" t="s">
        <v>22</v>
      </c>
      <c r="C2130" t="s">
        <v>9765</v>
      </c>
      <c r="D2130">
        <f>62-411834495</f>
        <v>-411834433</v>
      </c>
      <c r="E2130" t="s">
        <v>9757</v>
      </c>
      <c r="F2130" t="s">
        <v>9562</v>
      </c>
      <c r="G2130" t="s">
        <v>9563</v>
      </c>
      <c r="H2130">
        <v>119.4174332</v>
      </c>
      <c r="I2130">
        <v>-5.1532371000000001</v>
      </c>
      <c r="J2130">
        <v>205</v>
      </c>
      <c r="K2130" t="s">
        <v>27</v>
      </c>
      <c r="L2130" t="s">
        <v>27</v>
      </c>
      <c r="M2130" t="s">
        <v>27</v>
      </c>
      <c r="N2130" t="s">
        <v>27</v>
      </c>
      <c r="O2130" t="s">
        <v>27</v>
      </c>
      <c r="P2130" t="s">
        <v>27</v>
      </c>
      <c r="Q2130" t="s">
        <v>27</v>
      </c>
      <c r="R2130" t="s">
        <v>9765</v>
      </c>
      <c r="S2130" t="s">
        <v>9758</v>
      </c>
      <c r="U2130" t="s">
        <v>9766</v>
      </c>
    </row>
    <row r="2131" spans="1:21" x14ac:dyDescent="0.25">
      <c r="A2131" t="s">
        <v>9767</v>
      </c>
      <c r="B2131" t="s">
        <v>22</v>
      </c>
      <c r="C2131" t="s">
        <v>9768</v>
      </c>
      <c r="D2131">
        <f>62-243547744</f>
        <v>-243547682</v>
      </c>
      <c r="E2131" t="s">
        <v>9739</v>
      </c>
      <c r="F2131" t="s">
        <v>9562</v>
      </c>
      <c r="G2131" t="s">
        <v>9563</v>
      </c>
      <c r="H2131">
        <v>110.4128032</v>
      </c>
      <c r="I2131">
        <v>-6.9833637</v>
      </c>
      <c r="J2131">
        <v>205</v>
      </c>
      <c r="K2131" t="s">
        <v>27</v>
      </c>
      <c r="L2131" t="s">
        <v>27</v>
      </c>
      <c r="M2131" t="s">
        <v>27</v>
      </c>
      <c r="N2131" t="s">
        <v>27</v>
      </c>
      <c r="O2131" t="s">
        <v>27</v>
      </c>
      <c r="P2131" t="s">
        <v>27</v>
      </c>
      <c r="Q2131" t="s">
        <v>27</v>
      </c>
      <c r="R2131" t="s">
        <v>9768</v>
      </c>
      <c r="S2131" t="s">
        <v>9769</v>
      </c>
      <c r="U2131" t="s">
        <v>9770</v>
      </c>
    </row>
    <row r="2132" spans="1:21" x14ac:dyDescent="0.25">
      <c r="A2132" t="s">
        <v>9771</v>
      </c>
      <c r="B2132" t="s">
        <v>22</v>
      </c>
      <c r="C2132" t="s">
        <v>9772</v>
      </c>
      <c r="D2132">
        <f>62-2139710168</f>
        <v>-2139710106</v>
      </c>
      <c r="E2132" t="s">
        <v>9561</v>
      </c>
      <c r="F2132" t="s">
        <v>9562</v>
      </c>
      <c r="G2132" t="s">
        <v>9563</v>
      </c>
      <c r="H2132">
        <v>116.07446</v>
      </c>
      <c r="I2132">
        <v>-8.5411140000000003</v>
      </c>
      <c r="J2132">
        <v>205</v>
      </c>
      <c r="K2132" t="s">
        <v>27</v>
      </c>
      <c r="L2132" t="s">
        <v>27</v>
      </c>
      <c r="M2132" t="s">
        <v>27</v>
      </c>
      <c r="N2132" t="s">
        <v>27</v>
      </c>
      <c r="O2132" t="s">
        <v>27</v>
      </c>
      <c r="P2132" t="s">
        <v>27</v>
      </c>
      <c r="Q2132" t="s">
        <v>27</v>
      </c>
      <c r="R2132" t="s">
        <v>9772</v>
      </c>
      <c r="S2132" t="s">
        <v>9773</v>
      </c>
      <c r="U2132" t="s">
        <v>9774</v>
      </c>
    </row>
    <row r="2133" spans="1:21" x14ac:dyDescent="0.25">
      <c r="A2133" t="s">
        <v>9775</v>
      </c>
      <c r="B2133" t="s">
        <v>22</v>
      </c>
      <c r="C2133" t="s">
        <v>9776</v>
      </c>
      <c r="D2133">
        <f>62-2139720160</f>
        <v>-2139720098</v>
      </c>
      <c r="E2133" t="s">
        <v>9637</v>
      </c>
      <c r="F2133" t="s">
        <v>9562</v>
      </c>
      <c r="G2133" t="s">
        <v>9563</v>
      </c>
      <c r="H2133">
        <v>106.62844800000001</v>
      </c>
      <c r="I2133">
        <v>-6.2407143999999999</v>
      </c>
      <c r="J2133">
        <v>205</v>
      </c>
      <c r="K2133" t="s">
        <v>27</v>
      </c>
      <c r="L2133" t="s">
        <v>27</v>
      </c>
      <c r="M2133" t="s">
        <v>27</v>
      </c>
      <c r="N2133" t="s">
        <v>27</v>
      </c>
      <c r="O2133" t="s">
        <v>27</v>
      </c>
      <c r="P2133" t="s">
        <v>27</v>
      </c>
      <c r="Q2133" t="s">
        <v>27</v>
      </c>
      <c r="R2133" t="s">
        <v>9776</v>
      </c>
      <c r="S2133" t="s">
        <v>9777</v>
      </c>
      <c r="U2133" t="s">
        <v>9778</v>
      </c>
    </row>
    <row r="2134" spans="1:21" x14ac:dyDescent="0.25">
      <c r="A2134" t="s">
        <v>9779</v>
      </c>
      <c r="B2134" t="s">
        <v>22</v>
      </c>
      <c r="C2134" t="s">
        <v>9780</v>
      </c>
      <c r="D2134">
        <f>62-2129572702</f>
        <v>-2129572640</v>
      </c>
      <c r="E2134" t="s">
        <v>9694</v>
      </c>
      <c r="F2134" t="s">
        <v>9562</v>
      </c>
      <c r="G2134" t="s">
        <v>9563</v>
      </c>
      <c r="H2134">
        <v>107.00165800000001</v>
      </c>
      <c r="I2134">
        <v>-6.2267524999999999</v>
      </c>
      <c r="J2134">
        <v>205</v>
      </c>
      <c r="K2134" t="s">
        <v>27</v>
      </c>
      <c r="L2134" t="s">
        <v>27</v>
      </c>
      <c r="M2134" t="s">
        <v>27</v>
      </c>
      <c r="N2134" t="s">
        <v>27</v>
      </c>
      <c r="O2134" t="s">
        <v>27</v>
      </c>
      <c r="P2134" t="s">
        <v>27</v>
      </c>
      <c r="Q2134" t="s">
        <v>27</v>
      </c>
      <c r="R2134" t="s">
        <v>9780</v>
      </c>
      <c r="S2134" t="s">
        <v>9781</v>
      </c>
      <c r="U2134" t="s">
        <v>9782</v>
      </c>
    </row>
    <row r="2135" spans="1:21" x14ac:dyDescent="0.25">
      <c r="A2135" t="s">
        <v>9783</v>
      </c>
      <c r="B2135" t="s">
        <v>38</v>
      </c>
      <c r="C2135" t="s">
        <v>9784</v>
      </c>
      <c r="E2135" t="s">
        <v>9642</v>
      </c>
      <c r="F2135" t="s">
        <v>9562</v>
      </c>
      <c r="G2135" t="s">
        <v>9563</v>
      </c>
      <c r="H2135">
        <v>112.720285</v>
      </c>
      <c r="I2135">
        <v>-7.2932889999999997</v>
      </c>
      <c r="J2135">
        <v>205</v>
      </c>
      <c r="K2135" t="s">
        <v>27</v>
      </c>
      <c r="L2135" t="s">
        <v>27</v>
      </c>
      <c r="M2135" t="s">
        <v>27</v>
      </c>
      <c r="N2135" t="s">
        <v>27</v>
      </c>
      <c r="O2135" t="s">
        <v>27</v>
      </c>
      <c r="P2135" t="s">
        <v>27</v>
      </c>
      <c r="Q2135" t="s">
        <v>27</v>
      </c>
      <c r="R2135" t="s">
        <v>9784</v>
      </c>
      <c r="S2135" t="s">
        <v>9785</v>
      </c>
      <c r="U2135" t="s">
        <v>9786</v>
      </c>
    </row>
    <row r="2136" spans="1:21" x14ac:dyDescent="0.25">
      <c r="A2136" t="s">
        <v>9787</v>
      </c>
      <c r="B2136" t="s">
        <v>22</v>
      </c>
      <c r="C2136" t="s">
        <v>9788</v>
      </c>
      <c r="D2136">
        <f>62-2139720181</f>
        <v>-2139720119</v>
      </c>
      <c r="E2136" t="s">
        <v>9789</v>
      </c>
      <c r="F2136" t="s">
        <v>9562</v>
      </c>
      <c r="G2136" t="s">
        <v>9563</v>
      </c>
      <c r="H2136">
        <v>117.14660000000001</v>
      </c>
      <c r="I2136">
        <v>-0.48585</v>
      </c>
      <c r="J2136">
        <v>205</v>
      </c>
      <c r="K2136" t="s">
        <v>27</v>
      </c>
      <c r="L2136" t="s">
        <v>27</v>
      </c>
      <c r="M2136" t="s">
        <v>27</v>
      </c>
      <c r="N2136" t="s">
        <v>27</v>
      </c>
      <c r="O2136" t="s">
        <v>27</v>
      </c>
      <c r="P2136" t="s">
        <v>27</v>
      </c>
      <c r="Q2136" t="s">
        <v>27</v>
      </c>
      <c r="R2136" t="s">
        <v>9788</v>
      </c>
      <c r="S2136" t="s">
        <v>9790</v>
      </c>
      <c r="U2136" t="s">
        <v>9791</v>
      </c>
    </row>
    <row r="2137" spans="1:21" x14ac:dyDescent="0.25">
      <c r="A2137" t="s">
        <v>9792</v>
      </c>
      <c r="B2137" t="s">
        <v>38</v>
      </c>
      <c r="C2137" t="s">
        <v>9793</v>
      </c>
      <c r="E2137" t="s">
        <v>9561</v>
      </c>
      <c r="F2137" t="s">
        <v>9562</v>
      </c>
      <c r="G2137" t="s">
        <v>9563</v>
      </c>
      <c r="H2137">
        <v>106.8410243</v>
      </c>
      <c r="I2137">
        <v>-6.2241435000000003</v>
      </c>
      <c r="J2137">
        <v>205</v>
      </c>
      <c r="K2137" t="s">
        <v>27</v>
      </c>
      <c r="L2137" t="s">
        <v>27</v>
      </c>
      <c r="M2137" t="s">
        <v>27</v>
      </c>
      <c r="N2137" t="s">
        <v>27</v>
      </c>
      <c r="O2137" t="s">
        <v>27</v>
      </c>
      <c r="P2137" t="s">
        <v>27</v>
      </c>
      <c r="Q2137" t="s">
        <v>27</v>
      </c>
      <c r="R2137" t="s">
        <v>9793</v>
      </c>
      <c r="S2137" t="s">
        <v>9794</v>
      </c>
      <c r="U2137" t="s">
        <v>9795</v>
      </c>
    </row>
    <row r="2138" spans="1:21" x14ac:dyDescent="0.25">
      <c r="A2138" t="s">
        <v>9796</v>
      </c>
      <c r="B2138" t="s">
        <v>38</v>
      </c>
      <c r="C2138" t="s">
        <v>9797</v>
      </c>
      <c r="E2138" t="s">
        <v>9739</v>
      </c>
      <c r="F2138" t="s">
        <v>9562</v>
      </c>
      <c r="G2138" t="s">
        <v>9563</v>
      </c>
      <c r="H2138">
        <v>110.42286</v>
      </c>
      <c r="I2138">
        <v>-6.9903599999999999</v>
      </c>
      <c r="J2138">
        <v>205</v>
      </c>
      <c r="R2138" t="s">
        <v>9797</v>
      </c>
      <c r="S2138" t="s">
        <v>9798</v>
      </c>
      <c r="U2138" t="s">
        <v>9799</v>
      </c>
    </row>
    <row r="2139" spans="1:21" x14ac:dyDescent="0.25">
      <c r="A2139" t="s">
        <v>9800</v>
      </c>
      <c r="B2139" t="s">
        <v>22</v>
      </c>
      <c r="C2139" t="s">
        <v>9801</v>
      </c>
      <c r="E2139" t="s">
        <v>9561</v>
      </c>
      <c r="F2139" t="s">
        <v>9562</v>
      </c>
      <c r="G2139" t="s">
        <v>9563</v>
      </c>
      <c r="H2139">
        <v>106.85297</v>
      </c>
      <c r="I2139">
        <v>-6.3100100000000001</v>
      </c>
      <c r="J2139">
        <v>205</v>
      </c>
      <c r="K2139" t="s">
        <v>27</v>
      </c>
      <c r="L2139" t="s">
        <v>27</v>
      </c>
      <c r="M2139" t="s">
        <v>27</v>
      </c>
      <c r="N2139" t="s">
        <v>27</v>
      </c>
      <c r="O2139" t="s">
        <v>27</v>
      </c>
      <c r="P2139" t="s">
        <v>27</v>
      </c>
      <c r="Q2139" t="s">
        <v>27</v>
      </c>
      <c r="R2139" t="s">
        <v>9801</v>
      </c>
      <c r="S2139" t="s">
        <v>9802</v>
      </c>
      <c r="U2139" t="s">
        <v>9803</v>
      </c>
    </row>
    <row r="2140" spans="1:21" x14ac:dyDescent="0.25">
      <c r="A2140" t="s">
        <v>9804</v>
      </c>
      <c r="B2140" t="s">
        <v>22</v>
      </c>
      <c r="C2140" t="s">
        <v>9805</v>
      </c>
      <c r="D2140">
        <f t="shared" ref="D2140:D2152" si="63">353-15255777</f>
        <v>-15255424</v>
      </c>
      <c r="E2140" t="s">
        <v>9806</v>
      </c>
      <c r="F2140" t="s">
        <v>9807</v>
      </c>
      <c r="G2140" t="s">
        <v>9808</v>
      </c>
      <c r="H2140">
        <v>-6.2423586845398003</v>
      </c>
      <c r="I2140">
        <v>53.2868970389598</v>
      </c>
      <c r="J2140">
        <v>85</v>
      </c>
      <c r="K2140" t="s">
        <v>312</v>
      </c>
      <c r="L2140" t="s">
        <v>312</v>
      </c>
      <c r="M2140" t="s">
        <v>312</v>
      </c>
      <c r="N2140" t="s">
        <v>312</v>
      </c>
      <c r="O2140" t="s">
        <v>312</v>
      </c>
      <c r="P2140" t="s">
        <v>165</v>
      </c>
      <c r="Q2140" t="s">
        <v>535</v>
      </c>
      <c r="R2140" t="s">
        <v>9809</v>
      </c>
      <c r="S2140" t="s">
        <v>9810</v>
      </c>
      <c r="U2140" t="s">
        <v>9811</v>
      </c>
    </row>
    <row r="2141" spans="1:21" x14ac:dyDescent="0.25">
      <c r="A2141" t="s">
        <v>9812</v>
      </c>
      <c r="B2141" t="s">
        <v>22</v>
      </c>
      <c r="C2141" t="s">
        <v>9813</v>
      </c>
      <c r="D2141">
        <f t="shared" si="63"/>
        <v>-15255424</v>
      </c>
      <c r="E2141" t="s">
        <v>9806</v>
      </c>
      <c r="F2141" t="s">
        <v>9807</v>
      </c>
      <c r="G2141" t="s">
        <v>9808</v>
      </c>
      <c r="H2141">
        <v>-6.3900569999999997</v>
      </c>
      <c r="I2141">
        <v>53.353130999999998</v>
      </c>
      <c r="J2141">
        <v>85</v>
      </c>
      <c r="K2141" t="s">
        <v>165</v>
      </c>
      <c r="L2141" t="s">
        <v>165</v>
      </c>
      <c r="M2141" t="s">
        <v>312</v>
      </c>
      <c r="N2141" t="s">
        <v>312</v>
      </c>
      <c r="O2141" t="s">
        <v>312</v>
      </c>
      <c r="P2141" t="s">
        <v>165</v>
      </c>
      <c r="Q2141" t="s">
        <v>717</v>
      </c>
      <c r="R2141" t="s">
        <v>9814</v>
      </c>
      <c r="S2141" t="s">
        <v>9815</v>
      </c>
      <c r="U2141" t="s">
        <v>9816</v>
      </c>
    </row>
    <row r="2142" spans="1:21" x14ac:dyDescent="0.25">
      <c r="A2142" t="s">
        <v>9817</v>
      </c>
      <c r="B2142" t="s">
        <v>38</v>
      </c>
      <c r="C2142" t="s">
        <v>9818</v>
      </c>
      <c r="D2142">
        <f t="shared" si="63"/>
        <v>-15255424</v>
      </c>
      <c r="E2142" t="s">
        <v>9819</v>
      </c>
      <c r="F2142" t="s">
        <v>9807</v>
      </c>
      <c r="G2142" t="s">
        <v>9808</v>
      </c>
      <c r="H2142">
        <v>-8.6439959999999996</v>
      </c>
      <c r="I2142">
        <v>52.639454000000001</v>
      </c>
      <c r="J2142">
        <v>85</v>
      </c>
      <c r="K2142" t="s">
        <v>428</v>
      </c>
      <c r="L2142" t="s">
        <v>428</v>
      </c>
      <c r="M2142" t="s">
        <v>428</v>
      </c>
      <c r="N2142" t="s">
        <v>536</v>
      </c>
      <c r="O2142" t="s">
        <v>536</v>
      </c>
      <c r="P2142" t="s">
        <v>428</v>
      </c>
      <c r="Q2142" t="s">
        <v>1492</v>
      </c>
      <c r="R2142" t="s">
        <v>9820</v>
      </c>
      <c r="S2142" t="s">
        <v>9821</v>
      </c>
      <c r="U2142" t="s">
        <v>9822</v>
      </c>
    </row>
    <row r="2143" spans="1:21" x14ac:dyDescent="0.25">
      <c r="A2143" t="s">
        <v>9823</v>
      </c>
      <c r="B2143" t="s">
        <v>38</v>
      </c>
      <c r="C2143" t="s">
        <v>9824</v>
      </c>
      <c r="D2143">
        <f t="shared" si="63"/>
        <v>-15255424</v>
      </c>
      <c r="E2143" t="s">
        <v>9825</v>
      </c>
      <c r="F2143" t="s">
        <v>9807</v>
      </c>
      <c r="G2143" t="s">
        <v>9808</v>
      </c>
      <c r="H2143">
        <v>-6.7989790000000001</v>
      </c>
      <c r="I2143">
        <v>53.178581000000001</v>
      </c>
      <c r="J2143">
        <v>85</v>
      </c>
      <c r="K2143" t="s">
        <v>262</v>
      </c>
      <c r="L2143" t="s">
        <v>262</v>
      </c>
      <c r="M2143" t="s">
        <v>262</v>
      </c>
      <c r="N2143" t="s">
        <v>290</v>
      </c>
      <c r="O2143" t="s">
        <v>290</v>
      </c>
      <c r="P2143" t="s">
        <v>166</v>
      </c>
      <c r="Q2143" t="s">
        <v>1034</v>
      </c>
      <c r="R2143" t="s">
        <v>9826</v>
      </c>
      <c r="S2143" t="s">
        <v>9825</v>
      </c>
      <c r="U2143" t="s">
        <v>9827</v>
      </c>
    </row>
    <row r="2144" spans="1:21" x14ac:dyDescent="0.25">
      <c r="A2144" t="s">
        <v>9828</v>
      </c>
      <c r="B2144" t="s">
        <v>22</v>
      </c>
      <c r="C2144" t="s">
        <v>9829</v>
      </c>
      <c r="D2144">
        <f t="shared" si="63"/>
        <v>-15255424</v>
      </c>
      <c r="E2144" t="s">
        <v>9806</v>
      </c>
      <c r="F2144" t="s">
        <v>9807</v>
      </c>
      <c r="G2144" t="s">
        <v>9808</v>
      </c>
      <c r="H2144">
        <v>-6.3903949999999998</v>
      </c>
      <c r="I2144">
        <v>53.393048</v>
      </c>
      <c r="J2144">
        <v>85</v>
      </c>
      <c r="K2144" t="s">
        <v>165</v>
      </c>
      <c r="L2144" t="s">
        <v>165</v>
      </c>
      <c r="M2144" t="s">
        <v>312</v>
      </c>
      <c r="N2144" t="s">
        <v>312</v>
      </c>
      <c r="O2144" t="s">
        <v>312</v>
      </c>
      <c r="P2144" t="s">
        <v>165</v>
      </c>
      <c r="Q2144" t="s">
        <v>1034</v>
      </c>
      <c r="R2144" t="s">
        <v>9830</v>
      </c>
      <c r="S2144" t="s">
        <v>9831</v>
      </c>
      <c r="U2144" t="s">
        <v>9832</v>
      </c>
    </row>
    <row r="2145" spans="1:21" x14ac:dyDescent="0.25">
      <c r="A2145" t="s">
        <v>9833</v>
      </c>
      <c r="B2145" t="s">
        <v>22</v>
      </c>
      <c r="C2145" t="s">
        <v>9834</v>
      </c>
      <c r="D2145">
        <f t="shared" si="63"/>
        <v>-15255424</v>
      </c>
      <c r="E2145" t="s">
        <v>9806</v>
      </c>
      <c r="F2145" t="s">
        <v>9807</v>
      </c>
      <c r="G2145" t="s">
        <v>9808</v>
      </c>
      <c r="H2145">
        <v>-6.2625120000000001</v>
      </c>
      <c r="I2145">
        <v>53.340535000000003</v>
      </c>
      <c r="J2145">
        <v>85</v>
      </c>
      <c r="K2145" t="s">
        <v>192</v>
      </c>
      <c r="L2145" t="s">
        <v>192</v>
      </c>
      <c r="M2145" t="s">
        <v>192</v>
      </c>
      <c r="N2145" t="s">
        <v>192</v>
      </c>
      <c r="O2145" t="s">
        <v>192</v>
      </c>
      <c r="P2145" t="s">
        <v>165</v>
      </c>
      <c r="Q2145" t="s">
        <v>717</v>
      </c>
      <c r="R2145" t="s">
        <v>9835</v>
      </c>
      <c r="U2145" t="s">
        <v>9836</v>
      </c>
    </row>
    <row r="2146" spans="1:21" x14ac:dyDescent="0.25">
      <c r="A2146" t="s">
        <v>9837</v>
      </c>
      <c r="B2146" t="s">
        <v>38</v>
      </c>
      <c r="C2146" t="s">
        <v>9838</v>
      </c>
      <c r="D2146">
        <f t="shared" si="63"/>
        <v>-15255424</v>
      </c>
      <c r="E2146" t="s">
        <v>9839</v>
      </c>
      <c r="F2146" t="s">
        <v>9807</v>
      </c>
      <c r="G2146" t="s">
        <v>9808</v>
      </c>
      <c r="H2146">
        <v>-7.9357110000000004</v>
      </c>
      <c r="I2146">
        <v>53.423696999999997</v>
      </c>
      <c r="J2146">
        <v>85</v>
      </c>
      <c r="K2146" t="s">
        <v>262</v>
      </c>
      <c r="L2146" t="s">
        <v>262</v>
      </c>
      <c r="M2146" t="s">
        <v>262</v>
      </c>
      <c r="N2146" t="s">
        <v>312</v>
      </c>
      <c r="O2146" t="s">
        <v>312</v>
      </c>
      <c r="P2146" t="s">
        <v>262</v>
      </c>
      <c r="Q2146" t="s">
        <v>1034</v>
      </c>
      <c r="R2146" t="s">
        <v>9840</v>
      </c>
      <c r="U2146" t="s">
        <v>9841</v>
      </c>
    </row>
    <row r="2147" spans="1:21" x14ac:dyDescent="0.25">
      <c r="A2147" t="s">
        <v>9842</v>
      </c>
      <c r="B2147" t="s">
        <v>38</v>
      </c>
      <c r="C2147" t="s">
        <v>9843</v>
      </c>
      <c r="D2147">
        <f t="shared" si="63"/>
        <v>-15255424</v>
      </c>
      <c r="E2147" t="s">
        <v>9806</v>
      </c>
      <c r="F2147" t="s">
        <v>9807</v>
      </c>
      <c r="G2147" t="s">
        <v>9808</v>
      </c>
      <c r="H2147">
        <v>-6.2201070785522496</v>
      </c>
      <c r="I2147">
        <v>53.453560327263702</v>
      </c>
      <c r="J2147">
        <v>85</v>
      </c>
      <c r="K2147" t="s">
        <v>166</v>
      </c>
      <c r="L2147" t="s">
        <v>166</v>
      </c>
      <c r="M2147" t="s">
        <v>166</v>
      </c>
      <c r="N2147" t="s">
        <v>312</v>
      </c>
      <c r="O2147" t="s">
        <v>312</v>
      </c>
      <c r="P2147" t="s">
        <v>166</v>
      </c>
      <c r="Q2147" t="s">
        <v>1034</v>
      </c>
      <c r="R2147" t="s">
        <v>9844</v>
      </c>
      <c r="S2147" t="s">
        <v>9845</v>
      </c>
      <c r="U2147" t="s">
        <v>9846</v>
      </c>
    </row>
    <row r="2148" spans="1:21" x14ac:dyDescent="0.25">
      <c r="A2148" t="s">
        <v>9847</v>
      </c>
      <c r="B2148" t="s">
        <v>22</v>
      </c>
      <c r="C2148" t="s">
        <v>9848</v>
      </c>
      <c r="D2148">
        <f t="shared" si="63"/>
        <v>-15255424</v>
      </c>
      <c r="E2148" t="s">
        <v>9806</v>
      </c>
      <c r="F2148" t="s">
        <v>9807</v>
      </c>
      <c r="G2148" t="s">
        <v>9808</v>
      </c>
      <c r="H2148">
        <v>-6.2422513961792001</v>
      </c>
      <c r="I2148">
        <v>53.287179244755997</v>
      </c>
      <c r="J2148">
        <v>85</v>
      </c>
      <c r="K2148" t="s">
        <v>312</v>
      </c>
      <c r="L2148" t="s">
        <v>312</v>
      </c>
      <c r="M2148" t="s">
        <v>312</v>
      </c>
      <c r="N2148" t="s">
        <v>312</v>
      </c>
      <c r="O2148" t="s">
        <v>312</v>
      </c>
      <c r="P2148" t="s">
        <v>165</v>
      </c>
      <c r="Q2148" t="s">
        <v>535</v>
      </c>
      <c r="R2148" t="s">
        <v>9849</v>
      </c>
      <c r="S2148" t="s">
        <v>9810</v>
      </c>
      <c r="U2148" t="s">
        <v>9850</v>
      </c>
    </row>
    <row r="2149" spans="1:21" x14ac:dyDescent="0.25">
      <c r="A2149" t="s">
        <v>9851</v>
      </c>
      <c r="B2149" t="s">
        <v>22</v>
      </c>
      <c r="C2149" t="s">
        <v>9852</v>
      </c>
      <c r="D2149">
        <f t="shared" si="63"/>
        <v>-15255424</v>
      </c>
      <c r="E2149" t="s">
        <v>9853</v>
      </c>
      <c r="F2149" t="s">
        <v>9807</v>
      </c>
      <c r="G2149" t="s">
        <v>9808</v>
      </c>
      <c r="H2149">
        <v>-8.4729288736648396</v>
      </c>
      <c r="I2149">
        <v>51.8993902624727</v>
      </c>
      <c r="J2149">
        <v>85</v>
      </c>
      <c r="K2149" t="s">
        <v>198</v>
      </c>
      <c r="L2149" t="s">
        <v>198</v>
      </c>
      <c r="M2149" t="s">
        <v>198</v>
      </c>
      <c r="N2149" t="s">
        <v>165</v>
      </c>
      <c r="O2149" t="s">
        <v>192</v>
      </c>
      <c r="P2149" t="s">
        <v>198</v>
      </c>
      <c r="Q2149" t="s">
        <v>1492</v>
      </c>
      <c r="R2149" t="s">
        <v>9854</v>
      </c>
      <c r="S2149" t="s">
        <v>9855</v>
      </c>
      <c r="U2149" t="s">
        <v>9856</v>
      </c>
    </row>
    <row r="2150" spans="1:21" x14ac:dyDescent="0.25">
      <c r="A2150" t="s">
        <v>9857</v>
      </c>
      <c r="B2150" t="s">
        <v>38</v>
      </c>
      <c r="C2150" t="s">
        <v>9858</v>
      </c>
      <c r="D2150">
        <f t="shared" si="63"/>
        <v>-15255424</v>
      </c>
      <c r="E2150" t="s">
        <v>9806</v>
      </c>
      <c r="F2150" t="s">
        <v>9807</v>
      </c>
      <c r="G2150" t="s">
        <v>9808</v>
      </c>
      <c r="H2150">
        <v>-6.3718986511230504</v>
      </c>
      <c r="I2150">
        <v>53.286383932736797</v>
      </c>
      <c r="J2150">
        <v>85</v>
      </c>
      <c r="K2150" t="s">
        <v>166</v>
      </c>
      <c r="L2150" t="s">
        <v>166</v>
      </c>
      <c r="M2150" t="s">
        <v>312</v>
      </c>
      <c r="N2150" t="s">
        <v>312</v>
      </c>
      <c r="O2150" t="s">
        <v>312</v>
      </c>
      <c r="P2150" t="s">
        <v>166</v>
      </c>
      <c r="Q2150" t="s">
        <v>1034</v>
      </c>
      <c r="R2150" t="s">
        <v>9859</v>
      </c>
      <c r="S2150" t="s">
        <v>9860</v>
      </c>
      <c r="U2150" t="s">
        <v>9861</v>
      </c>
    </row>
    <row r="2151" spans="1:21" x14ac:dyDescent="0.25">
      <c r="A2151" t="s">
        <v>9862</v>
      </c>
      <c r="B2151" t="s">
        <v>38</v>
      </c>
      <c r="C2151" t="s">
        <v>9863</v>
      </c>
      <c r="D2151">
        <f t="shared" si="63"/>
        <v>-15255424</v>
      </c>
      <c r="E2151" t="s">
        <v>9864</v>
      </c>
      <c r="F2151" t="s">
        <v>9807</v>
      </c>
      <c r="G2151" t="s">
        <v>9808</v>
      </c>
      <c r="H2151">
        <v>-7.2441069999999996</v>
      </c>
      <c r="I2151">
        <v>52.655512999999999</v>
      </c>
      <c r="J2151">
        <v>85</v>
      </c>
      <c r="K2151" t="s">
        <v>166</v>
      </c>
      <c r="L2151" t="s">
        <v>166</v>
      </c>
      <c r="M2151" t="s">
        <v>166</v>
      </c>
      <c r="N2151" t="s">
        <v>312</v>
      </c>
      <c r="O2151" t="s">
        <v>312</v>
      </c>
      <c r="P2151" t="s">
        <v>165</v>
      </c>
      <c r="Q2151" t="s">
        <v>1034</v>
      </c>
      <c r="R2151" t="s">
        <v>9865</v>
      </c>
      <c r="U2151" t="s">
        <v>9866</v>
      </c>
    </row>
    <row r="2152" spans="1:21" x14ac:dyDescent="0.25">
      <c r="A2152" t="s">
        <v>9867</v>
      </c>
      <c r="B2152" t="s">
        <v>38</v>
      </c>
      <c r="C2152" t="s">
        <v>9868</v>
      </c>
      <c r="D2152">
        <f t="shared" si="63"/>
        <v>-15255424</v>
      </c>
      <c r="E2152" t="s">
        <v>9869</v>
      </c>
      <c r="F2152" t="s">
        <v>9807</v>
      </c>
      <c r="G2152" t="s">
        <v>9808</v>
      </c>
      <c r="H2152">
        <v>-7.7314959999999999</v>
      </c>
      <c r="I2152">
        <v>54.946607999999998</v>
      </c>
      <c r="J2152">
        <v>85</v>
      </c>
      <c r="K2152" t="s">
        <v>166</v>
      </c>
      <c r="L2152" t="s">
        <v>166</v>
      </c>
      <c r="M2152" t="s">
        <v>166</v>
      </c>
      <c r="N2152" t="s">
        <v>312</v>
      </c>
      <c r="O2152" t="s">
        <v>312</v>
      </c>
      <c r="P2152" t="s">
        <v>166</v>
      </c>
      <c r="Q2152" t="s">
        <v>1034</v>
      </c>
      <c r="R2152" t="s">
        <v>9870</v>
      </c>
      <c r="S2152" t="s">
        <v>9869</v>
      </c>
      <c r="U2152" t="s">
        <v>9871</v>
      </c>
    </row>
    <row r="2153" spans="1:21" x14ac:dyDescent="0.25">
      <c r="A2153" t="s">
        <v>9872</v>
      </c>
      <c r="B2153" t="s">
        <v>38</v>
      </c>
      <c r="C2153" t="s">
        <v>9873</v>
      </c>
      <c r="E2153" t="s">
        <v>9874</v>
      </c>
      <c r="F2153" t="s">
        <v>9807</v>
      </c>
      <c r="G2153" t="s">
        <v>9808</v>
      </c>
      <c r="H2153">
        <v>-6.3985954999999999</v>
      </c>
      <c r="I2153">
        <v>54.000592099999999</v>
      </c>
      <c r="J2153">
        <v>85</v>
      </c>
      <c r="R2153" t="s">
        <v>9875</v>
      </c>
      <c r="U2153" t="s">
        <v>9876</v>
      </c>
    </row>
    <row r="2154" spans="1:21" x14ac:dyDescent="0.25">
      <c r="A2154" t="s">
        <v>9877</v>
      </c>
      <c r="B2154" t="s">
        <v>32</v>
      </c>
      <c r="C2154" t="s">
        <v>9878</v>
      </c>
      <c r="D2154">
        <f>353-15255777</f>
        <v>-15255424</v>
      </c>
      <c r="E2154" t="s">
        <v>9806</v>
      </c>
      <c r="F2154" t="s">
        <v>9807</v>
      </c>
      <c r="G2154" t="s">
        <v>9808</v>
      </c>
      <c r="H2154">
        <v>-6.2610638298416497</v>
      </c>
      <c r="I2154">
        <v>53.344173060708698</v>
      </c>
      <c r="J2154">
        <v>85</v>
      </c>
      <c r="K2154" t="s">
        <v>166</v>
      </c>
      <c r="L2154" t="s">
        <v>166</v>
      </c>
      <c r="M2154" t="s">
        <v>166</v>
      </c>
      <c r="N2154" t="s">
        <v>312</v>
      </c>
      <c r="O2154" t="s">
        <v>312</v>
      </c>
      <c r="P2154" t="s">
        <v>166</v>
      </c>
      <c r="Q2154" t="s">
        <v>1034</v>
      </c>
      <c r="R2154" t="s">
        <v>9879</v>
      </c>
      <c r="U2154" t="s">
        <v>9880</v>
      </c>
    </row>
    <row r="2155" spans="1:21" x14ac:dyDescent="0.25">
      <c r="A2155" t="s">
        <v>9881</v>
      </c>
      <c r="B2155" t="s">
        <v>38</v>
      </c>
      <c r="C2155" t="s">
        <v>9882</v>
      </c>
      <c r="D2155">
        <f>353-15255777</f>
        <v>-15255424</v>
      </c>
      <c r="E2155" t="s">
        <v>9806</v>
      </c>
      <c r="F2155" t="s">
        <v>9807</v>
      </c>
      <c r="G2155" t="s">
        <v>9808</v>
      </c>
      <c r="H2155">
        <v>-6.2469130000000002</v>
      </c>
      <c r="I2155">
        <v>53.392018999999998</v>
      </c>
      <c r="J2155">
        <v>85</v>
      </c>
      <c r="K2155" t="s">
        <v>166</v>
      </c>
      <c r="L2155" t="s">
        <v>166</v>
      </c>
      <c r="M2155" t="s">
        <v>166</v>
      </c>
      <c r="N2155" t="s">
        <v>312</v>
      </c>
      <c r="O2155" t="s">
        <v>312</v>
      </c>
      <c r="P2155" t="s">
        <v>166</v>
      </c>
      <c r="Q2155" t="s">
        <v>1034</v>
      </c>
      <c r="R2155" t="s">
        <v>9883</v>
      </c>
      <c r="S2155" t="s">
        <v>9884</v>
      </c>
      <c r="U2155" t="s">
        <v>9885</v>
      </c>
    </row>
    <row r="2156" spans="1:21" x14ac:dyDescent="0.25">
      <c r="A2156" t="s">
        <v>9886</v>
      </c>
      <c r="B2156" t="s">
        <v>38</v>
      </c>
      <c r="C2156" t="s">
        <v>9873</v>
      </c>
      <c r="D2156">
        <f>353-15255777</f>
        <v>-15255424</v>
      </c>
      <c r="E2156" t="s">
        <v>9874</v>
      </c>
      <c r="F2156" t="s">
        <v>9807</v>
      </c>
      <c r="G2156" t="s">
        <v>9808</v>
      </c>
      <c r="H2156">
        <v>-6.3986400000000003</v>
      </c>
      <c r="I2156">
        <v>54.000745000000002</v>
      </c>
      <c r="J2156">
        <v>85</v>
      </c>
      <c r="K2156" t="s">
        <v>166</v>
      </c>
      <c r="L2156" t="s">
        <v>166</v>
      </c>
      <c r="M2156" t="s">
        <v>166</v>
      </c>
      <c r="N2156" t="s">
        <v>312</v>
      </c>
      <c r="O2156" t="s">
        <v>312</v>
      </c>
      <c r="P2156" t="s">
        <v>166</v>
      </c>
      <c r="Q2156" t="s">
        <v>1034</v>
      </c>
      <c r="R2156" t="s">
        <v>9887</v>
      </c>
      <c r="S2156" t="s">
        <v>9888</v>
      </c>
      <c r="U2156" t="s">
        <v>9889</v>
      </c>
    </row>
    <row r="2157" spans="1:21" x14ac:dyDescent="0.25">
      <c r="A2157" t="s">
        <v>9890</v>
      </c>
      <c r="B2157" t="s">
        <v>22</v>
      </c>
      <c r="C2157" t="s">
        <v>9891</v>
      </c>
      <c r="D2157">
        <f t="shared" ref="D2157:D2177" si="64">972-747155777</f>
        <v>-747154805</v>
      </c>
      <c r="E2157" t="s">
        <v>9892</v>
      </c>
      <c r="F2157" t="s">
        <v>9893</v>
      </c>
      <c r="G2157" t="s">
        <v>9894</v>
      </c>
      <c r="H2157">
        <v>34.791114999999998</v>
      </c>
      <c r="I2157">
        <v>32.073807000000002</v>
      </c>
      <c r="J2157">
        <v>135</v>
      </c>
      <c r="K2157" t="s">
        <v>2069</v>
      </c>
      <c r="L2157" t="s">
        <v>2069</v>
      </c>
      <c r="M2157" t="s">
        <v>2069</v>
      </c>
      <c r="N2157" t="s">
        <v>2069</v>
      </c>
      <c r="O2157" t="s">
        <v>9895</v>
      </c>
      <c r="P2157" t="s">
        <v>9896</v>
      </c>
      <c r="Q2157" t="s">
        <v>2069</v>
      </c>
      <c r="R2157" t="s">
        <v>9891</v>
      </c>
      <c r="U2157" t="s">
        <v>9897</v>
      </c>
    </row>
    <row r="2158" spans="1:21" x14ac:dyDescent="0.25">
      <c r="A2158" t="s">
        <v>9898</v>
      </c>
      <c r="B2158" t="s">
        <v>22</v>
      </c>
      <c r="C2158" t="s">
        <v>9899</v>
      </c>
      <c r="D2158">
        <f t="shared" si="64"/>
        <v>-747154805</v>
      </c>
      <c r="E2158" t="s">
        <v>9900</v>
      </c>
      <c r="F2158" t="s">
        <v>9893</v>
      </c>
      <c r="G2158" t="s">
        <v>9894</v>
      </c>
      <c r="H2158">
        <v>35.187280999999999</v>
      </c>
      <c r="I2158">
        <v>31.751619000000002</v>
      </c>
      <c r="J2158">
        <v>135</v>
      </c>
      <c r="K2158" t="s">
        <v>2069</v>
      </c>
      <c r="L2158" t="s">
        <v>2069</v>
      </c>
      <c r="M2158" t="s">
        <v>2069</v>
      </c>
      <c r="N2158" t="s">
        <v>2069</v>
      </c>
      <c r="O2158" t="s">
        <v>9901</v>
      </c>
      <c r="P2158" t="s">
        <v>9896</v>
      </c>
      <c r="Q2158" t="s">
        <v>2069</v>
      </c>
      <c r="R2158" t="s">
        <v>9899</v>
      </c>
      <c r="U2158" t="s">
        <v>9902</v>
      </c>
    </row>
    <row r="2159" spans="1:21" x14ac:dyDescent="0.25">
      <c r="A2159" t="s">
        <v>9903</v>
      </c>
      <c r="B2159" t="s">
        <v>22</v>
      </c>
      <c r="C2159" t="s">
        <v>9904</v>
      </c>
      <c r="D2159">
        <f t="shared" si="64"/>
        <v>-747154805</v>
      </c>
      <c r="E2159" t="s">
        <v>9905</v>
      </c>
      <c r="F2159" t="s">
        <v>9893</v>
      </c>
      <c r="G2159" t="s">
        <v>9894</v>
      </c>
      <c r="H2159">
        <v>35.007778999999999</v>
      </c>
      <c r="I2159">
        <v>32.789890999999997</v>
      </c>
      <c r="J2159">
        <v>135</v>
      </c>
      <c r="K2159" t="s">
        <v>536</v>
      </c>
      <c r="L2159" t="s">
        <v>536</v>
      </c>
      <c r="M2159" t="s">
        <v>536</v>
      </c>
      <c r="N2159" t="s">
        <v>536</v>
      </c>
      <c r="O2159" t="s">
        <v>9901</v>
      </c>
      <c r="P2159" t="s">
        <v>9906</v>
      </c>
      <c r="Q2159" t="s">
        <v>536</v>
      </c>
      <c r="R2159" t="s">
        <v>9904</v>
      </c>
      <c r="U2159" t="s">
        <v>9907</v>
      </c>
    </row>
    <row r="2160" spans="1:21" x14ac:dyDescent="0.25">
      <c r="A2160" t="s">
        <v>9908</v>
      </c>
      <c r="B2160" t="s">
        <v>22</v>
      </c>
      <c r="C2160" t="s">
        <v>9909</v>
      </c>
      <c r="D2160">
        <f t="shared" si="64"/>
        <v>-747154805</v>
      </c>
      <c r="E2160" t="s">
        <v>9910</v>
      </c>
      <c r="F2160" t="s">
        <v>9893</v>
      </c>
      <c r="G2160" t="s">
        <v>9894</v>
      </c>
      <c r="H2160">
        <v>34.927692999999998</v>
      </c>
      <c r="I2160">
        <v>32.170720000000003</v>
      </c>
      <c r="J2160">
        <v>135</v>
      </c>
      <c r="K2160" t="s">
        <v>2069</v>
      </c>
      <c r="L2160" t="s">
        <v>2069</v>
      </c>
      <c r="M2160" t="s">
        <v>2069</v>
      </c>
      <c r="N2160" t="s">
        <v>2069</v>
      </c>
      <c r="O2160" t="s">
        <v>9895</v>
      </c>
      <c r="P2160" t="s">
        <v>9896</v>
      </c>
      <c r="Q2160" t="s">
        <v>2069</v>
      </c>
      <c r="R2160" t="s">
        <v>9909</v>
      </c>
      <c r="U2160" t="s">
        <v>9911</v>
      </c>
    </row>
    <row r="2161" spans="1:21" x14ac:dyDescent="0.25">
      <c r="A2161" t="s">
        <v>9912</v>
      </c>
      <c r="B2161" t="s">
        <v>38</v>
      </c>
      <c r="C2161" t="s">
        <v>9913</v>
      </c>
      <c r="D2161">
        <f t="shared" si="64"/>
        <v>-747154805</v>
      </c>
      <c r="E2161" t="s">
        <v>9914</v>
      </c>
      <c r="F2161" t="s">
        <v>9893</v>
      </c>
      <c r="G2161" t="s">
        <v>9894</v>
      </c>
      <c r="H2161">
        <v>34.861688999999998</v>
      </c>
      <c r="I2161">
        <v>32.326746</v>
      </c>
      <c r="J2161">
        <v>135</v>
      </c>
      <c r="K2161" t="s">
        <v>2068</v>
      </c>
      <c r="L2161" t="s">
        <v>2068</v>
      </c>
      <c r="M2161" t="s">
        <v>2068</v>
      </c>
      <c r="N2161" t="s">
        <v>2068</v>
      </c>
      <c r="O2161" t="s">
        <v>9901</v>
      </c>
      <c r="P2161" t="s">
        <v>9906</v>
      </c>
      <c r="Q2161" t="s">
        <v>2068</v>
      </c>
      <c r="R2161" t="s">
        <v>9913</v>
      </c>
      <c r="U2161" t="s">
        <v>9915</v>
      </c>
    </row>
    <row r="2162" spans="1:21" x14ac:dyDescent="0.25">
      <c r="A2162" t="s">
        <v>9916</v>
      </c>
      <c r="B2162" t="s">
        <v>22</v>
      </c>
      <c r="C2162" t="s">
        <v>9917</v>
      </c>
      <c r="D2162">
        <f t="shared" si="64"/>
        <v>-747154805</v>
      </c>
      <c r="E2162" t="s">
        <v>9918</v>
      </c>
      <c r="F2162" t="s">
        <v>9893</v>
      </c>
      <c r="G2162" t="s">
        <v>9894</v>
      </c>
      <c r="H2162">
        <v>34.865523000000003</v>
      </c>
      <c r="I2162">
        <v>32.093065000000003</v>
      </c>
      <c r="J2162">
        <v>135</v>
      </c>
      <c r="K2162" t="s">
        <v>2069</v>
      </c>
      <c r="L2162" t="s">
        <v>2069</v>
      </c>
      <c r="M2162" t="s">
        <v>2069</v>
      </c>
      <c r="N2162" t="s">
        <v>2069</v>
      </c>
      <c r="O2162" t="s">
        <v>9895</v>
      </c>
      <c r="P2162" t="s">
        <v>9896</v>
      </c>
      <c r="Q2162" t="s">
        <v>2069</v>
      </c>
      <c r="R2162" t="s">
        <v>9917</v>
      </c>
      <c r="U2162" t="s">
        <v>9919</v>
      </c>
    </row>
    <row r="2163" spans="1:21" x14ac:dyDescent="0.25">
      <c r="A2163" t="s">
        <v>9920</v>
      </c>
      <c r="B2163" t="s">
        <v>22</v>
      </c>
      <c r="C2163" t="s">
        <v>9921</v>
      </c>
      <c r="D2163">
        <f t="shared" si="64"/>
        <v>-747154805</v>
      </c>
      <c r="E2163" t="s">
        <v>9922</v>
      </c>
      <c r="F2163" t="s">
        <v>9893</v>
      </c>
      <c r="G2163" t="s">
        <v>9894</v>
      </c>
      <c r="H2163">
        <v>34.823965000000001</v>
      </c>
      <c r="I2163">
        <v>32.165272000000002</v>
      </c>
      <c r="J2163">
        <v>135</v>
      </c>
      <c r="K2163" t="s">
        <v>2137</v>
      </c>
      <c r="L2163" t="s">
        <v>2137</v>
      </c>
      <c r="M2163" t="s">
        <v>2137</v>
      </c>
      <c r="N2163" t="s">
        <v>2137</v>
      </c>
      <c r="O2163" t="s">
        <v>5873</v>
      </c>
      <c r="P2163" t="s">
        <v>27</v>
      </c>
      <c r="Q2163" t="s">
        <v>2137</v>
      </c>
      <c r="R2163" t="s">
        <v>9921</v>
      </c>
      <c r="U2163" t="s">
        <v>9923</v>
      </c>
    </row>
    <row r="2164" spans="1:21" x14ac:dyDescent="0.25">
      <c r="A2164" t="s">
        <v>9924</v>
      </c>
      <c r="B2164" t="s">
        <v>22</v>
      </c>
      <c r="C2164" t="s">
        <v>9925</v>
      </c>
      <c r="D2164">
        <f t="shared" si="64"/>
        <v>-747154805</v>
      </c>
      <c r="E2164" t="s">
        <v>9926</v>
      </c>
      <c r="F2164" t="s">
        <v>9893</v>
      </c>
      <c r="G2164" t="s">
        <v>9894</v>
      </c>
      <c r="H2164">
        <v>34.807107000000002</v>
      </c>
      <c r="I2164">
        <v>31.893775999999999</v>
      </c>
      <c r="J2164">
        <v>135</v>
      </c>
      <c r="K2164" t="s">
        <v>2069</v>
      </c>
      <c r="L2164" t="s">
        <v>2069</v>
      </c>
      <c r="M2164" t="s">
        <v>2069</v>
      </c>
      <c r="N2164" t="s">
        <v>2069</v>
      </c>
      <c r="O2164" t="s">
        <v>9895</v>
      </c>
      <c r="P2164" t="s">
        <v>9896</v>
      </c>
      <c r="Q2164" t="s">
        <v>2069</v>
      </c>
      <c r="R2164" t="s">
        <v>9925</v>
      </c>
      <c r="U2164" t="s">
        <v>9927</v>
      </c>
    </row>
    <row r="2165" spans="1:21" x14ac:dyDescent="0.25">
      <c r="A2165" t="s">
        <v>9928</v>
      </c>
      <c r="B2165" t="s">
        <v>22</v>
      </c>
      <c r="C2165" t="s">
        <v>9929</v>
      </c>
      <c r="D2165">
        <f t="shared" si="64"/>
        <v>-747154805</v>
      </c>
      <c r="E2165" t="s">
        <v>9930</v>
      </c>
      <c r="F2165" t="s">
        <v>9893</v>
      </c>
      <c r="G2165" t="s">
        <v>9894</v>
      </c>
      <c r="H2165">
        <v>35.090859000000002</v>
      </c>
      <c r="I2165">
        <v>32.843347000000001</v>
      </c>
      <c r="J2165">
        <v>135</v>
      </c>
      <c r="K2165" t="s">
        <v>27</v>
      </c>
      <c r="L2165" t="s">
        <v>27</v>
      </c>
      <c r="M2165" t="s">
        <v>27</v>
      </c>
      <c r="N2165" t="s">
        <v>27</v>
      </c>
      <c r="O2165" t="s">
        <v>9901</v>
      </c>
      <c r="P2165" t="s">
        <v>9906</v>
      </c>
      <c r="Q2165" t="s">
        <v>27</v>
      </c>
      <c r="R2165" t="s">
        <v>9929</v>
      </c>
      <c r="U2165" t="s">
        <v>9931</v>
      </c>
    </row>
    <row r="2166" spans="1:21" x14ac:dyDescent="0.25">
      <c r="A2166" t="s">
        <v>9932</v>
      </c>
      <c r="B2166" t="s">
        <v>22</v>
      </c>
      <c r="C2166" t="s">
        <v>9933</v>
      </c>
      <c r="D2166">
        <f t="shared" si="64"/>
        <v>-747154805</v>
      </c>
      <c r="E2166" t="s">
        <v>9934</v>
      </c>
      <c r="F2166" t="s">
        <v>9893</v>
      </c>
      <c r="G2166" t="s">
        <v>9894</v>
      </c>
      <c r="H2166">
        <v>34.755187300000003</v>
      </c>
      <c r="I2166">
        <v>32.015596000000002</v>
      </c>
      <c r="J2166">
        <v>135</v>
      </c>
      <c r="K2166" t="s">
        <v>2069</v>
      </c>
      <c r="L2166" t="s">
        <v>2069</v>
      </c>
      <c r="M2166" t="s">
        <v>2069</v>
      </c>
      <c r="N2166" t="s">
        <v>2069</v>
      </c>
      <c r="O2166" t="s">
        <v>9901</v>
      </c>
      <c r="P2166" t="s">
        <v>9896</v>
      </c>
      <c r="Q2166" t="s">
        <v>2069</v>
      </c>
      <c r="R2166" t="s">
        <v>9933</v>
      </c>
      <c r="U2166" t="s">
        <v>9935</v>
      </c>
    </row>
    <row r="2167" spans="1:21" x14ac:dyDescent="0.25">
      <c r="A2167" t="s">
        <v>9936</v>
      </c>
      <c r="B2167" t="s">
        <v>22</v>
      </c>
      <c r="C2167" t="s">
        <v>9937</v>
      </c>
      <c r="D2167">
        <f t="shared" si="64"/>
        <v>-747154805</v>
      </c>
      <c r="E2167" t="s">
        <v>9938</v>
      </c>
      <c r="F2167" t="s">
        <v>9893</v>
      </c>
      <c r="G2167" t="s">
        <v>9894</v>
      </c>
      <c r="H2167">
        <v>34.771658000000002</v>
      </c>
      <c r="I2167">
        <v>31.250677</v>
      </c>
      <c r="J2167">
        <v>135</v>
      </c>
      <c r="K2167" t="s">
        <v>2069</v>
      </c>
      <c r="L2167" t="s">
        <v>2069</v>
      </c>
      <c r="M2167" t="s">
        <v>2069</v>
      </c>
      <c r="N2167" t="s">
        <v>2069</v>
      </c>
      <c r="O2167" t="s">
        <v>9901</v>
      </c>
      <c r="P2167" t="s">
        <v>9896</v>
      </c>
      <c r="Q2167" t="s">
        <v>2069</v>
      </c>
      <c r="R2167" t="s">
        <v>9937</v>
      </c>
      <c r="U2167" t="s">
        <v>9939</v>
      </c>
    </row>
    <row r="2168" spans="1:21" x14ac:dyDescent="0.25">
      <c r="A2168" t="s">
        <v>9940</v>
      </c>
      <c r="B2168" t="s">
        <v>38</v>
      </c>
      <c r="C2168" t="s">
        <v>9941</v>
      </c>
      <c r="D2168">
        <f t="shared" si="64"/>
        <v>-747154805</v>
      </c>
      <c r="E2168" t="s">
        <v>9942</v>
      </c>
      <c r="F2168" t="s">
        <v>9893</v>
      </c>
      <c r="G2168" t="s">
        <v>9894</v>
      </c>
      <c r="H2168">
        <v>35.300220000000003</v>
      </c>
      <c r="I2168">
        <v>32.695892999999998</v>
      </c>
      <c r="J2168">
        <v>135</v>
      </c>
      <c r="K2168" t="s">
        <v>27</v>
      </c>
      <c r="L2168" t="s">
        <v>27</v>
      </c>
      <c r="M2168" t="s">
        <v>27</v>
      </c>
      <c r="N2168" t="s">
        <v>27</v>
      </c>
      <c r="O2168" t="s">
        <v>27</v>
      </c>
      <c r="P2168" t="s">
        <v>27</v>
      </c>
      <c r="Q2168" t="s">
        <v>27</v>
      </c>
      <c r="R2168" t="s">
        <v>9941</v>
      </c>
      <c r="U2168" t="s">
        <v>9943</v>
      </c>
    </row>
    <row r="2169" spans="1:21" x14ac:dyDescent="0.25">
      <c r="A2169" t="s">
        <v>9944</v>
      </c>
      <c r="B2169" t="s">
        <v>38</v>
      </c>
      <c r="C2169" t="s">
        <v>9945</v>
      </c>
      <c r="D2169">
        <f t="shared" si="64"/>
        <v>-747154805</v>
      </c>
      <c r="E2169" t="s">
        <v>9946</v>
      </c>
      <c r="F2169" t="s">
        <v>9893</v>
      </c>
      <c r="G2169" t="s">
        <v>9894</v>
      </c>
      <c r="H2169">
        <v>34.921151999999999</v>
      </c>
      <c r="I2169">
        <v>32.437334</v>
      </c>
      <c r="J2169">
        <v>135</v>
      </c>
      <c r="K2169" t="s">
        <v>290</v>
      </c>
      <c r="L2169" t="s">
        <v>290</v>
      </c>
      <c r="M2169" t="s">
        <v>290</v>
      </c>
      <c r="N2169" t="s">
        <v>290</v>
      </c>
      <c r="O2169" t="s">
        <v>9901</v>
      </c>
      <c r="P2169" t="s">
        <v>9906</v>
      </c>
      <c r="Q2169" t="s">
        <v>290</v>
      </c>
      <c r="R2169" t="s">
        <v>9945</v>
      </c>
      <c r="U2169" t="s">
        <v>9947</v>
      </c>
    </row>
    <row r="2170" spans="1:21" x14ac:dyDescent="0.25">
      <c r="A2170" t="s">
        <v>9948</v>
      </c>
      <c r="B2170" t="s">
        <v>38</v>
      </c>
      <c r="C2170" t="s">
        <v>9949</v>
      </c>
      <c r="D2170">
        <f t="shared" si="64"/>
        <v>-747154805</v>
      </c>
      <c r="E2170" t="s">
        <v>9950</v>
      </c>
      <c r="F2170" t="s">
        <v>9893</v>
      </c>
      <c r="G2170" t="s">
        <v>9894</v>
      </c>
      <c r="H2170">
        <v>34.878180999999998</v>
      </c>
      <c r="I2170">
        <v>32.196871000000002</v>
      </c>
      <c r="J2170">
        <v>135</v>
      </c>
      <c r="K2170" t="s">
        <v>2137</v>
      </c>
      <c r="L2170" t="s">
        <v>2137</v>
      </c>
      <c r="M2170" t="s">
        <v>2137</v>
      </c>
      <c r="N2170" t="s">
        <v>2137</v>
      </c>
      <c r="O2170" t="s">
        <v>9895</v>
      </c>
      <c r="P2170" t="s">
        <v>9906</v>
      </c>
      <c r="Q2170" t="s">
        <v>2137</v>
      </c>
      <c r="R2170" t="s">
        <v>9949</v>
      </c>
      <c r="U2170" t="s">
        <v>9951</v>
      </c>
    </row>
    <row r="2171" spans="1:21" x14ac:dyDescent="0.25">
      <c r="A2171" t="s">
        <v>9952</v>
      </c>
      <c r="B2171" t="s">
        <v>38</v>
      </c>
      <c r="C2171" t="s">
        <v>9953</v>
      </c>
      <c r="D2171">
        <f t="shared" si="64"/>
        <v>-747154805</v>
      </c>
      <c r="E2171" t="s">
        <v>9954</v>
      </c>
      <c r="F2171" t="s">
        <v>9893</v>
      </c>
      <c r="G2171" t="s">
        <v>9894</v>
      </c>
      <c r="H2171">
        <v>34.863878</v>
      </c>
      <c r="I2171">
        <v>31.925853</v>
      </c>
      <c r="J2171">
        <v>135</v>
      </c>
      <c r="K2171" t="s">
        <v>2069</v>
      </c>
      <c r="L2171" t="s">
        <v>2069</v>
      </c>
      <c r="M2171" t="s">
        <v>2069</v>
      </c>
      <c r="N2171" t="s">
        <v>2069</v>
      </c>
      <c r="O2171" t="s">
        <v>9901</v>
      </c>
      <c r="P2171" t="s">
        <v>9896</v>
      </c>
      <c r="Q2171" t="s">
        <v>2069</v>
      </c>
      <c r="R2171" t="s">
        <v>9953</v>
      </c>
      <c r="U2171" t="s">
        <v>9955</v>
      </c>
    </row>
    <row r="2172" spans="1:21" x14ac:dyDescent="0.25">
      <c r="A2172" t="s">
        <v>9956</v>
      </c>
      <c r="B2172" t="s">
        <v>22</v>
      </c>
      <c r="C2172" t="s">
        <v>9957</v>
      </c>
      <c r="D2172">
        <f t="shared" si="64"/>
        <v>-747154805</v>
      </c>
      <c r="E2172" t="s">
        <v>9958</v>
      </c>
      <c r="F2172" t="s">
        <v>9893</v>
      </c>
      <c r="G2172" t="s">
        <v>9894</v>
      </c>
      <c r="H2172">
        <v>34.664527</v>
      </c>
      <c r="I2172">
        <v>31.775431999999999</v>
      </c>
      <c r="J2172">
        <v>135</v>
      </c>
      <c r="K2172" t="s">
        <v>2068</v>
      </c>
      <c r="L2172" t="s">
        <v>2068</v>
      </c>
      <c r="M2172" t="s">
        <v>2068</v>
      </c>
      <c r="N2172" t="s">
        <v>2068</v>
      </c>
      <c r="O2172" t="s">
        <v>9901</v>
      </c>
      <c r="P2172" t="s">
        <v>34</v>
      </c>
      <c r="Q2172" t="s">
        <v>2068</v>
      </c>
      <c r="R2172" t="s">
        <v>9957</v>
      </c>
      <c r="U2172" t="s">
        <v>9959</v>
      </c>
    </row>
    <row r="2173" spans="1:21" x14ac:dyDescent="0.25">
      <c r="A2173" t="s">
        <v>9960</v>
      </c>
      <c r="B2173" t="s">
        <v>22</v>
      </c>
      <c r="C2173" t="s">
        <v>9961</v>
      </c>
      <c r="D2173">
        <f t="shared" si="64"/>
        <v>-747154805</v>
      </c>
      <c r="E2173" t="s">
        <v>9962</v>
      </c>
      <c r="F2173" t="s">
        <v>9893</v>
      </c>
      <c r="G2173" t="s">
        <v>9894</v>
      </c>
      <c r="H2173">
        <v>34.826160000000002</v>
      </c>
      <c r="I2173">
        <v>32.100473000000001</v>
      </c>
      <c r="J2173">
        <v>135</v>
      </c>
      <c r="K2173" t="s">
        <v>2069</v>
      </c>
      <c r="L2173" t="s">
        <v>2069</v>
      </c>
      <c r="M2173" t="s">
        <v>2069</v>
      </c>
      <c r="N2173" t="s">
        <v>2069</v>
      </c>
      <c r="O2173" t="s">
        <v>9895</v>
      </c>
      <c r="P2173" t="s">
        <v>9896</v>
      </c>
      <c r="Q2173" t="s">
        <v>2069</v>
      </c>
      <c r="R2173" t="s">
        <v>9961</v>
      </c>
      <c r="U2173" t="s">
        <v>9963</v>
      </c>
    </row>
    <row r="2174" spans="1:21" x14ac:dyDescent="0.25">
      <c r="A2174" t="s">
        <v>9964</v>
      </c>
      <c r="B2174" t="s">
        <v>32</v>
      </c>
      <c r="C2174" t="s">
        <v>9965</v>
      </c>
      <c r="D2174">
        <f t="shared" si="64"/>
        <v>-747154805</v>
      </c>
      <c r="E2174" t="s">
        <v>9892</v>
      </c>
      <c r="F2174" t="s">
        <v>9893</v>
      </c>
      <c r="G2174" t="s">
        <v>9894</v>
      </c>
      <c r="H2174">
        <v>34.786442000000001</v>
      </c>
      <c r="I2174">
        <v>32.069338000000002</v>
      </c>
      <c r="J2174">
        <v>135</v>
      </c>
      <c r="K2174" t="s">
        <v>27</v>
      </c>
      <c r="L2174" t="s">
        <v>27</v>
      </c>
      <c r="M2174" t="s">
        <v>27</v>
      </c>
      <c r="N2174" t="s">
        <v>27</v>
      </c>
      <c r="O2174" t="s">
        <v>9895</v>
      </c>
      <c r="P2174" t="s">
        <v>9966</v>
      </c>
      <c r="Q2174" t="s">
        <v>27</v>
      </c>
      <c r="R2174" t="s">
        <v>9965</v>
      </c>
      <c r="U2174" t="s">
        <v>9967</v>
      </c>
    </row>
    <row r="2175" spans="1:21" x14ac:dyDescent="0.25">
      <c r="A2175" t="s">
        <v>9968</v>
      </c>
      <c r="B2175" t="s">
        <v>38</v>
      </c>
      <c r="C2175" t="s">
        <v>9969</v>
      </c>
      <c r="D2175">
        <f t="shared" si="64"/>
        <v>-747154805</v>
      </c>
      <c r="E2175" t="s">
        <v>9970</v>
      </c>
      <c r="F2175" t="s">
        <v>9893</v>
      </c>
      <c r="G2175" t="s">
        <v>9894</v>
      </c>
      <c r="H2175">
        <v>34.858857999999998</v>
      </c>
      <c r="I2175">
        <v>32.055408999999997</v>
      </c>
      <c r="J2175">
        <v>135</v>
      </c>
      <c r="K2175" t="s">
        <v>2068</v>
      </c>
      <c r="L2175" t="s">
        <v>2068</v>
      </c>
      <c r="M2175" t="s">
        <v>2068</v>
      </c>
      <c r="N2175" t="s">
        <v>2068</v>
      </c>
      <c r="O2175" t="s">
        <v>9901</v>
      </c>
      <c r="P2175" t="s">
        <v>9896</v>
      </c>
      <c r="Q2175" t="s">
        <v>2068</v>
      </c>
      <c r="R2175" t="s">
        <v>9969</v>
      </c>
      <c r="U2175" t="s">
        <v>9971</v>
      </c>
    </row>
    <row r="2176" spans="1:21" x14ac:dyDescent="0.25">
      <c r="A2176" t="s">
        <v>9972</v>
      </c>
      <c r="B2176" t="s">
        <v>22</v>
      </c>
      <c r="C2176" t="s">
        <v>9973</v>
      </c>
      <c r="D2176">
        <f t="shared" si="64"/>
        <v>-747154805</v>
      </c>
      <c r="E2176" t="s">
        <v>9974</v>
      </c>
      <c r="F2176" t="s">
        <v>9893</v>
      </c>
      <c r="G2176" t="s">
        <v>9894</v>
      </c>
      <c r="H2176">
        <v>34.804585000000003</v>
      </c>
      <c r="I2176">
        <v>31.949384999999999</v>
      </c>
      <c r="J2176">
        <v>135</v>
      </c>
      <c r="K2176" t="s">
        <v>2069</v>
      </c>
      <c r="L2176" t="s">
        <v>2069</v>
      </c>
      <c r="M2176" t="s">
        <v>2069</v>
      </c>
      <c r="N2176" t="s">
        <v>2069</v>
      </c>
      <c r="O2176" t="s">
        <v>9895</v>
      </c>
      <c r="P2176" t="s">
        <v>9896</v>
      </c>
      <c r="Q2176" t="s">
        <v>2069</v>
      </c>
      <c r="R2176" t="s">
        <v>9973</v>
      </c>
      <c r="U2176" t="s">
        <v>9975</v>
      </c>
    </row>
    <row r="2177" spans="1:21" x14ac:dyDescent="0.25">
      <c r="A2177" t="s">
        <v>9976</v>
      </c>
      <c r="B2177" t="s">
        <v>22</v>
      </c>
      <c r="C2177" t="s">
        <v>9977</v>
      </c>
      <c r="D2177">
        <f t="shared" si="64"/>
        <v>-747154805</v>
      </c>
      <c r="E2177" t="s">
        <v>9978</v>
      </c>
      <c r="F2177" t="s">
        <v>9893</v>
      </c>
      <c r="G2177" t="s">
        <v>9894</v>
      </c>
      <c r="H2177">
        <v>34.965560000000004</v>
      </c>
      <c r="I2177">
        <v>29.554255000000001</v>
      </c>
      <c r="J2177">
        <v>135</v>
      </c>
      <c r="K2177" t="s">
        <v>3140</v>
      </c>
      <c r="L2177" t="s">
        <v>3140</v>
      </c>
      <c r="M2177" t="s">
        <v>3140</v>
      </c>
      <c r="N2177" t="s">
        <v>3140</v>
      </c>
      <c r="O2177" t="s">
        <v>6011</v>
      </c>
      <c r="P2177" t="s">
        <v>9979</v>
      </c>
      <c r="Q2177" t="s">
        <v>3140</v>
      </c>
      <c r="R2177" t="s">
        <v>9977</v>
      </c>
      <c r="U2177" t="s">
        <v>9980</v>
      </c>
    </row>
    <row r="2178" spans="1:21" x14ac:dyDescent="0.25">
      <c r="A2178" t="s">
        <v>9981</v>
      </c>
      <c r="B2178" t="s">
        <v>32</v>
      </c>
      <c r="C2178" t="s">
        <v>9982</v>
      </c>
      <c r="D2178">
        <f>91-11-46015381</f>
        <v>-46015301</v>
      </c>
      <c r="E2178" t="s">
        <v>9983</v>
      </c>
      <c r="F2178" t="s">
        <v>9984</v>
      </c>
      <c r="G2178" t="s">
        <v>9985</v>
      </c>
      <c r="H2178">
        <v>77.218240899999898</v>
      </c>
      <c r="I2178">
        <v>28.528084199999999</v>
      </c>
      <c r="J2178">
        <v>190</v>
      </c>
      <c r="K2178" t="s">
        <v>27</v>
      </c>
      <c r="L2178" t="s">
        <v>27</v>
      </c>
      <c r="M2178" t="s">
        <v>27</v>
      </c>
      <c r="N2178" t="s">
        <v>27</v>
      </c>
      <c r="O2178" t="s">
        <v>27</v>
      </c>
      <c r="P2178" t="s">
        <v>27</v>
      </c>
      <c r="Q2178" t="s">
        <v>27</v>
      </c>
      <c r="R2178" t="s">
        <v>9986</v>
      </c>
      <c r="U2178" t="s">
        <v>9987</v>
      </c>
    </row>
    <row r="2179" spans="1:21" x14ac:dyDescent="0.25">
      <c r="A2179" t="s">
        <v>9988</v>
      </c>
      <c r="B2179" t="s">
        <v>2322</v>
      </c>
      <c r="C2179" t="s">
        <v>9989</v>
      </c>
      <c r="D2179">
        <f>91-120-6209791</f>
        <v>-6209820</v>
      </c>
      <c r="E2179" t="s">
        <v>9990</v>
      </c>
      <c r="F2179" t="s">
        <v>9984</v>
      </c>
      <c r="G2179" t="s">
        <v>9985</v>
      </c>
      <c r="H2179">
        <v>77.321799999999996</v>
      </c>
      <c r="I2179">
        <v>28.56645</v>
      </c>
      <c r="J2179">
        <v>190</v>
      </c>
      <c r="K2179" t="s">
        <v>2229</v>
      </c>
      <c r="L2179" t="s">
        <v>2229</v>
      </c>
      <c r="M2179" t="s">
        <v>2229</v>
      </c>
      <c r="N2179" t="s">
        <v>2229</v>
      </c>
      <c r="O2179" t="s">
        <v>2229</v>
      </c>
      <c r="P2179" t="s">
        <v>2229</v>
      </c>
      <c r="Q2179" t="s">
        <v>2229</v>
      </c>
      <c r="R2179" t="s">
        <v>9989</v>
      </c>
      <c r="U2179" t="s">
        <v>9991</v>
      </c>
    </row>
    <row r="2180" spans="1:21" x14ac:dyDescent="0.25">
      <c r="A2180" t="s">
        <v>9992</v>
      </c>
      <c r="B2180" t="s">
        <v>2322</v>
      </c>
      <c r="C2180" t="s">
        <v>9993</v>
      </c>
      <c r="D2180">
        <f>91-22-43473123</f>
        <v>-43473054</v>
      </c>
      <c r="E2180" t="s">
        <v>9994</v>
      </c>
      <c r="F2180" t="s">
        <v>9984</v>
      </c>
      <c r="G2180" t="s">
        <v>9985</v>
      </c>
      <c r="H2180">
        <v>72.824280000000002</v>
      </c>
      <c r="I2180">
        <v>18.99409</v>
      </c>
      <c r="J2180">
        <v>190</v>
      </c>
      <c r="K2180" t="s">
        <v>3736</v>
      </c>
      <c r="L2180" t="s">
        <v>3736</v>
      </c>
      <c r="M2180" t="s">
        <v>3736</v>
      </c>
      <c r="N2180" t="s">
        <v>3736</v>
      </c>
      <c r="O2180" t="s">
        <v>3736</v>
      </c>
      <c r="P2180" t="s">
        <v>3736</v>
      </c>
      <c r="Q2180" t="s">
        <v>3736</v>
      </c>
      <c r="R2180" t="s">
        <v>9993</v>
      </c>
      <c r="U2180" t="s">
        <v>9995</v>
      </c>
    </row>
    <row r="2181" spans="1:21" x14ac:dyDescent="0.25">
      <c r="A2181" t="s">
        <v>9996</v>
      </c>
      <c r="B2181" t="s">
        <v>2322</v>
      </c>
      <c r="C2181" t="s">
        <v>9997</v>
      </c>
      <c r="D2181">
        <f>91-11-40870717</f>
        <v>-40870637</v>
      </c>
      <c r="E2181" t="s">
        <v>9983</v>
      </c>
      <c r="F2181" t="s">
        <v>9984</v>
      </c>
      <c r="G2181" t="s">
        <v>9985</v>
      </c>
      <c r="H2181">
        <v>77.155091368163994</v>
      </c>
      <c r="I2181">
        <v>28.524679513050401</v>
      </c>
      <c r="J2181">
        <v>190</v>
      </c>
      <c r="K2181" t="s">
        <v>2229</v>
      </c>
      <c r="L2181" t="s">
        <v>2229</v>
      </c>
      <c r="M2181" t="s">
        <v>2229</v>
      </c>
      <c r="N2181" t="s">
        <v>2229</v>
      </c>
      <c r="O2181" t="s">
        <v>2229</v>
      </c>
      <c r="P2181" t="s">
        <v>2229</v>
      </c>
      <c r="Q2181" t="s">
        <v>2229</v>
      </c>
      <c r="R2181" t="s">
        <v>9997</v>
      </c>
      <c r="S2181" t="s">
        <v>9998</v>
      </c>
      <c r="U2181" t="s">
        <v>9999</v>
      </c>
    </row>
    <row r="2182" spans="1:21" x14ac:dyDescent="0.25">
      <c r="A2182" t="s">
        <v>10000</v>
      </c>
      <c r="B2182" t="s">
        <v>22</v>
      </c>
      <c r="C2182" t="s">
        <v>9997</v>
      </c>
      <c r="D2182">
        <f>91-124-4665731</f>
        <v>-4665764</v>
      </c>
      <c r="E2182" t="s">
        <v>9983</v>
      </c>
      <c r="F2182" t="s">
        <v>9984</v>
      </c>
      <c r="G2182" t="s">
        <v>9985</v>
      </c>
      <c r="H2182">
        <v>77.095950000000002</v>
      </c>
      <c r="I2182">
        <v>28.503160000000001</v>
      </c>
      <c r="J2182">
        <v>190</v>
      </c>
      <c r="K2182" t="s">
        <v>2229</v>
      </c>
      <c r="L2182" t="s">
        <v>2229</v>
      </c>
      <c r="M2182" t="s">
        <v>2229</v>
      </c>
      <c r="N2182" t="s">
        <v>2229</v>
      </c>
      <c r="O2182" t="s">
        <v>2229</v>
      </c>
      <c r="P2182" t="s">
        <v>2229</v>
      </c>
      <c r="Q2182" t="s">
        <v>2229</v>
      </c>
      <c r="R2182" t="s">
        <v>9997</v>
      </c>
      <c r="S2182" t="s">
        <v>10001</v>
      </c>
      <c r="U2182" t="s">
        <v>10002</v>
      </c>
    </row>
    <row r="2183" spans="1:21" x14ac:dyDescent="0.25">
      <c r="A2183" t="s">
        <v>10003</v>
      </c>
      <c r="B2183" t="s">
        <v>22</v>
      </c>
      <c r="C2183" t="s">
        <v>10004</v>
      </c>
      <c r="D2183">
        <f>91-80-46524245</f>
        <v>-46524234</v>
      </c>
      <c r="E2183" t="s">
        <v>10005</v>
      </c>
      <c r="F2183" t="s">
        <v>9984</v>
      </c>
      <c r="G2183" t="s">
        <v>9985</v>
      </c>
      <c r="H2183">
        <v>77.694659999999999</v>
      </c>
      <c r="I2183">
        <v>12.99648</v>
      </c>
      <c r="J2183">
        <v>190</v>
      </c>
      <c r="K2183" t="s">
        <v>27</v>
      </c>
      <c r="L2183" t="s">
        <v>27</v>
      </c>
      <c r="M2183" t="s">
        <v>27</v>
      </c>
      <c r="N2183" t="s">
        <v>27</v>
      </c>
      <c r="O2183" t="s">
        <v>27</v>
      </c>
      <c r="P2183" t="s">
        <v>27</v>
      </c>
      <c r="Q2183" t="s">
        <v>27</v>
      </c>
      <c r="R2183" t="s">
        <v>10004</v>
      </c>
      <c r="S2183" t="s">
        <v>10006</v>
      </c>
      <c r="U2183" t="s">
        <v>10007</v>
      </c>
    </row>
    <row r="2184" spans="1:21" x14ac:dyDescent="0.25">
      <c r="A2184" t="s">
        <v>10008</v>
      </c>
      <c r="B2184" t="s">
        <v>22</v>
      </c>
      <c r="C2184" t="s">
        <v>10009</v>
      </c>
      <c r="D2184">
        <f>91-172-6703091</f>
        <v>-6703172</v>
      </c>
      <c r="E2184" t="s">
        <v>10010</v>
      </c>
      <c r="F2184" t="s">
        <v>9984</v>
      </c>
      <c r="G2184" t="s">
        <v>9985</v>
      </c>
      <c r="H2184">
        <v>76.678777299999894</v>
      </c>
      <c r="I2184">
        <v>30.738975799999999</v>
      </c>
      <c r="J2184">
        <v>190</v>
      </c>
      <c r="K2184" t="s">
        <v>3736</v>
      </c>
      <c r="L2184" t="s">
        <v>3736</v>
      </c>
      <c r="M2184" t="s">
        <v>3736</v>
      </c>
      <c r="N2184" t="s">
        <v>3736</v>
      </c>
      <c r="O2184" t="s">
        <v>3736</v>
      </c>
      <c r="P2184" t="s">
        <v>3736</v>
      </c>
      <c r="Q2184" t="s">
        <v>3736</v>
      </c>
      <c r="R2184" t="s">
        <v>10011</v>
      </c>
      <c r="S2184" t="s">
        <v>10012</v>
      </c>
      <c r="U2184" t="s">
        <v>10013</v>
      </c>
    </row>
    <row r="2185" spans="1:21" x14ac:dyDescent="0.25">
      <c r="A2185" t="s">
        <v>10014</v>
      </c>
      <c r="B2185" t="s">
        <v>22</v>
      </c>
      <c r="C2185" t="s">
        <v>10015</v>
      </c>
      <c r="D2185">
        <f>91-22-30952103</f>
        <v>-30952034</v>
      </c>
      <c r="E2185" t="s">
        <v>9994</v>
      </c>
      <c r="F2185" t="s">
        <v>9984</v>
      </c>
      <c r="G2185" t="s">
        <v>9985</v>
      </c>
      <c r="H2185">
        <v>72.888810000000007</v>
      </c>
      <c r="I2185">
        <v>19.086449999999999</v>
      </c>
      <c r="J2185">
        <v>190</v>
      </c>
      <c r="K2185" t="s">
        <v>6612</v>
      </c>
      <c r="L2185" t="s">
        <v>6612</v>
      </c>
      <c r="M2185" t="s">
        <v>6612</v>
      </c>
      <c r="N2185" t="s">
        <v>6612</v>
      </c>
      <c r="O2185" t="s">
        <v>6612</v>
      </c>
      <c r="P2185" t="s">
        <v>6612</v>
      </c>
      <c r="Q2185" t="s">
        <v>6612</v>
      </c>
      <c r="R2185" t="s">
        <v>10015</v>
      </c>
      <c r="S2185" t="s">
        <v>10016</v>
      </c>
      <c r="U2185" t="s">
        <v>10017</v>
      </c>
    </row>
    <row r="2186" spans="1:21" x14ac:dyDescent="0.25">
      <c r="A2186" t="s">
        <v>10018</v>
      </c>
      <c r="B2186" t="s">
        <v>22</v>
      </c>
      <c r="C2186" t="s">
        <v>10019</v>
      </c>
      <c r="D2186">
        <f>44-48510070</f>
        <v>-48510026</v>
      </c>
      <c r="E2186" t="s">
        <v>10020</v>
      </c>
      <c r="F2186" t="s">
        <v>9984</v>
      </c>
      <c r="G2186" t="s">
        <v>9985</v>
      </c>
      <c r="H2186">
        <v>80.264390000000006</v>
      </c>
      <c r="I2186">
        <v>13.05941</v>
      </c>
      <c r="J2186">
        <v>190</v>
      </c>
      <c r="K2186" t="s">
        <v>27</v>
      </c>
      <c r="L2186" t="s">
        <v>27</v>
      </c>
      <c r="M2186" t="s">
        <v>27</v>
      </c>
      <c r="N2186" t="s">
        <v>27</v>
      </c>
      <c r="O2186" t="s">
        <v>27</v>
      </c>
      <c r="P2186" t="s">
        <v>27</v>
      </c>
      <c r="Q2186" t="s">
        <v>27</v>
      </c>
      <c r="R2186" t="s">
        <v>10019</v>
      </c>
      <c r="S2186" t="s">
        <v>10021</v>
      </c>
      <c r="U2186" t="s">
        <v>10022</v>
      </c>
    </row>
    <row r="2187" spans="1:21" x14ac:dyDescent="0.25">
      <c r="A2187" t="s">
        <v>10023</v>
      </c>
      <c r="B2187" t="s">
        <v>22</v>
      </c>
      <c r="C2187" t="s">
        <v>10024</v>
      </c>
      <c r="D2187">
        <f>91-44-66513591</f>
        <v>-66513544</v>
      </c>
      <c r="E2187" t="s">
        <v>10020</v>
      </c>
      <c r="F2187" t="s">
        <v>9984</v>
      </c>
      <c r="G2187" t="s">
        <v>9985</v>
      </c>
      <c r="H2187">
        <v>80.216329999999999</v>
      </c>
      <c r="I2187">
        <v>12.99151</v>
      </c>
      <c r="J2187">
        <v>190</v>
      </c>
      <c r="K2187" t="s">
        <v>27</v>
      </c>
      <c r="L2187" t="s">
        <v>27</v>
      </c>
      <c r="M2187" t="s">
        <v>27</v>
      </c>
      <c r="N2187" t="s">
        <v>27</v>
      </c>
      <c r="O2187" t="s">
        <v>27</v>
      </c>
      <c r="P2187" t="s">
        <v>27</v>
      </c>
      <c r="Q2187" t="s">
        <v>27</v>
      </c>
      <c r="R2187" t="s">
        <v>10024</v>
      </c>
      <c r="S2187" t="s">
        <v>10025</v>
      </c>
      <c r="U2187" t="s">
        <v>10026</v>
      </c>
    </row>
    <row r="2188" spans="1:21" x14ac:dyDescent="0.25">
      <c r="A2188" t="s">
        <v>10027</v>
      </c>
      <c r="B2188" t="s">
        <v>22</v>
      </c>
      <c r="C2188" t="s">
        <v>10028</v>
      </c>
      <c r="D2188">
        <f>91-8043706280</f>
        <v>-8043706189</v>
      </c>
      <c r="E2188" t="s">
        <v>10005</v>
      </c>
      <c r="F2188" t="s">
        <v>9984</v>
      </c>
      <c r="G2188" t="s">
        <v>9985</v>
      </c>
      <c r="H2188">
        <v>77.570890000000006</v>
      </c>
      <c r="I2188">
        <v>12.99183</v>
      </c>
      <c r="J2188">
        <v>190</v>
      </c>
      <c r="K2188" t="s">
        <v>2229</v>
      </c>
      <c r="L2188" t="s">
        <v>2229</v>
      </c>
      <c r="M2188" t="s">
        <v>2229</v>
      </c>
      <c r="N2188" t="s">
        <v>2229</v>
      </c>
      <c r="O2188" t="s">
        <v>2229</v>
      </c>
      <c r="P2188" t="s">
        <v>2229</v>
      </c>
      <c r="Q2188" t="s">
        <v>2229</v>
      </c>
      <c r="R2188" t="s">
        <v>10028</v>
      </c>
      <c r="S2188" t="s">
        <v>10029</v>
      </c>
      <c r="U2188" t="s">
        <v>10030</v>
      </c>
    </row>
    <row r="2189" spans="1:21" x14ac:dyDescent="0.25">
      <c r="A2189" t="s">
        <v>10031</v>
      </c>
      <c r="B2189" t="s">
        <v>22</v>
      </c>
      <c r="C2189" t="s">
        <v>10032</v>
      </c>
      <c r="D2189">
        <f>91-20-6890815</f>
        <v>-6890744</v>
      </c>
      <c r="E2189" t="s">
        <v>10033</v>
      </c>
      <c r="F2189" t="s">
        <v>9984</v>
      </c>
      <c r="G2189" t="s">
        <v>9985</v>
      </c>
      <c r="H2189">
        <v>73.916679999999999</v>
      </c>
      <c r="I2189">
        <v>18.561969999999999</v>
      </c>
      <c r="J2189">
        <v>190</v>
      </c>
      <c r="K2189" t="s">
        <v>6588</v>
      </c>
      <c r="L2189" t="s">
        <v>6588</v>
      </c>
      <c r="M2189" t="s">
        <v>6588</v>
      </c>
      <c r="N2189" t="s">
        <v>6588</v>
      </c>
      <c r="O2189" t="s">
        <v>6588</v>
      </c>
      <c r="P2189" t="s">
        <v>6588</v>
      </c>
      <c r="Q2189" t="s">
        <v>6588</v>
      </c>
      <c r="R2189" t="s">
        <v>10032</v>
      </c>
      <c r="S2189" t="s">
        <v>10034</v>
      </c>
      <c r="U2189" t="s">
        <v>10035</v>
      </c>
    </row>
    <row r="2190" spans="1:21" x14ac:dyDescent="0.25">
      <c r="A2190" t="s">
        <v>10036</v>
      </c>
      <c r="B2190" t="s">
        <v>22</v>
      </c>
      <c r="C2190" t="s">
        <v>10037</v>
      </c>
      <c r="D2190">
        <f>91-20-67271711</f>
        <v>-67271640</v>
      </c>
      <c r="E2190" t="s">
        <v>10033</v>
      </c>
      <c r="F2190" t="s">
        <v>9984</v>
      </c>
      <c r="G2190" t="s">
        <v>9985</v>
      </c>
      <c r="H2190">
        <v>73.935990000000004</v>
      </c>
      <c r="I2190">
        <v>18.5183</v>
      </c>
      <c r="J2190">
        <v>190</v>
      </c>
      <c r="K2190" t="s">
        <v>3736</v>
      </c>
      <c r="L2190" t="s">
        <v>3736</v>
      </c>
      <c r="M2190" t="s">
        <v>3736</v>
      </c>
      <c r="N2190" t="s">
        <v>3736</v>
      </c>
      <c r="O2190" t="s">
        <v>3736</v>
      </c>
      <c r="P2190" t="s">
        <v>3736</v>
      </c>
      <c r="Q2190" t="s">
        <v>3736</v>
      </c>
      <c r="R2190" t="s">
        <v>10037</v>
      </c>
      <c r="S2190" t="s">
        <v>10038</v>
      </c>
      <c r="U2190" t="s">
        <v>10039</v>
      </c>
    </row>
    <row r="2191" spans="1:21" x14ac:dyDescent="0.25">
      <c r="A2191" t="s">
        <v>10040</v>
      </c>
      <c r="B2191" t="s">
        <v>22</v>
      </c>
      <c r="C2191" t="s">
        <v>10041</v>
      </c>
      <c r="D2191">
        <f>91-11-47586546</f>
        <v>-47586466</v>
      </c>
      <c r="E2191" t="s">
        <v>9983</v>
      </c>
      <c r="F2191" t="s">
        <v>9984</v>
      </c>
      <c r="G2191" t="s">
        <v>9985</v>
      </c>
      <c r="H2191">
        <v>77.219200000000001</v>
      </c>
      <c r="I2191">
        <v>28.634170000000001</v>
      </c>
      <c r="J2191">
        <v>190</v>
      </c>
      <c r="K2191" t="s">
        <v>2229</v>
      </c>
      <c r="L2191" t="s">
        <v>2229</v>
      </c>
      <c r="M2191" t="s">
        <v>2229</v>
      </c>
      <c r="N2191" t="s">
        <v>2229</v>
      </c>
      <c r="O2191" t="s">
        <v>2229</v>
      </c>
      <c r="P2191" t="s">
        <v>2229</v>
      </c>
      <c r="Q2191" t="s">
        <v>2229</v>
      </c>
      <c r="R2191" t="s">
        <v>10041</v>
      </c>
      <c r="S2191" t="s">
        <v>10042</v>
      </c>
      <c r="U2191" t="s">
        <v>10043</v>
      </c>
    </row>
    <row r="2192" spans="1:21" x14ac:dyDescent="0.25">
      <c r="A2192" t="s">
        <v>10044</v>
      </c>
      <c r="B2192" t="s">
        <v>22</v>
      </c>
      <c r="C2192" t="s">
        <v>10045</v>
      </c>
      <c r="D2192">
        <f>91-22-49242741</f>
        <v>-49242672</v>
      </c>
      <c r="E2192" t="s">
        <v>9994</v>
      </c>
      <c r="F2192" t="s">
        <v>9984</v>
      </c>
      <c r="G2192" t="s">
        <v>9985</v>
      </c>
      <c r="H2192">
        <v>72.835719999999995</v>
      </c>
      <c r="I2192">
        <v>19.173290000000001</v>
      </c>
      <c r="J2192">
        <v>190</v>
      </c>
      <c r="K2192" t="s">
        <v>3736</v>
      </c>
      <c r="L2192" t="s">
        <v>3736</v>
      </c>
      <c r="M2192" t="s">
        <v>3736</v>
      </c>
      <c r="N2192" t="s">
        <v>3736</v>
      </c>
      <c r="O2192" t="s">
        <v>3736</v>
      </c>
      <c r="P2192" t="s">
        <v>3736</v>
      </c>
      <c r="Q2192" t="s">
        <v>3736</v>
      </c>
      <c r="R2192" t="s">
        <v>10045</v>
      </c>
      <c r="S2192" t="s">
        <v>10046</v>
      </c>
      <c r="U2192" t="s">
        <v>10047</v>
      </c>
    </row>
    <row r="2193" spans="1:21" x14ac:dyDescent="0.25">
      <c r="A2193" t="s">
        <v>10048</v>
      </c>
      <c r="B2193" t="s">
        <v>22</v>
      </c>
      <c r="C2193" t="s">
        <v>10049</v>
      </c>
      <c r="D2193">
        <f>91-40-48535881-82</f>
        <v>-48535912</v>
      </c>
      <c r="E2193" t="s">
        <v>10050</v>
      </c>
      <c r="F2193" t="s">
        <v>9984</v>
      </c>
      <c r="G2193" t="s">
        <v>9985</v>
      </c>
      <c r="H2193">
        <v>78.386930000000007</v>
      </c>
      <c r="I2193">
        <v>17.433520000000001</v>
      </c>
      <c r="J2193">
        <v>190</v>
      </c>
      <c r="K2193" t="s">
        <v>2229</v>
      </c>
      <c r="L2193" t="s">
        <v>2229</v>
      </c>
      <c r="M2193" t="s">
        <v>2229</v>
      </c>
      <c r="N2193" t="s">
        <v>2229</v>
      </c>
      <c r="O2193" t="s">
        <v>2229</v>
      </c>
      <c r="P2193" t="s">
        <v>2230</v>
      </c>
      <c r="Q2193" t="s">
        <v>2230</v>
      </c>
      <c r="R2193" t="s">
        <v>10049</v>
      </c>
      <c r="S2193" t="s">
        <v>10050</v>
      </c>
      <c r="U2193" t="s">
        <v>10051</v>
      </c>
    </row>
    <row r="2194" spans="1:21" x14ac:dyDescent="0.25">
      <c r="A2194" t="s">
        <v>10052</v>
      </c>
      <c r="B2194" t="s">
        <v>22</v>
      </c>
      <c r="C2194" t="s">
        <v>10053</v>
      </c>
      <c r="D2194">
        <f>80-22086609</f>
        <v>-22086529</v>
      </c>
      <c r="E2194" t="s">
        <v>10005</v>
      </c>
      <c r="F2194" t="s">
        <v>9984</v>
      </c>
      <c r="G2194" t="s">
        <v>9985</v>
      </c>
      <c r="H2194">
        <v>77.620707999999993</v>
      </c>
      <c r="I2194">
        <v>12.973388999999999</v>
      </c>
      <c r="J2194">
        <v>190</v>
      </c>
      <c r="K2194" t="s">
        <v>2229</v>
      </c>
      <c r="L2194" t="s">
        <v>2229</v>
      </c>
      <c r="M2194" t="s">
        <v>2229</v>
      </c>
      <c r="N2194" t="s">
        <v>2229</v>
      </c>
      <c r="O2194" t="s">
        <v>2229</v>
      </c>
      <c r="P2194" t="s">
        <v>2229</v>
      </c>
      <c r="Q2194" t="s">
        <v>2229</v>
      </c>
      <c r="R2194" t="s">
        <v>10053</v>
      </c>
      <c r="S2194" t="s">
        <v>10054</v>
      </c>
      <c r="U2194" t="s">
        <v>10055</v>
      </c>
    </row>
    <row r="2195" spans="1:21" x14ac:dyDescent="0.25">
      <c r="A2195" t="s">
        <v>10056</v>
      </c>
      <c r="B2195" t="s">
        <v>22</v>
      </c>
      <c r="C2195" t="s">
        <v>10057</v>
      </c>
      <c r="D2195">
        <f>91-20-27207302</f>
        <v>-27207231</v>
      </c>
      <c r="E2195" t="s">
        <v>10033</v>
      </c>
      <c r="F2195" t="s">
        <v>9984</v>
      </c>
      <c r="G2195" t="s">
        <v>9985</v>
      </c>
      <c r="H2195">
        <v>73.807417999999998</v>
      </c>
      <c r="I2195">
        <v>18.554538000000001</v>
      </c>
      <c r="J2195">
        <v>190</v>
      </c>
      <c r="K2195" t="s">
        <v>10058</v>
      </c>
      <c r="L2195" t="s">
        <v>10058</v>
      </c>
      <c r="M2195" t="s">
        <v>10058</v>
      </c>
      <c r="N2195" t="s">
        <v>10058</v>
      </c>
      <c r="O2195" t="s">
        <v>10058</v>
      </c>
      <c r="P2195" t="s">
        <v>10058</v>
      </c>
      <c r="Q2195" t="s">
        <v>10058</v>
      </c>
      <c r="R2195" t="s">
        <v>10057</v>
      </c>
      <c r="S2195" t="s">
        <v>10059</v>
      </c>
      <c r="U2195" t="s">
        <v>10060</v>
      </c>
    </row>
    <row r="2196" spans="1:21" x14ac:dyDescent="0.25">
      <c r="A2196" t="s">
        <v>10061</v>
      </c>
      <c r="B2196" t="s">
        <v>22</v>
      </c>
      <c r="C2196" t="s">
        <v>10062</v>
      </c>
      <c r="D2196">
        <f>91-22-39686262</f>
        <v>-39686193</v>
      </c>
      <c r="E2196" t="s">
        <v>9994</v>
      </c>
      <c r="F2196" t="s">
        <v>9984</v>
      </c>
      <c r="G2196" t="s">
        <v>9985</v>
      </c>
      <c r="H2196">
        <v>73.018990000000002</v>
      </c>
      <c r="I2196">
        <v>19.03</v>
      </c>
      <c r="J2196">
        <v>190</v>
      </c>
      <c r="K2196" t="s">
        <v>6588</v>
      </c>
      <c r="L2196" t="s">
        <v>6588</v>
      </c>
      <c r="M2196" t="s">
        <v>6588</v>
      </c>
      <c r="N2196" t="s">
        <v>6588</v>
      </c>
      <c r="O2196" t="s">
        <v>6588</v>
      </c>
      <c r="P2196" t="s">
        <v>6588</v>
      </c>
      <c r="Q2196" t="s">
        <v>6588</v>
      </c>
      <c r="R2196" t="s">
        <v>10062</v>
      </c>
      <c r="S2196" t="s">
        <v>10063</v>
      </c>
      <c r="U2196" t="s">
        <v>10064</v>
      </c>
    </row>
    <row r="2197" spans="1:21" x14ac:dyDescent="0.25">
      <c r="A2197" t="s">
        <v>10065</v>
      </c>
      <c r="B2197" t="s">
        <v>22</v>
      </c>
      <c r="C2197" t="s">
        <v>10066</v>
      </c>
      <c r="D2197">
        <f>91-22-49245273</f>
        <v>-49245204</v>
      </c>
      <c r="E2197" t="s">
        <v>9994</v>
      </c>
      <c r="F2197" t="s">
        <v>9984</v>
      </c>
      <c r="G2197" t="s">
        <v>9985</v>
      </c>
      <c r="H2197">
        <v>72.91619</v>
      </c>
      <c r="I2197">
        <v>19.099969999999999</v>
      </c>
      <c r="J2197">
        <v>190</v>
      </c>
      <c r="K2197" t="s">
        <v>1011</v>
      </c>
      <c r="L2197" t="s">
        <v>1011</v>
      </c>
      <c r="M2197" t="s">
        <v>1011</v>
      </c>
      <c r="N2197" t="s">
        <v>1011</v>
      </c>
      <c r="O2197" t="s">
        <v>1011</v>
      </c>
      <c r="P2197" t="s">
        <v>1011</v>
      </c>
      <c r="Q2197" t="s">
        <v>1011</v>
      </c>
      <c r="R2197" t="s">
        <v>10066</v>
      </c>
      <c r="S2197" t="s">
        <v>10067</v>
      </c>
      <c r="U2197" t="s">
        <v>10068</v>
      </c>
    </row>
    <row r="2198" spans="1:21" x14ac:dyDescent="0.25">
      <c r="A2198" t="s">
        <v>10069</v>
      </c>
      <c r="B2198" t="s">
        <v>22</v>
      </c>
      <c r="C2198" t="s">
        <v>10070</v>
      </c>
      <c r="D2198">
        <f>91-8067922346</f>
        <v>-8067922255</v>
      </c>
      <c r="E2198" t="s">
        <v>10005</v>
      </c>
      <c r="F2198" t="s">
        <v>9984</v>
      </c>
      <c r="G2198" t="s">
        <v>9985</v>
      </c>
      <c r="H2198">
        <v>77.600980000000007</v>
      </c>
      <c r="I2198">
        <v>12.907819999999999</v>
      </c>
      <c r="J2198">
        <v>190</v>
      </c>
      <c r="K2198" t="s">
        <v>27</v>
      </c>
      <c r="L2198" t="s">
        <v>27</v>
      </c>
      <c r="M2198" t="s">
        <v>27</v>
      </c>
      <c r="N2198" t="s">
        <v>27</v>
      </c>
      <c r="O2198" t="s">
        <v>27</v>
      </c>
      <c r="P2198" t="s">
        <v>27</v>
      </c>
      <c r="Q2198" t="s">
        <v>27</v>
      </c>
      <c r="R2198" t="s">
        <v>10070</v>
      </c>
      <c r="S2198" t="s">
        <v>10005</v>
      </c>
      <c r="U2198" t="s">
        <v>10071</v>
      </c>
    </row>
    <row r="2199" spans="1:21" x14ac:dyDescent="0.25">
      <c r="A2199" t="s">
        <v>10072</v>
      </c>
      <c r="B2199" t="s">
        <v>38</v>
      </c>
      <c r="C2199" t="s">
        <v>10073</v>
      </c>
      <c r="D2199">
        <f>91-183-5064300</f>
        <v>-5064392</v>
      </c>
      <c r="E2199" t="s">
        <v>10074</v>
      </c>
      <c r="F2199" t="s">
        <v>9984</v>
      </c>
      <c r="G2199" t="s">
        <v>9985</v>
      </c>
      <c r="H2199">
        <v>74.879409890000005</v>
      </c>
      <c r="I2199">
        <v>31.658697</v>
      </c>
      <c r="J2199">
        <v>190</v>
      </c>
      <c r="K2199" t="s">
        <v>3736</v>
      </c>
      <c r="L2199" t="s">
        <v>3736</v>
      </c>
      <c r="M2199" t="s">
        <v>3736</v>
      </c>
      <c r="N2199" t="s">
        <v>3736</v>
      </c>
      <c r="O2199" t="s">
        <v>3736</v>
      </c>
      <c r="P2199" t="s">
        <v>3736</v>
      </c>
      <c r="Q2199" t="s">
        <v>3736</v>
      </c>
      <c r="R2199" t="s">
        <v>10075</v>
      </c>
      <c r="S2199" t="s">
        <v>10076</v>
      </c>
      <c r="U2199" t="s">
        <v>10077</v>
      </c>
    </row>
    <row r="2200" spans="1:21" x14ac:dyDescent="0.25">
      <c r="A2200" t="s">
        <v>10078</v>
      </c>
      <c r="B2200" t="s">
        <v>22</v>
      </c>
      <c r="C2200" t="s">
        <v>10079</v>
      </c>
      <c r="D2200">
        <f>91-2223812392</f>
        <v>-2223812301</v>
      </c>
      <c r="E2200" t="s">
        <v>9994</v>
      </c>
      <c r="F2200" t="s">
        <v>9984</v>
      </c>
      <c r="G2200" t="s">
        <v>9985</v>
      </c>
      <c r="H2200">
        <v>72.81138</v>
      </c>
      <c r="I2200">
        <v>18.962463</v>
      </c>
      <c r="J2200">
        <v>190</v>
      </c>
      <c r="K2200" t="s">
        <v>1501</v>
      </c>
      <c r="L2200" t="s">
        <v>1501</v>
      </c>
      <c r="M2200" t="s">
        <v>1501</v>
      </c>
      <c r="N2200" t="s">
        <v>1501</v>
      </c>
      <c r="O2200" t="s">
        <v>1501</v>
      </c>
      <c r="P2200" t="s">
        <v>1501</v>
      </c>
      <c r="Q2200" t="s">
        <v>1501</v>
      </c>
      <c r="R2200" t="s">
        <v>10079</v>
      </c>
      <c r="S2200" t="s">
        <v>10080</v>
      </c>
      <c r="U2200" t="s">
        <v>10081</v>
      </c>
    </row>
    <row r="2201" spans="1:21" x14ac:dyDescent="0.25">
      <c r="A2201" t="s">
        <v>10082</v>
      </c>
      <c r="B2201" t="s">
        <v>22</v>
      </c>
      <c r="C2201" t="s">
        <v>10083</v>
      </c>
      <c r="D2201">
        <f>91-4466622250</f>
        <v>-4466622159</v>
      </c>
      <c r="E2201" t="s">
        <v>10020</v>
      </c>
      <c r="F2201" t="s">
        <v>9984</v>
      </c>
      <c r="G2201" t="s">
        <v>9985</v>
      </c>
      <c r="H2201">
        <v>80.209500000000006</v>
      </c>
      <c r="I2201">
        <v>13.089</v>
      </c>
      <c r="J2201">
        <v>190</v>
      </c>
      <c r="K2201" t="s">
        <v>2229</v>
      </c>
      <c r="L2201" t="s">
        <v>2229</v>
      </c>
      <c r="M2201" t="s">
        <v>2229</v>
      </c>
      <c r="N2201" t="s">
        <v>2229</v>
      </c>
      <c r="O2201" t="s">
        <v>2229</v>
      </c>
      <c r="P2201" t="s">
        <v>2229</v>
      </c>
      <c r="Q2201" t="s">
        <v>2229</v>
      </c>
      <c r="R2201" t="s">
        <v>10083</v>
      </c>
      <c r="S2201" t="s">
        <v>10084</v>
      </c>
      <c r="U2201" t="s">
        <v>10085</v>
      </c>
    </row>
    <row r="2202" spans="1:21" x14ac:dyDescent="0.25">
      <c r="A2202" t="s">
        <v>10086</v>
      </c>
      <c r="B2202" t="s">
        <v>38</v>
      </c>
      <c r="C2202" t="s">
        <v>10087</v>
      </c>
      <c r="D2202">
        <f>91-4226628141</f>
        <v>-4226628050</v>
      </c>
      <c r="E2202" t="s">
        <v>10088</v>
      </c>
      <c r="F2202" t="s">
        <v>9984</v>
      </c>
      <c r="G2202" t="s">
        <v>9985</v>
      </c>
      <c r="H2202">
        <v>76.995448999999994</v>
      </c>
      <c r="I2202">
        <v>11.055059</v>
      </c>
      <c r="J2202">
        <v>190</v>
      </c>
      <c r="K2202" t="s">
        <v>2229</v>
      </c>
      <c r="L2202" t="s">
        <v>2229</v>
      </c>
      <c r="M2202" t="s">
        <v>2229</v>
      </c>
      <c r="N2202" t="s">
        <v>2229</v>
      </c>
      <c r="O2202" t="s">
        <v>2229</v>
      </c>
      <c r="P2202" t="s">
        <v>2229</v>
      </c>
      <c r="Q2202" t="s">
        <v>2229</v>
      </c>
      <c r="R2202" t="s">
        <v>10087</v>
      </c>
      <c r="S2202" t="s">
        <v>10089</v>
      </c>
      <c r="U2202" t="s">
        <v>10090</v>
      </c>
    </row>
    <row r="2203" spans="1:21" x14ac:dyDescent="0.25">
      <c r="A2203" t="s">
        <v>10091</v>
      </c>
      <c r="B2203" t="s">
        <v>22</v>
      </c>
      <c r="C2203" t="s">
        <v>10092</v>
      </c>
      <c r="D2203">
        <f>91-33-46019681</f>
        <v>-46019623</v>
      </c>
      <c r="E2203" t="s">
        <v>10093</v>
      </c>
      <c r="F2203" t="s">
        <v>9984</v>
      </c>
      <c r="G2203" t="s">
        <v>9985</v>
      </c>
      <c r="H2203">
        <v>88.3638949999999</v>
      </c>
      <c r="I2203">
        <v>22.572645999999999</v>
      </c>
      <c r="J2203">
        <v>190</v>
      </c>
      <c r="K2203" t="s">
        <v>1035</v>
      </c>
      <c r="L2203" t="s">
        <v>1035</v>
      </c>
      <c r="M2203" t="s">
        <v>1035</v>
      </c>
      <c r="N2203" t="s">
        <v>1035</v>
      </c>
      <c r="O2203" t="s">
        <v>1035</v>
      </c>
      <c r="P2203" t="s">
        <v>1035</v>
      </c>
      <c r="Q2203" t="s">
        <v>1035</v>
      </c>
      <c r="R2203" t="s">
        <v>10092</v>
      </c>
      <c r="S2203" t="s">
        <v>10094</v>
      </c>
      <c r="U2203" t="s">
        <v>10095</v>
      </c>
    </row>
    <row r="2204" spans="1:21" x14ac:dyDescent="0.25">
      <c r="A2204" t="s">
        <v>10096</v>
      </c>
      <c r="B2204" t="s">
        <v>22</v>
      </c>
      <c r="C2204" t="s">
        <v>10097</v>
      </c>
      <c r="D2204">
        <f>91-731-4984114</f>
        <v>-4984754</v>
      </c>
      <c r="E2204" t="s">
        <v>10098</v>
      </c>
      <c r="F2204" t="s">
        <v>9984</v>
      </c>
      <c r="G2204" t="s">
        <v>9985</v>
      </c>
      <c r="H2204">
        <v>75.878500000000003</v>
      </c>
      <c r="I2204">
        <v>22.7212</v>
      </c>
      <c r="J2204">
        <v>190</v>
      </c>
      <c r="K2204" t="s">
        <v>2229</v>
      </c>
      <c r="L2204" t="s">
        <v>2229</v>
      </c>
      <c r="M2204" t="s">
        <v>2229</v>
      </c>
      <c r="N2204" t="s">
        <v>2229</v>
      </c>
      <c r="O2204" t="s">
        <v>2229</v>
      </c>
      <c r="P2204" t="s">
        <v>2229</v>
      </c>
      <c r="Q2204" t="s">
        <v>2229</v>
      </c>
      <c r="R2204" t="s">
        <v>10097</v>
      </c>
      <c r="U2204" t="s">
        <v>10099</v>
      </c>
    </row>
    <row r="2205" spans="1:21" x14ac:dyDescent="0.25">
      <c r="A2205" t="s">
        <v>10100</v>
      </c>
      <c r="B2205" t="s">
        <v>22</v>
      </c>
      <c r="C2205" t="s">
        <v>10101</v>
      </c>
      <c r="D2205">
        <f>91-183-5054731</f>
        <v>-5054823</v>
      </c>
      <c r="E2205" t="s">
        <v>10074</v>
      </c>
      <c r="F2205" t="s">
        <v>9984</v>
      </c>
      <c r="G2205" t="s">
        <v>9985</v>
      </c>
      <c r="H2205">
        <v>74.872264200000004</v>
      </c>
      <c r="I2205">
        <v>31.6339793</v>
      </c>
      <c r="J2205">
        <v>190</v>
      </c>
      <c r="K2205" t="s">
        <v>2229</v>
      </c>
      <c r="L2205" t="s">
        <v>2229</v>
      </c>
      <c r="M2205" t="s">
        <v>2229</v>
      </c>
      <c r="N2205" t="s">
        <v>2229</v>
      </c>
      <c r="O2205" t="s">
        <v>2229</v>
      </c>
      <c r="P2205" t="s">
        <v>2229</v>
      </c>
      <c r="Q2205" t="s">
        <v>2229</v>
      </c>
      <c r="R2205" t="s">
        <v>10101</v>
      </c>
      <c r="S2205" t="s">
        <v>10102</v>
      </c>
      <c r="U2205" t="s">
        <v>10103</v>
      </c>
    </row>
    <row r="2206" spans="1:21" x14ac:dyDescent="0.25">
      <c r="A2206" t="s">
        <v>10104</v>
      </c>
      <c r="B2206" t="s">
        <v>38</v>
      </c>
      <c r="C2206" t="s">
        <v>10105</v>
      </c>
      <c r="D2206">
        <f>91-8212300434</f>
        <v>-8212300343</v>
      </c>
      <c r="E2206" t="s">
        <v>10106</v>
      </c>
      <c r="F2206" t="s">
        <v>9984</v>
      </c>
      <c r="G2206" t="s">
        <v>9985</v>
      </c>
      <c r="H2206">
        <v>76.664199999999994</v>
      </c>
      <c r="I2206">
        <v>12.3332</v>
      </c>
      <c r="J2206">
        <v>190</v>
      </c>
      <c r="K2206" t="s">
        <v>2229</v>
      </c>
      <c r="L2206" t="s">
        <v>2229</v>
      </c>
      <c r="M2206" t="s">
        <v>2229</v>
      </c>
      <c r="N2206" t="s">
        <v>2229</v>
      </c>
      <c r="O2206" t="s">
        <v>2229</v>
      </c>
      <c r="P2206" t="s">
        <v>2229</v>
      </c>
      <c r="Q2206" t="s">
        <v>2229</v>
      </c>
      <c r="R2206" t="s">
        <v>10105</v>
      </c>
      <c r="S2206" t="s">
        <v>10107</v>
      </c>
      <c r="U2206" t="s">
        <v>10108</v>
      </c>
    </row>
    <row r="2207" spans="1:21" x14ac:dyDescent="0.25">
      <c r="A2207" t="s">
        <v>10109</v>
      </c>
      <c r="B2207" t="s">
        <v>38</v>
      </c>
      <c r="C2207" t="s">
        <v>10110</v>
      </c>
      <c r="D2207">
        <f>91-120-4755917</f>
        <v>-4755946</v>
      </c>
      <c r="E2207" t="s">
        <v>9990</v>
      </c>
      <c r="F2207" t="s">
        <v>9984</v>
      </c>
      <c r="G2207" t="s">
        <v>9985</v>
      </c>
      <c r="H2207">
        <v>77.525993999999997</v>
      </c>
      <c r="I2207">
        <v>28.452877999999998</v>
      </c>
      <c r="J2207">
        <v>190</v>
      </c>
      <c r="K2207" t="s">
        <v>10111</v>
      </c>
      <c r="L2207" t="s">
        <v>10111</v>
      </c>
      <c r="M2207" t="s">
        <v>10111</v>
      </c>
      <c r="N2207" t="s">
        <v>10111</v>
      </c>
      <c r="O2207" t="s">
        <v>10111</v>
      </c>
      <c r="P2207" t="s">
        <v>10111</v>
      </c>
      <c r="Q2207" t="s">
        <v>10111</v>
      </c>
      <c r="R2207" t="s">
        <v>10110</v>
      </c>
      <c r="U2207" t="s">
        <v>10112</v>
      </c>
    </row>
    <row r="2208" spans="1:21" x14ac:dyDescent="0.25">
      <c r="A2208" t="s">
        <v>10113</v>
      </c>
      <c r="B2208" t="s">
        <v>38</v>
      </c>
      <c r="C2208" t="s">
        <v>10114</v>
      </c>
      <c r="D2208">
        <f>91-771-4904810</f>
        <v>-4905490</v>
      </c>
      <c r="E2208" t="s">
        <v>10115</v>
      </c>
      <c r="F2208" t="s">
        <v>9984</v>
      </c>
      <c r="G2208" t="s">
        <v>9985</v>
      </c>
      <c r="H2208">
        <v>81.685000000000002</v>
      </c>
      <c r="I2208">
        <v>21.2394</v>
      </c>
      <c r="J2208">
        <v>190</v>
      </c>
      <c r="K2208" t="s">
        <v>2229</v>
      </c>
      <c r="L2208" t="s">
        <v>2229</v>
      </c>
      <c r="M2208" t="s">
        <v>2229</v>
      </c>
      <c r="N2208" t="s">
        <v>2229</v>
      </c>
      <c r="O2208" t="s">
        <v>2229</v>
      </c>
      <c r="P2208" t="s">
        <v>2229</v>
      </c>
      <c r="Q2208" t="s">
        <v>2229</v>
      </c>
      <c r="R2208" t="s">
        <v>10114</v>
      </c>
      <c r="U2208" t="s">
        <v>10116</v>
      </c>
    </row>
    <row r="2209" spans="1:21" x14ac:dyDescent="0.25">
      <c r="A2209" t="s">
        <v>10117</v>
      </c>
      <c r="B2209" t="s">
        <v>38</v>
      </c>
      <c r="C2209" t="s">
        <v>10118</v>
      </c>
      <c r="D2209">
        <f>91-2516695845</f>
        <v>-2516695754</v>
      </c>
      <c r="E2209" t="s">
        <v>9994</v>
      </c>
      <c r="F2209" t="s">
        <v>9984</v>
      </c>
      <c r="G2209" t="s">
        <v>9985</v>
      </c>
      <c r="H2209">
        <v>73.075282999999999</v>
      </c>
      <c r="I2209">
        <v>19.165679999999998</v>
      </c>
      <c r="J2209">
        <v>190</v>
      </c>
      <c r="K2209" t="s">
        <v>3736</v>
      </c>
      <c r="L2209" t="s">
        <v>3736</v>
      </c>
      <c r="M2209" t="s">
        <v>3736</v>
      </c>
      <c r="N2209" t="s">
        <v>3736</v>
      </c>
      <c r="O2209" t="s">
        <v>3736</v>
      </c>
      <c r="P2209" t="s">
        <v>3736</v>
      </c>
      <c r="Q2209" t="s">
        <v>3736</v>
      </c>
      <c r="R2209" t="s">
        <v>10118</v>
      </c>
      <c r="S2209" t="s">
        <v>10119</v>
      </c>
      <c r="U2209" t="s">
        <v>10120</v>
      </c>
    </row>
    <row r="2210" spans="1:21" x14ac:dyDescent="0.25">
      <c r="A2210" t="s">
        <v>10121</v>
      </c>
      <c r="B2210" t="s">
        <v>22</v>
      </c>
      <c r="C2210" t="s">
        <v>10122</v>
      </c>
      <c r="D2210">
        <f>91-2261701458</f>
        <v>-2261701367</v>
      </c>
      <c r="E2210" t="s">
        <v>9994</v>
      </c>
      <c r="F2210" t="s">
        <v>9984</v>
      </c>
      <c r="G2210" t="s">
        <v>9985</v>
      </c>
      <c r="H2210">
        <v>72.877655899999993</v>
      </c>
      <c r="I2210">
        <v>19.075983699999998</v>
      </c>
      <c r="J2210">
        <v>190</v>
      </c>
      <c r="K2210" t="s">
        <v>3736</v>
      </c>
      <c r="L2210" t="s">
        <v>3736</v>
      </c>
      <c r="M2210" t="s">
        <v>3736</v>
      </c>
      <c r="N2210" t="s">
        <v>3736</v>
      </c>
      <c r="O2210" t="s">
        <v>3736</v>
      </c>
      <c r="P2210" t="s">
        <v>3736</v>
      </c>
      <c r="Q2210" t="s">
        <v>3736</v>
      </c>
      <c r="R2210" t="s">
        <v>10122</v>
      </c>
      <c r="S2210" t="s">
        <v>10123</v>
      </c>
      <c r="U2210" t="s">
        <v>10124</v>
      </c>
    </row>
    <row r="2211" spans="1:21" x14ac:dyDescent="0.25">
      <c r="A2211" t="s">
        <v>10125</v>
      </c>
      <c r="B2211" t="s">
        <v>38</v>
      </c>
      <c r="C2211" t="s">
        <v>10126</v>
      </c>
      <c r="D2211">
        <f>91-7948954101</f>
        <v>-7948954010</v>
      </c>
      <c r="E2211" t="s">
        <v>10127</v>
      </c>
      <c r="F2211" t="s">
        <v>9984</v>
      </c>
      <c r="G2211" t="s">
        <v>9985</v>
      </c>
      <c r="H2211">
        <v>72.524427316780205</v>
      </c>
      <c r="I2211">
        <v>23.026438556522901</v>
      </c>
      <c r="J2211">
        <v>190</v>
      </c>
      <c r="K2211" t="s">
        <v>1501</v>
      </c>
      <c r="L2211" t="s">
        <v>1501</v>
      </c>
      <c r="M2211" t="s">
        <v>1501</v>
      </c>
      <c r="N2211" t="s">
        <v>1501</v>
      </c>
      <c r="O2211" t="s">
        <v>1501</v>
      </c>
      <c r="P2211" t="s">
        <v>1501</v>
      </c>
      <c r="Q2211" t="s">
        <v>1501</v>
      </c>
      <c r="R2211" t="s">
        <v>10126</v>
      </c>
      <c r="U2211" t="s">
        <v>10128</v>
      </c>
    </row>
    <row r="2212" spans="1:21" x14ac:dyDescent="0.25">
      <c r="A2212" t="s">
        <v>10129</v>
      </c>
      <c r="B2212" t="s">
        <v>38</v>
      </c>
      <c r="C2212" t="s">
        <v>10130</v>
      </c>
      <c r="D2212">
        <f>91-2406642182</f>
        <v>-2406642091</v>
      </c>
      <c r="E2212" t="s">
        <v>10131</v>
      </c>
      <c r="F2212" t="s">
        <v>9984</v>
      </c>
      <c r="G2212" t="s">
        <v>9985</v>
      </c>
      <c r="H2212">
        <v>75.343313899999998</v>
      </c>
      <c r="I2212">
        <v>19.8761653</v>
      </c>
      <c r="J2212">
        <v>190</v>
      </c>
      <c r="K2212" t="s">
        <v>10132</v>
      </c>
      <c r="L2212" t="s">
        <v>10132</v>
      </c>
      <c r="M2212" t="s">
        <v>10132</v>
      </c>
      <c r="N2212" t="s">
        <v>10132</v>
      </c>
      <c r="O2212" t="s">
        <v>10132</v>
      </c>
      <c r="P2212" t="s">
        <v>10132</v>
      </c>
      <c r="Q2212" t="s">
        <v>10132</v>
      </c>
      <c r="R2212" t="s">
        <v>10130</v>
      </c>
      <c r="S2212" t="s">
        <v>10133</v>
      </c>
      <c r="U2212" t="s">
        <v>10134</v>
      </c>
    </row>
    <row r="2213" spans="1:21" x14ac:dyDescent="0.25">
      <c r="A2213" t="s">
        <v>10135</v>
      </c>
      <c r="B2213" t="s">
        <v>38</v>
      </c>
      <c r="C2213" t="s">
        <v>10136</v>
      </c>
      <c r="D2213">
        <f>91-7126781082</f>
        <v>-7126780991</v>
      </c>
      <c r="E2213" t="s">
        <v>10137</v>
      </c>
      <c r="F2213" t="s">
        <v>9984</v>
      </c>
      <c r="G2213" t="s">
        <v>9985</v>
      </c>
      <c r="H2213">
        <v>79.088154599999996</v>
      </c>
      <c r="I2213">
        <v>21.145800399999999</v>
      </c>
      <c r="J2213">
        <v>190</v>
      </c>
      <c r="K2213" t="s">
        <v>3736</v>
      </c>
      <c r="L2213" t="s">
        <v>3736</v>
      </c>
      <c r="M2213" t="s">
        <v>3736</v>
      </c>
      <c r="N2213" t="s">
        <v>3736</v>
      </c>
      <c r="O2213" t="s">
        <v>3736</v>
      </c>
      <c r="P2213" t="s">
        <v>2229</v>
      </c>
      <c r="Q2213" t="s">
        <v>2229</v>
      </c>
      <c r="R2213" t="s">
        <v>10136</v>
      </c>
      <c r="S2213" t="s">
        <v>10138</v>
      </c>
      <c r="U2213" t="s">
        <v>10139</v>
      </c>
    </row>
    <row r="2214" spans="1:21" x14ac:dyDescent="0.25">
      <c r="A2214" t="s">
        <v>10140</v>
      </c>
      <c r="B2214" t="s">
        <v>38</v>
      </c>
      <c r="C2214" t="s">
        <v>10141</v>
      </c>
      <c r="D2214">
        <f>91-8025018042</f>
        <v>-8025017951</v>
      </c>
      <c r="E2214" t="s">
        <v>10005</v>
      </c>
      <c r="F2214" t="s">
        <v>9984</v>
      </c>
      <c r="G2214" t="s">
        <v>9985</v>
      </c>
      <c r="H2214">
        <v>77.594562699999898</v>
      </c>
      <c r="I2214">
        <v>12.971598699999999</v>
      </c>
      <c r="J2214">
        <v>190</v>
      </c>
      <c r="K2214" t="s">
        <v>2229</v>
      </c>
      <c r="L2214" t="s">
        <v>2229</v>
      </c>
      <c r="M2214" t="s">
        <v>2229</v>
      </c>
      <c r="N2214" t="s">
        <v>2229</v>
      </c>
      <c r="O2214" t="s">
        <v>2229</v>
      </c>
      <c r="P2214" t="s">
        <v>2229</v>
      </c>
      <c r="Q2214" t="s">
        <v>2229</v>
      </c>
      <c r="R2214" t="s">
        <v>10141</v>
      </c>
      <c r="U2214" t="s">
        <v>10142</v>
      </c>
    </row>
    <row r="2215" spans="1:21" x14ac:dyDescent="0.25">
      <c r="A2215" t="s">
        <v>10143</v>
      </c>
      <c r="B2215" t="s">
        <v>22</v>
      </c>
      <c r="C2215" t="s">
        <v>10144</v>
      </c>
      <c r="E2215" t="s">
        <v>10005</v>
      </c>
      <c r="F2215" t="s">
        <v>9984</v>
      </c>
      <c r="G2215" t="s">
        <v>9985</v>
      </c>
      <c r="H2215">
        <v>77.594562699999898</v>
      </c>
      <c r="I2215">
        <v>12.971598699999999</v>
      </c>
      <c r="J2215">
        <v>190</v>
      </c>
      <c r="R2215" t="s">
        <v>10144</v>
      </c>
      <c r="U2215" t="s">
        <v>10145</v>
      </c>
    </row>
    <row r="2216" spans="1:21" x14ac:dyDescent="0.25">
      <c r="A2216" t="s">
        <v>10146</v>
      </c>
      <c r="B2216" t="s">
        <v>38</v>
      </c>
      <c r="C2216" t="s">
        <v>10147</v>
      </c>
      <c r="D2216">
        <f>91-755-4919484</f>
        <v>-4920148</v>
      </c>
      <c r="E2216" t="s">
        <v>10148</v>
      </c>
      <c r="F2216" t="s">
        <v>9984</v>
      </c>
      <c r="G2216" t="s">
        <v>9985</v>
      </c>
      <c r="H2216">
        <v>77.412614999999903</v>
      </c>
      <c r="I2216">
        <v>23.2599333</v>
      </c>
      <c r="J2216">
        <v>190</v>
      </c>
      <c r="K2216" t="s">
        <v>2229</v>
      </c>
      <c r="L2216" t="s">
        <v>2229</v>
      </c>
      <c r="M2216" t="s">
        <v>2229</v>
      </c>
      <c r="N2216" t="s">
        <v>2229</v>
      </c>
      <c r="O2216" t="s">
        <v>2229</v>
      </c>
      <c r="P2216" t="s">
        <v>2229</v>
      </c>
      <c r="Q2216" t="s">
        <v>2229</v>
      </c>
      <c r="R2216" t="s">
        <v>10147</v>
      </c>
      <c r="U2216" t="s">
        <v>10149</v>
      </c>
    </row>
    <row r="2217" spans="1:21" x14ac:dyDescent="0.25">
      <c r="A2217" t="s">
        <v>10150</v>
      </c>
      <c r="B2217" t="s">
        <v>38</v>
      </c>
      <c r="C2217" t="s">
        <v>10151</v>
      </c>
      <c r="E2217" t="s">
        <v>9983</v>
      </c>
      <c r="F2217" t="s">
        <v>9984</v>
      </c>
      <c r="G2217" t="s">
        <v>9985</v>
      </c>
      <c r="H2217">
        <v>77.209021199999995</v>
      </c>
      <c r="I2217">
        <v>28.6139391</v>
      </c>
      <c r="J2217">
        <v>190</v>
      </c>
      <c r="R2217" t="s">
        <v>10151</v>
      </c>
      <c r="S2217" t="s">
        <v>10151</v>
      </c>
      <c r="U2217" t="s">
        <v>10152</v>
      </c>
    </row>
    <row r="2218" spans="1:21" x14ac:dyDescent="0.25">
      <c r="A2218" t="s">
        <v>10153</v>
      </c>
      <c r="B2218" t="s">
        <v>38</v>
      </c>
      <c r="C2218" t="s">
        <v>10154</v>
      </c>
      <c r="D2218">
        <f>91-1244060261</f>
        <v>-1244060170</v>
      </c>
      <c r="E2218" t="s">
        <v>10155</v>
      </c>
      <c r="F2218" t="s">
        <v>9984</v>
      </c>
      <c r="G2218" t="s">
        <v>9985</v>
      </c>
      <c r="H2218">
        <v>77.026638300000002</v>
      </c>
      <c r="I2218">
        <v>28.4594965</v>
      </c>
      <c r="J2218">
        <v>190</v>
      </c>
      <c r="K2218" t="s">
        <v>3736</v>
      </c>
      <c r="L2218" t="s">
        <v>3736</v>
      </c>
      <c r="M2218" t="s">
        <v>3736</v>
      </c>
      <c r="N2218" t="s">
        <v>3736</v>
      </c>
      <c r="O2218" t="s">
        <v>3736</v>
      </c>
      <c r="P2218" t="s">
        <v>3736</v>
      </c>
      <c r="Q2218" t="s">
        <v>3736</v>
      </c>
      <c r="R2218" t="s">
        <v>10154</v>
      </c>
      <c r="U2218" t="s">
        <v>10156</v>
      </c>
    </row>
    <row r="2219" spans="1:21" x14ac:dyDescent="0.25">
      <c r="A2219" t="s">
        <v>10157</v>
      </c>
      <c r="B2219" t="s">
        <v>38</v>
      </c>
      <c r="C2219" t="s">
        <v>10158</v>
      </c>
      <c r="E2219" t="s">
        <v>9990</v>
      </c>
      <c r="F2219" t="s">
        <v>9984</v>
      </c>
      <c r="G2219" t="s">
        <v>9985</v>
      </c>
      <c r="H2219">
        <v>77.429665</v>
      </c>
      <c r="I2219">
        <v>28.605771000000001</v>
      </c>
      <c r="J2219">
        <v>190</v>
      </c>
      <c r="R2219" t="s">
        <v>10158</v>
      </c>
      <c r="S2219">
        <v>201009</v>
      </c>
      <c r="U2219" t="s">
        <v>10159</v>
      </c>
    </row>
    <row r="2220" spans="1:21" x14ac:dyDescent="0.25">
      <c r="A2220" t="s">
        <v>10160</v>
      </c>
      <c r="B2220" t="s">
        <v>38</v>
      </c>
      <c r="C2220" t="s">
        <v>10161</v>
      </c>
      <c r="D2220">
        <f>91-731-4284927</f>
        <v>-4285567</v>
      </c>
      <c r="E2220" t="s">
        <v>10098</v>
      </c>
      <c r="F2220" t="s">
        <v>9984</v>
      </c>
      <c r="G2220" t="s">
        <v>9985</v>
      </c>
      <c r="H2220">
        <v>75.896500000000003</v>
      </c>
      <c r="I2220">
        <v>22.7501</v>
      </c>
      <c r="J2220">
        <v>190</v>
      </c>
      <c r="K2220" t="s">
        <v>2229</v>
      </c>
      <c r="L2220" t="s">
        <v>2229</v>
      </c>
      <c r="M2220" t="s">
        <v>2229</v>
      </c>
      <c r="N2220" t="s">
        <v>2229</v>
      </c>
      <c r="O2220" t="s">
        <v>2229</v>
      </c>
      <c r="P2220" t="s">
        <v>2229</v>
      </c>
      <c r="Q2220" t="s">
        <v>2229</v>
      </c>
      <c r="R2220" t="s">
        <v>10161</v>
      </c>
      <c r="S2220" t="s">
        <v>10162</v>
      </c>
      <c r="U2220" t="s">
        <v>10163</v>
      </c>
    </row>
    <row r="2221" spans="1:21" x14ac:dyDescent="0.25">
      <c r="A2221" t="s">
        <v>10164</v>
      </c>
      <c r="B2221" t="s">
        <v>38</v>
      </c>
      <c r="C2221" t="s">
        <v>10165</v>
      </c>
      <c r="D2221">
        <f>91-11-40158748</f>
        <v>-40158668</v>
      </c>
      <c r="E2221" t="s">
        <v>9983</v>
      </c>
      <c r="F2221" t="s">
        <v>9984</v>
      </c>
      <c r="G2221" t="s">
        <v>9985</v>
      </c>
      <c r="H2221">
        <v>77.209021199999995</v>
      </c>
      <c r="I2221">
        <v>28.6139391</v>
      </c>
      <c r="J2221">
        <v>190</v>
      </c>
      <c r="K2221" t="s">
        <v>2229</v>
      </c>
      <c r="L2221" t="s">
        <v>2229</v>
      </c>
      <c r="M2221" t="s">
        <v>2229</v>
      </c>
      <c r="N2221" t="s">
        <v>2229</v>
      </c>
      <c r="O2221" t="s">
        <v>2229</v>
      </c>
      <c r="P2221" t="s">
        <v>2229</v>
      </c>
      <c r="Q2221" t="s">
        <v>2229</v>
      </c>
      <c r="R2221" t="s">
        <v>10165</v>
      </c>
      <c r="S2221" t="s">
        <v>10166</v>
      </c>
      <c r="U2221" t="s">
        <v>10167</v>
      </c>
    </row>
    <row r="2222" spans="1:21" x14ac:dyDescent="0.25">
      <c r="A2222" t="s">
        <v>10168</v>
      </c>
      <c r="B2222" t="s">
        <v>38</v>
      </c>
      <c r="C2222" t="s">
        <v>10169</v>
      </c>
      <c r="D2222">
        <f>91-6743561801</f>
        <v>-6743561710</v>
      </c>
      <c r="E2222" t="s">
        <v>10170</v>
      </c>
      <c r="F2222" t="s">
        <v>9984</v>
      </c>
      <c r="G2222" t="s">
        <v>9985</v>
      </c>
      <c r="H2222">
        <v>85.843485000000001</v>
      </c>
      <c r="I2222">
        <v>20.287355000000002</v>
      </c>
      <c r="J2222">
        <v>190</v>
      </c>
      <c r="K2222" t="s">
        <v>2229</v>
      </c>
      <c r="L2222" t="s">
        <v>2229</v>
      </c>
      <c r="M2222" t="s">
        <v>2229</v>
      </c>
      <c r="N2222" t="s">
        <v>2229</v>
      </c>
      <c r="O2222" t="s">
        <v>2229</v>
      </c>
      <c r="P2222" t="s">
        <v>2229</v>
      </c>
      <c r="Q2222" t="s">
        <v>2229</v>
      </c>
      <c r="R2222" t="s">
        <v>10170</v>
      </c>
      <c r="U2222" t="s">
        <v>10171</v>
      </c>
    </row>
    <row r="2223" spans="1:21" x14ac:dyDescent="0.25">
      <c r="A2223" t="s">
        <v>10172</v>
      </c>
      <c r="B2223" t="s">
        <v>38</v>
      </c>
      <c r="C2223" t="s">
        <v>10173</v>
      </c>
      <c r="D2223">
        <f>91-484-4863672</f>
        <v>-4864065</v>
      </c>
      <c r="E2223" t="s">
        <v>10174</v>
      </c>
      <c r="F2223" t="s">
        <v>9984</v>
      </c>
      <c r="G2223" t="s">
        <v>9985</v>
      </c>
      <c r="H2223">
        <v>76.312299999999993</v>
      </c>
      <c r="I2223">
        <v>10.0146</v>
      </c>
      <c r="J2223">
        <v>190</v>
      </c>
      <c r="K2223" t="s">
        <v>45</v>
      </c>
      <c r="L2223" t="s">
        <v>45</v>
      </c>
      <c r="M2223" t="s">
        <v>45</v>
      </c>
      <c r="N2223" t="s">
        <v>45</v>
      </c>
      <c r="O2223" t="s">
        <v>45</v>
      </c>
      <c r="P2223" t="s">
        <v>45</v>
      </c>
      <c r="Q2223" t="s">
        <v>45</v>
      </c>
      <c r="R2223" t="s">
        <v>10173</v>
      </c>
      <c r="U2223" t="s">
        <v>10175</v>
      </c>
    </row>
    <row r="2224" spans="1:21" x14ac:dyDescent="0.25">
      <c r="A2224" t="s">
        <v>10176</v>
      </c>
      <c r="B2224" t="s">
        <v>38</v>
      </c>
      <c r="C2224" t="s">
        <v>10177</v>
      </c>
      <c r="D2224">
        <f>91-161-4655119</f>
        <v>-4655189</v>
      </c>
      <c r="E2224" t="s">
        <v>10178</v>
      </c>
      <c r="F2224" t="s">
        <v>9984</v>
      </c>
      <c r="G2224" t="s">
        <v>9985</v>
      </c>
      <c r="H2224">
        <v>75.857299999999995</v>
      </c>
      <c r="I2224">
        <v>30.901</v>
      </c>
      <c r="J2224">
        <v>190</v>
      </c>
      <c r="K2224" t="s">
        <v>2229</v>
      </c>
      <c r="L2224" t="s">
        <v>2229</v>
      </c>
      <c r="M2224" t="s">
        <v>2229</v>
      </c>
      <c r="N2224" t="s">
        <v>2229</v>
      </c>
      <c r="O2224" t="s">
        <v>2229</v>
      </c>
      <c r="P2224" t="s">
        <v>2229</v>
      </c>
      <c r="Q2224" t="s">
        <v>2229</v>
      </c>
      <c r="R2224" t="s">
        <v>10179</v>
      </c>
      <c r="S2224" t="s">
        <v>10178</v>
      </c>
      <c r="U2224" t="s">
        <v>10180</v>
      </c>
    </row>
    <row r="2225" spans="1:21" x14ac:dyDescent="0.25">
      <c r="A2225" t="s">
        <v>10181</v>
      </c>
      <c r="B2225" t="s">
        <v>38</v>
      </c>
      <c r="C2225" t="s">
        <v>10182</v>
      </c>
      <c r="D2225">
        <f>91-181-4010757</f>
        <v>-4010847</v>
      </c>
      <c r="E2225" t="s">
        <v>10183</v>
      </c>
      <c r="F2225" t="s">
        <v>9984</v>
      </c>
      <c r="G2225" t="s">
        <v>9985</v>
      </c>
      <c r="H2225">
        <v>75.576179999999994</v>
      </c>
      <c r="I2225">
        <v>31.326015000000002</v>
      </c>
      <c r="J2225">
        <v>190</v>
      </c>
      <c r="K2225" t="s">
        <v>2229</v>
      </c>
      <c r="L2225" t="s">
        <v>2229</v>
      </c>
      <c r="M2225" t="s">
        <v>2229</v>
      </c>
      <c r="N2225" t="s">
        <v>2229</v>
      </c>
      <c r="O2225" t="s">
        <v>2229</v>
      </c>
      <c r="P2225" t="s">
        <v>2229</v>
      </c>
      <c r="Q2225" t="s">
        <v>2229</v>
      </c>
      <c r="R2225" t="s">
        <v>10184</v>
      </c>
      <c r="U2225" t="s">
        <v>10185</v>
      </c>
    </row>
    <row r="2226" spans="1:21" x14ac:dyDescent="0.25">
      <c r="A2226" t="s">
        <v>10186</v>
      </c>
      <c r="B2226" t="s">
        <v>38</v>
      </c>
      <c r="C2226" t="s">
        <v>10187</v>
      </c>
      <c r="D2226">
        <f>91-135-4010053</f>
        <v>-4010097</v>
      </c>
      <c r="E2226" t="s">
        <v>10188</v>
      </c>
      <c r="F2226" t="s">
        <v>9984</v>
      </c>
      <c r="G2226" t="s">
        <v>9985</v>
      </c>
      <c r="H2226">
        <v>78.068151499999999</v>
      </c>
      <c r="I2226">
        <v>30.3664381</v>
      </c>
      <c r="J2226">
        <v>190</v>
      </c>
      <c r="K2226" t="s">
        <v>1501</v>
      </c>
      <c r="L2226" t="s">
        <v>1501</v>
      </c>
      <c r="M2226" t="s">
        <v>1501</v>
      </c>
      <c r="N2226" t="s">
        <v>1501</v>
      </c>
      <c r="O2226" t="s">
        <v>1501</v>
      </c>
      <c r="P2226" t="s">
        <v>1501</v>
      </c>
      <c r="Q2226" t="s">
        <v>1501</v>
      </c>
      <c r="R2226" t="s">
        <v>10187</v>
      </c>
      <c r="S2226" t="s">
        <v>10189</v>
      </c>
      <c r="U2226" t="s">
        <v>10190</v>
      </c>
    </row>
    <row r="2227" spans="1:21" x14ac:dyDescent="0.25">
      <c r="A2227" t="s">
        <v>10191</v>
      </c>
      <c r="B2227" t="s">
        <v>22</v>
      </c>
      <c r="C2227" t="s">
        <v>10192</v>
      </c>
      <c r="D2227">
        <f>91-40-68218354</f>
        <v>-68218303</v>
      </c>
      <c r="E2227" t="s">
        <v>10050</v>
      </c>
      <c r="F2227" t="s">
        <v>9984</v>
      </c>
      <c r="G2227" t="s">
        <v>9985</v>
      </c>
      <c r="H2227">
        <v>78.376000000000005</v>
      </c>
      <c r="I2227">
        <v>17.464700000000001</v>
      </c>
      <c r="J2227">
        <v>190</v>
      </c>
      <c r="K2227" t="s">
        <v>2229</v>
      </c>
      <c r="L2227" t="s">
        <v>2229</v>
      </c>
      <c r="M2227" t="s">
        <v>2229</v>
      </c>
      <c r="N2227" t="s">
        <v>2229</v>
      </c>
      <c r="O2227" t="s">
        <v>2229</v>
      </c>
      <c r="P2227" t="s">
        <v>2229</v>
      </c>
      <c r="Q2227" t="s">
        <v>2229</v>
      </c>
      <c r="R2227" t="s">
        <v>10192</v>
      </c>
      <c r="U2227" t="s">
        <v>10193</v>
      </c>
    </row>
    <row r="2228" spans="1:21" x14ac:dyDescent="0.25">
      <c r="A2228" t="s">
        <v>10194</v>
      </c>
      <c r="B2228" t="s">
        <v>22</v>
      </c>
      <c r="C2228" t="s">
        <v>10195</v>
      </c>
      <c r="D2228">
        <f>91-5226789080</f>
        <v>-5226788989</v>
      </c>
      <c r="E2228" t="s">
        <v>10196</v>
      </c>
      <c r="F2228" t="s">
        <v>9984</v>
      </c>
      <c r="G2228" t="s">
        <v>9985</v>
      </c>
      <c r="H2228">
        <v>81.013328999999999</v>
      </c>
      <c r="I2228">
        <v>26.809733000000001</v>
      </c>
      <c r="J2228">
        <v>190</v>
      </c>
      <c r="K2228" t="s">
        <v>2229</v>
      </c>
      <c r="L2228" t="s">
        <v>2229</v>
      </c>
      <c r="M2228" t="s">
        <v>2229</v>
      </c>
      <c r="N2228" t="s">
        <v>2229</v>
      </c>
      <c r="O2228" t="s">
        <v>2229</v>
      </c>
      <c r="P2228" t="s">
        <v>2229</v>
      </c>
      <c r="Q2228" t="s">
        <v>2229</v>
      </c>
      <c r="R2228" t="s">
        <v>10197</v>
      </c>
      <c r="S2228" t="s">
        <v>10196</v>
      </c>
      <c r="U2228" t="s">
        <v>10198</v>
      </c>
    </row>
    <row r="2229" spans="1:21" x14ac:dyDescent="0.25">
      <c r="A2229" t="s">
        <v>10199</v>
      </c>
      <c r="B2229" t="s">
        <v>22</v>
      </c>
      <c r="C2229" t="s">
        <v>10200</v>
      </c>
      <c r="D2229">
        <f>354-4630000</f>
        <v>-4629646</v>
      </c>
      <c r="E2229" t="s">
        <v>10201</v>
      </c>
      <c r="F2229" t="s">
        <v>10202</v>
      </c>
      <c r="G2229" t="s">
        <v>10203</v>
      </c>
      <c r="H2229">
        <v>-21.893657000000001</v>
      </c>
      <c r="I2229">
        <v>64.129367000000002</v>
      </c>
      <c r="J2229">
        <v>85</v>
      </c>
      <c r="K2229" t="s">
        <v>745</v>
      </c>
      <c r="L2229" t="s">
        <v>745</v>
      </c>
      <c r="M2229" t="s">
        <v>745</v>
      </c>
      <c r="N2229" t="s">
        <v>745</v>
      </c>
      <c r="O2229" t="s">
        <v>745</v>
      </c>
      <c r="P2229" t="s">
        <v>428</v>
      </c>
      <c r="Q2229" t="s">
        <v>8232</v>
      </c>
      <c r="R2229" t="s">
        <v>10200</v>
      </c>
      <c r="U2229" t="s">
        <v>10204</v>
      </c>
    </row>
    <row r="2230" spans="1:21" x14ac:dyDescent="0.25">
      <c r="A2230" t="s">
        <v>10205</v>
      </c>
      <c r="B2230" t="s">
        <v>32</v>
      </c>
      <c r="C2230" t="s">
        <v>10206</v>
      </c>
      <c r="D2230">
        <f>354-4630010</f>
        <v>-4629656</v>
      </c>
      <c r="E2230" t="s">
        <v>10201</v>
      </c>
      <c r="F2230" t="s">
        <v>10202</v>
      </c>
      <c r="G2230" t="s">
        <v>10203</v>
      </c>
      <c r="H2230">
        <v>-21.883460399999901</v>
      </c>
      <c r="I2230">
        <v>64.101032699999905</v>
      </c>
      <c r="J2230">
        <v>85</v>
      </c>
      <c r="K2230" t="s">
        <v>717</v>
      </c>
      <c r="L2230" t="s">
        <v>717</v>
      </c>
      <c r="M2230" t="s">
        <v>717</v>
      </c>
      <c r="N2230" t="s">
        <v>717</v>
      </c>
      <c r="O2230" t="s">
        <v>717</v>
      </c>
      <c r="P2230" t="s">
        <v>1034</v>
      </c>
      <c r="Q2230" t="s">
        <v>1289</v>
      </c>
      <c r="R2230" t="s">
        <v>10207</v>
      </c>
      <c r="U2230" t="s">
        <v>10208</v>
      </c>
    </row>
    <row r="2231" spans="1:21" x14ac:dyDescent="0.25">
      <c r="A2231" t="s">
        <v>10209</v>
      </c>
      <c r="B2231" t="s">
        <v>22</v>
      </c>
      <c r="C2231" t="s">
        <v>10210</v>
      </c>
      <c r="D2231">
        <f>354-4630020</f>
        <v>-4629666</v>
      </c>
      <c r="E2231" t="s">
        <v>10201</v>
      </c>
      <c r="F2231" t="s">
        <v>10202</v>
      </c>
      <c r="G2231" t="s">
        <v>10203</v>
      </c>
      <c r="H2231">
        <v>-21.937221099999899</v>
      </c>
      <c r="I2231">
        <v>64.149399000000003</v>
      </c>
      <c r="J2231">
        <v>85</v>
      </c>
      <c r="K2231" t="s">
        <v>717</v>
      </c>
      <c r="L2231" t="s">
        <v>717</v>
      </c>
      <c r="M2231" t="s">
        <v>717</v>
      </c>
      <c r="N2231" t="s">
        <v>717</v>
      </c>
      <c r="O2231" t="s">
        <v>717</v>
      </c>
      <c r="P2231" t="s">
        <v>535</v>
      </c>
      <c r="Q2231" t="s">
        <v>8232</v>
      </c>
      <c r="R2231" t="s">
        <v>10211</v>
      </c>
      <c r="U2231" t="s">
        <v>10212</v>
      </c>
    </row>
    <row r="2232" spans="1:21" x14ac:dyDescent="0.25">
      <c r="A2232" t="s">
        <v>10213</v>
      </c>
      <c r="B2232" t="s">
        <v>38</v>
      </c>
      <c r="C2232" t="s">
        <v>10214</v>
      </c>
      <c r="D2232">
        <f>354-4630050</f>
        <v>-4629696</v>
      </c>
      <c r="E2232" t="s">
        <v>10215</v>
      </c>
      <c r="F2232" t="s">
        <v>10202</v>
      </c>
      <c r="G2232" t="s">
        <v>10203</v>
      </c>
      <c r="H2232">
        <v>-18.093830000000001</v>
      </c>
      <c r="I2232">
        <v>65.686459999999997</v>
      </c>
      <c r="J2232">
        <v>85</v>
      </c>
      <c r="K2232" t="s">
        <v>745</v>
      </c>
      <c r="L2232" t="s">
        <v>745</v>
      </c>
      <c r="M2232" t="s">
        <v>745</v>
      </c>
      <c r="N2232" t="s">
        <v>745</v>
      </c>
      <c r="O2232" t="s">
        <v>745</v>
      </c>
      <c r="P2232" t="s">
        <v>553</v>
      </c>
      <c r="Q2232" t="s">
        <v>10216</v>
      </c>
      <c r="R2232" t="s">
        <v>10217</v>
      </c>
      <c r="U2232" t="s">
        <v>10218</v>
      </c>
    </row>
    <row r="2233" spans="1:21" x14ac:dyDescent="0.25">
      <c r="A2233" t="s">
        <v>10219</v>
      </c>
      <c r="B2233" t="s">
        <v>22</v>
      </c>
      <c r="C2233" t="s">
        <v>10220</v>
      </c>
      <c r="D2233">
        <f>39-632832102</f>
        <v>-632832063</v>
      </c>
      <c r="E2233" t="s">
        <v>10221</v>
      </c>
      <c r="F2233" t="s">
        <v>10222</v>
      </c>
      <c r="G2233" t="s">
        <v>10223</v>
      </c>
      <c r="H2233">
        <v>45.563200000000002</v>
      </c>
      <c r="I2233">
        <v>9.0526999999999997</v>
      </c>
      <c r="J2233">
        <v>100</v>
      </c>
      <c r="K2233" t="s">
        <v>312</v>
      </c>
      <c r="L2233" t="s">
        <v>312</v>
      </c>
      <c r="M2233" t="s">
        <v>312</v>
      </c>
      <c r="N2233" t="s">
        <v>312</v>
      </c>
      <c r="O2233" t="s">
        <v>312</v>
      </c>
      <c r="P2233" t="s">
        <v>312</v>
      </c>
      <c r="Q2233" t="s">
        <v>312</v>
      </c>
      <c r="R2233" t="s">
        <v>10224</v>
      </c>
      <c r="T2233" t="s">
        <v>10225</v>
      </c>
      <c r="U2233" t="s">
        <v>10226</v>
      </c>
    </row>
    <row r="2234" spans="1:21" x14ac:dyDescent="0.25">
      <c r="A2234" t="s">
        <v>10227</v>
      </c>
      <c r="B2234" t="s">
        <v>22</v>
      </c>
      <c r="C2234" t="s">
        <v>10228</v>
      </c>
      <c r="D2234">
        <f>39-632832305</f>
        <v>-632832266</v>
      </c>
      <c r="E2234" t="s">
        <v>10229</v>
      </c>
      <c r="F2234" t="s">
        <v>10222</v>
      </c>
      <c r="G2234" t="s">
        <v>10223</v>
      </c>
      <c r="H2234">
        <v>9.6950483322143608</v>
      </c>
      <c r="I2234">
        <v>45.664221347607103</v>
      </c>
      <c r="J2234">
        <v>100</v>
      </c>
      <c r="K2234" t="s">
        <v>3543</v>
      </c>
      <c r="L2234" t="s">
        <v>3543</v>
      </c>
      <c r="M2234" t="s">
        <v>3543</v>
      </c>
      <c r="N2234" t="s">
        <v>3543</v>
      </c>
      <c r="O2234" t="s">
        <v>3543</v>
      </c>
      <c r="P2234" t="s">
        <v>3543</v>
      </c>
      <c r="Q2234" t="s">
        <v>3543</v>
      </c>
      <c r="R2234" t="s">
        <v>10230</v>
      </c>
      <c r="T2234" t="s">
        <v>10225</v>
      </c>
      <c r="U2234" t="s">
        <v>10231</v>
      </c>
    </row>
    <row r="2235" spans="1:21" x14ac:dyDescent="0.25">
      <c r="A2235" t="s">
        <v>10232</v>
      </c>
      <c r="B2235" t="s">
        <v>22</v>
      </c>
      <c r="C2235" t="s">
        <v>10233</v>
      </c>
      <c r="D2235">
        <f>39-632832306</f>
        <v>-632832267</v>
      </c>
      <c r="E2235" t="s">
        <v>10234</v>
      </c>
      <c r="F2235" t="s">
        <v>10222</v>
      </c>
      <c r="G2235" t="s">
        <v>10223</v>
      </c>
      <c r="H2235">
        <v>8.9357417821884209</v>
      </c>
      <c r="I2235">
        <v>44.406979239631099</v>
      </c>
      <c r="J2235">
        <v>100</v>
      </c>
      <c r="K2235" t="s">
        <v>7628</v>
      </c>
      <c r="L2235" t="s">
        <v>7628</v>
      </c>
      <c r="M2235" t="s">
        <v>7628</v>
      </c>
      <c r="N2235" t="s">
        <v>7628</v>
      </c>
      <c r="O2235" t="s">
        <v>7628</v>
      </c>
      <c r="P2235" t="s">
        <v>7628</v>
      </c>
      <c r="Q2235" t="s">
        <v>1189</v>
      </c>
      <c r="R2235" t="s">
        <v>10233</v>
      </c>
      <c r="T2235" t="s">
        <v>10235</v>
      </c>
      <c r="U2235" t="s">
        <v>10236</v>
      </c>
    </row>
    <row r="2236" spans="1:21" x14ac:dyDescent="0.25">
      <c r="A2236" t="s">
        <v>10237</v>
      </c>
      <c r="B2236" t="s">
        <v>38</v>
      </c>
      <c r="C2236" t="s">
        <v>10238</v>
      </c>
      <c r="D2236">
        <f>39-632832309</f>
        <v>-632832270</v>
      </c>
      <c r="E2236" t="s">
        <v>10239</v>
      </c>
      <c r="F2236" t="s">
        <v>10222</v>
      </c>
      <c r="G2236" t="s">
        <v>10223</v>
      </c>
      <c r="H2236">
        <v>9.0743637084960902</v>
      </c>
      <c r="I2236">
        <v>44.998735250844597</v>
      </c>
      <c r="J2236">
        <v>100</v>
      </c>
      <c r="K2236" t="s">
        <v>312</v>
      </c>
      <c r="L2236" t="s">
        <v>312</v>
      </c>
      <c r="M2236" t="s">
        <v>312</v>
      </c>
      <c r="N2236" t="s">
        <v>312</v>
      </c>
      <c r="O2236" t="s">
        <v>312</v>
      </c>
      <c r="P2236" t="s">
        <v>312</v>
      </c>
      <c r="Q2236" t="s">
        <v>312</v>
      </c>
      <c r="R2236" t="s">
        <v>10240</v>
      </c>
      <c r="T2236" t="s">
        <v>10225</v>
      </c>
      <c r="U2236" t="s">
        <v>10241</v>
      </c>
    </row>
    <row r="2237" spans="1:21" x14ac:dyDescent="0.25">
      <c r="A2237" t="s">
        <v>10242</v>
      </c>
      <c r="B2237" t="s">
        <v>32</v>
      </c>
      <c r="C2237" t="s">
        <v>10243</v>
      </c>
      <c r="D2237">
        <f>39-632832310</f>
        <v>-632832271</v>
      </c>
      <c r="E2237" t="s">
        <v>10244</v>
      </c>
      <c r="F2237" t="s">
        <v>10222</v>
      </c>
      <c r="G2237" t="s">
        <v>10223</v>
      </c>
      <c r="H2237">
        <v>11.342581808566999</v>
      </c>
      <c r="I2237">
        <v>44.495500891682497</v>
      </c>
      <c r="J2237">
        <v>100</v>
      </c>
      <c r="K2237" t="s">
        <v>1189</v>
      </c>
      <c r="L2237" t="s">
        <v>1189</v>
      </c>
      <c r="M2237" t="s">
        <v>1189</v>
      </c>
      <c r="N2237" t="s">
        <v>1189</v>
      </c>
      <c r="O2237" t="s">
        <v>1189</v>
      </c>
      <c r="P2237" t="s">
        <v>7628</v>
      </c>
      <c r="Q2237" t="s">
        <v>1189</v>
      </c>
      <c r="R2237" t="s">
        <v>10243</v>
      </c>
      <c r="T2237" t="s">
        <v>10245</v>
      </c>
      <c r="U2237" t="s">
        <v>10246</v>
      </c>
    </row>
    <row r="2238" spans="1:21" x14ac:dyDescent="0.25">
      <c r="A2238" t="s">
        <v>10247</v>
      </c>
      <c r="B2238" t="s">
        <v>22</v>
      </c>
      <c r="C2238" t="s">
        <v>10248</v>
      </c>
      <c r="D2238">
        <f>39-632832313</f>
        <v>-632832274</v>
      </c>
      <c r="E2238" t="s">
        <v>10249</v>
      </c>
      <c r="F2238" t="s">
        <v>10222</v>
      </c>
      <c r="G2238" t="s">
        <v>10223</v>
      </c>
      <c r="H2238">
        <v>11.854945421218799</v>
      </c>
      <c r="I2238">
        <v>45.377834583772803</v>
      </c>
      <c r="J2238">
        <v>100</v>
      </c>
      <c r="K2238" t="s">
        <v>1434</v>
      </c>
      <c r="L2238" t="s">
        <v>1434</v>
      </c>
      <c r="M2238" t="s">
        <v>1434</v>
      </c>
      <c r="N2238" t="s">
        <v>1434</v>
      </c>
      <c r="O2238" t="s">
        <v>1434</v>
      </c>
      <c r="P2238" t="s">
        <v>1434</v>
      </c>
      <c r="Q2238" t="s">
        <v>1189</v>
      </c>
      <c r="R2238" t="s">
        <v>10250</v>
      </c>
      <c r="T2238" t="s">
        <v>3610</v>
      </c>
      <c r="U2238" t="s">
        <v>10251</v>
      </c>
    </row>
    <row r="2239" spans="1:21" x14ac:dyDescent="0.25">
      <c r="A2239" t="s">
        <v>10252</v>
      </c>
      <c r="B2239" t="s">
        <v>38</v>
      </c>
      <c r="C2239" t="s">
        <v>10253</v>
      </c>
      <c r="D2239">
        <f>39-632832314</f>
        <v>-632832275</v>
      </c>
      <c r="E2239" t="s">
        <v>10254</v>
      </c>
      <c r="F2239" t="s">
        <v>10222</v>
      </c>
      <c r="G2239" t="s">
        <v>10223</v>
      </c>
      <c r="H2239">
        <v>10.341338199999999</v>
      </c>
      <c r="I2239">
        <v>44.799611200000001</v>
      </c>
      <c r="J2239">
        <v>100</v>
      </c>
      <c r="K2239" t="s">
        <v>1434</v>
      </c>
      <c r="L2239" t="s">
        <v>1434</v>
      </c>
      <c r="M2239" t="s">
        <v>1434</v>
      </c>
      <c r="N2239" t="s">
        <v>1434</v>
      </c>
      <c r="O2239" t="s">
        <v>1434</v>
      </c>
      <c r="P2239" t="s">
        <v>1434</v>
      </c>
      <c r="Q2239" t="s">
        <v>45</v>
      </c>
      <c r="R2239" t="s">
        <v>10255</v>
      </c>
      <c r="T2239" t="s">
        <v>10245</v>
      </c>
      <c r="U2239" t="s">
        <v>10256</v>
      </c>
    </row>
    <row r="2240" spans="1:21" x14ac:dyDescent="0.25">
      <c r="A2240" t="s">
        <v>10257</v>
      </c>
      <c r="B2240" t="s">
        <v>22</v>
      </c>
      <c r="C2240" t="s">
        <v>10258</v>
      </c>
      <c r="D2240">
        <f>39-632832315</f>
        <v>-632832276</v>
      </c>
      <c r="E2240" t="s">
        <v>10259</v>
      </c>
      <c r="F2240" t="s">
        <v>10222</v>
      </c>
      <c r="G2240" t="s">
        <v>10223</v>
      </c>
      <c r="H2240">
        <v>12.661571502685501</v>
      </c>
      <c r="I2240">
        <v>41.915180000855599</v>
      </c>
      <c r="J2240">
        <v>100</v>
      </c>
      <c r="K2240" t="s">
        <v>536</v>
      </c>
      <c r="L2240" t="s">
        <v>536</v>
      </c>
      <c r="M2240" t="s">
        <v>536</v>
      </c>
      <c r="N2240" t="s">
        <v>536</v>
      </c>
      <c r="O2240" t="s">
        <v>536</v>
      </c>
      <c r="P2240" t="s">
        <v>536</v>
      </c>
      <c r="Q2240" t="s">
        <v>536</v>
      </c>
      <c r="R2240" t="s">
        <v>10260</v>
      </c>
      <c r="T2240" t="s">
        <v>10261</v>
      </c>
      <c r="U2240" t="s">
        <v>10262</v>
      </c>
    </row>
    <row r="2241" spans="1:21" x14ac:dyDescent="0.25">
      <c r="A2241" t="s">
        <v>10263</v>
      </c>
      <c r="B2241" t="s">
        <v>38</v>
      </c>
      <c r="C2241" t="s">
        <v>10264</v>
      </c>
      <c r="D2241">
        <f>39-632832316</f>
        <v>-632832277</v>
      </c>
      <c r="E2241" t="s">
        <v>10265</v>
      </c>
      <c r="F2241" t="s">
        <v>10222</v>
      </c>
      <c r="G2241" t="s">
        <v>10223</v>
      </c>
      <c r="H2241">
        <v>9.1297030448913592</v>
      </c>
      <c r="I2241">
        <v>45.606066858903901</v>
      </c>
      <c r="J2241">
        <v>100</v>
      </c>
      <c r="K2241" t="s">
        <v>312</v>
      </c>
      <c r="L2241" t="s">
        <v>312</v>
      </c>
      <c r="M2241" t="s">
        <v>312</v>
      </c>
      <c r="N2241" t="s">
        <v>312</v>
      </c>
      <c r="O2241" t="s">
        <v>312</v>
      </c>
      <c r="P2241" t="s">
        <v>312</v>
      </c>
      <c r="Q2241" t="s">
        <v>312</v>
      </c>
      <c r="R2241" t="s">
        <v>10266</v>
      </c>
      <c r="T2241" t="s">
        <v>10225</v>
      </c>
      <c r="U2241" t="s">
        <v>10267</v>
      </c>
    </row>
    <row r="2242" spans="1:21" x14ac:dyDescent="0.25">
      <c r="A2242" t="s">
        <v>10268</v>
      </c>
      <c r="B2242" t="s">
        <v>22</v>
      </c>
      <c r="C2242" t="s">
        <v>10269</v>
      </c>
      <c r="D2242">
        <f>39-632832319</f>
        <v>-632832280</v>
      </c>
      <c r="E2242" t="s">
        <v>10270</v>
      </c>
      <c r="F2242" t="s">
        <v>10222</v>
      </c>
      <c r="G2242" t="s">
        <v>10223</v>
      </c>
      <c r="H2242">
        <v>13.181447982788001</v>
      </c>
      <c r="I2242">
        <v>46.084691663737203</v>
      </c>
      <c r="J2242">
        <v>100</v>
      </c>
      <c r="K2242" t="s">
        <v>1434</v>
      </c>
      <c r="L2242" t="s">
        <v>1434</v>
      </c>
      <c r="M2242" t="s">
        <v>1434</v>
      </c>
      <c r="N2242" t="s">
        <v>1434</v>
      </c>
      <c r="O2242" t="s">
        <v>2069</v>
      </c>
      <c r="P2242" t="s">
        <v>1434</v>
      </c>
      <c r="Q2242" t="s">
        <v>1434</v>
      </c>
      <c r="R2242" t="s">
        <v>10271</v>
      </c>
      <c r="T2242" t="s">
        <v>10272</v>
      </c>
      <c r="U2242" t="s">
        <v>10273</v>
      </c>
    </row>
    <row r="2243" spans="1:21" x14ac:dyDescent="0.25">
      <c r="A2243" t="s">
        <v>10274</v>
      </c>
      <c r="B2243" t="s">
        <v>38</v>
      </c>
      <c r="C2243" t="s">
        <v>10275</v>
      </c>
      <c r="D2243">
        <f>39-632832320</f>
        <v>-632832281</v>
      </c>
      <c r="E2243" t="s">
        <v>10276</v>
      </c>
      <c r="F2243" t="s">
        <v>10222</v>
      </c>
      <c r="G2243" t="s">
        <v>10223</v>
      </c>
      <c r="H2243">
        <v>9.4539177417755091</v>
      </c>
      <c r="I2243">
        <v>45.546127633970002</v>
      </c>
      <c r="J2243">
        <v>100</v>
      </c>
      <c r="K2243" t="s">
        <v>312</v>
      </c>
      <c r="L2243" t="s">
        <v>312</v>
      </c>
      <c r="M2243" t="s">
        <v>312</v>
      </c>
      <c r="N2243" t="s">
        <v>312</v>
      </c>
      <c r="O2243" t="s">
        <v>312</v>
      </c>
      <c r="P2243" t="s">
        <v>312</v>
      </c>
      <c r="Q2243" t="s">
        <v>312</v>
      </c>
      <c r="R2243" t="s">
        <v>10277</v>
      </c>
      <c r="T2243" t="s">
        <v>10225</v>
      </c>
      <c r="U2243" t="s">
        <v>10278</v>
      </c>
    </row>
    <row r="2244" spans="1:21" x14ac:dyDescent="0.25">
      <c r="A2244" t="s">
        <v>10279</v>
      </c>
      <c r="B2244" t="s">
        <v>38</v>
      </c>
      <c r="C2244" t="s">
        <v>10280</v>
      </c>
      <c r="D2244">
        <f>39-632832321</f>
        <v>-632832282</v>
      </c>
      <c r="E2244" t="s">
        <v>10281</v>
      </c>
      <c r="F2244" t="s">
        <v>10222</v>
      </c>
      <c r="G2244" t="s">
        <v>10223</v>
      </c>
      <c r="H2244">
        <v>8.8500689000000001</v>
      </c>
      <c r="I2244">
        <v>45.814033299999998</v>
      </c>
      <c r="J2244">
        <v>100</v>
      </c>
      <c r="K2244" t="s">
        <v>312</v>
      </c>
      <c r="L2244" t="s">
        <v>312</v>
      </c>
      <c r="M2244" t="s">
        <v>312</v>
      </c>
      <c r="N2244" t="s">
        <v>312</v>
      </c>
      <c r="O2244" t="s">
        <v>312</v>
      </c>
      <c r="P2244" t="s">
        <v>312</v>
      </c>
      <c r="Q2244" t="s">
        <v>312</v>
      </c>
      <c r="R2244" t="s">
        <v>10282</v>
      </c>
      <c r="T2244" t="s">
        <v>10225</v>
      </c>
      <c r="U2244" t="s">
        <v>10283</v>
      </c>
    </row>
    <row r="2245" spans="1:21" x14ac:dyDescent="0.25">
      <c r="A2245" t="s">
        <v>10284</v>
      </c>
      <c r="B2245" t="s">
        <v>22</v>
      </c>
      <c r="C2245" t="s">
        <v>10285</v>
      </c>
      <c r="D2245">
        <f>39-632832322</f>
        <v>-632832283</v>
      </c>
      <c r="E2245" t="s">
        <v>10286</v>
      </c>
      <c r="F2245" t="s">
        <v>10222</v>
      </c>
      <c r="G2245" t="s">
        <v>10223</v>
      </c>
      <c r="H2245">
        <v>10.5103405</v>
      </c>
      <c r="I2245">
        <v>45.429027499999997</v>
      </c>
      <c r="J2245">
        <v>100</v>
      </c>
      <c r="K2245" t="s">
        <v>3543</v>
      </c>
      <c r="L2245" t="s">
        <v>3543</v>
      </c>
      <c r="M2245" t="s">
        <v>3543</v>
      </c>
      <c r="N2245" t="s">
        <v>3543</v>
      </c>
      <c r="O2245" t="s">
        <v>3543</v>
      </c>
      <c r="P2245" t="s">
        <v>3543</v>
      </c>
      <c r="Q2245" t="s">
        <v>3543</v>
      </c>
      <c r="R2245" t="s">
        <v>10287</v>
      </c>
      <c r="T2245" t="s">
        <v>10225</v>
      </c>
      <c r="U2245" t="s">
        <v>10288</v>
      </c>
    </row>
    <row r="2246" spans="1:21" x14ac:dyDescent="0.25">
      <c r="A2246" t="s">
        <v>10289</v>
      </c>
      <c r="B2246" t="s">
        <v>32</v>
      </c>
      <c r="C2246" t="s">
        <v>10290</v>
      </c>
      <c r="D2246">
        <f>39-632832324</f>
        <v>-632832285</v>
      </c>
      <c r="E2246" t="s">
        <v>10259</v>
      </c>
      <c r="F2246" t="s">
        <v>10222</v>
      </c>
      <c r="G2246" t="s">
        <v>10223</v>
      </c>
      <c r="H2246">
        <v>12.538146100000001</v>
      </c>
      <c r="I2246">
        <v>41.976069500000001</v>
      </c>
      <c r="J2246">
        <v>100</v>
      </c>
      <c r="K2246" t="s">
        <v>536</v>
      </c>
      <c r="L2246" t="s">
        <v>536</v>
      </c>
      <c r="M2246" t="s">
        <v>536</v>
      </c>
      <c r="N2246" t="s">
        <v>536</v>
      </c>
      <c r="O2246" t="s">
        <v>536</v>
      </c>
      <c r="P2246" t="s">
        <v>536</v>
      </c>
      <c r="Q2246" t="s">
        <v>536</v>
      </c>
      <c r="R2246" t="s">
        <v>10291</v>
      </c>
      <c r="T2246" t="s">
        <v>10261</v>
      </c>
      <c r="U2246" t="s">
        <v>10292</v>
      </c>
    </row>
    <row r="2247" spans="1:21" x14ac:dyDescent="0.25">
      <c r="A2247" t="s">
        <v>10293</v>
      </c>
      <c r="B2247" t="s">
        <v>38</v>
      </c>
      <c r="C2247" t="s">
        <v>10294</v>
      </c>
      <c r="D2247">
        <f>39-632832325</f>
        <v>-632832286</v>
      </c>
      <c r="E2247" t="s">
        <v>10295</v>
      </c>
      <c r="F2247" t="s">
        <v>10222</v>
      </c>
      <c r="G2247" t="s">
        <v>10223</v>
      </c>
      <c r="H2247">
        <v>14.5283997058868</v>
      </c>
      <c r="I2247">
        <v>40.930577231241898</v>
      </c>
      <c r="J2247">
        <v>100</v>
      </c>
      <c r="K2247" t="s">
        <v>27</v>
      </c>
      <c r="L2247" t="s">
        <v>27</v>
      </c>
      <c r="M2247" t="s">
        <v>27</v>
      </c>
      <c r="N2247" t="s">
        <v>27</v>
      </c>
      <c r="O2247" t="s">
        <v>27</v>
      </c>
      <c r="P2247" t="s">
        <v>27</v>
      </c>
      <c r="Q2247" t="s">
        <v>27</v>
      </c>
      <c r="R2247" t="s">
        <v>10296</v>
      </c>
      <c r="T2247" t="s">
        <v>10297</v>
      </c>
      <c r="U2247" t="s">
        <v>10298</v>
      </c>
    </row>
    <row r="2248" spans="1:21" x14ac:dyDescent="0.25">
      <c r="A2248" t="s">
        <v>10299</v>
      </c>
      <c r="B2248" t="s">
        <v>38</v>
      </c>
      <c r="C2248" t="s">
        <v>10300</v>
      </c>
      <c r="D2248">
        <f>39-632832326</f>
        <v>-632832287</v>
      </c>
      <c r="E2248" t="s">
        <v>10301</v>
      </c>
      <c r="F2248" t="s">
        <v>10222</v>
      </c>
      <c r="G2248" t="s">
        <v>10223</v>
      </c>
      <c r="H2248">
        <v>16.946969032287601</v>
      </c>
      <c r="I2248">
        <v>41.082974204519402</v>
      </c>
      <c r="J2248">
        <v>100</v>
      </c>
      <c r="K2248" t="s">
        <v>312</v>
      </c>
      <c r="L2248" t="s">
        <v>312</v>
      </c>
      <c r="M2248" t="s">
        <v>312</v>
      </c>
      <c r="N2248" t="s">
        <v>312</v>
      </c>
      <c r="O2248" t="s">
        <v>312</v>
      </c>
      <c r="P2248" t="s">
        <v>312</v>
      </c>
      <c r="Q2248" t="s">
        <v>312</v>
      </c>
      <c r="R2248" t="s">
        <v>10302</v>
      </c>
      <c r="T2248" t="s">
        <v>10303</v>
      </c>
      <c r="U2248" t="s">
        <v>10304</v>
      </c>
    </row>
    <row r="2249" spans="1:21" x14ac:dyDescent="0.25">
      <c r="A2249" t="s">
        <v>10305</v>
      </c>
      <c r="B2249" t="s">
        <v>22</v>
      </c>
      <c r="C2249" t="s">
        <v>10306</v>
      </c>
      <c r="D2249">
        <f>39-632832328</f>
        <v>-632832289</v>
      </c>
      <c r="E2249" t="s">
        <v>10259</v>
      </c>
      <c r="F2249" t="s">
        <v>10222</v>
      </c>
      <c r="G2249" t="s">
        <v>10223</v>
      </c>
      <c r="H2249">
        <v>12.4617898</v>
      </c>
      <c r="I2249">
        <v>41.816506799999999</v>
      </c>
      <c r="J2249">
        <v>100</v>
      </c>
      <c r="K2249" t="s">
        <v>536</v>
      </c>
      <c r="L2249" t="s">
        <v>536</v>
      </c>
      <c r="M2249" t="s">
        <v>536</v>
      </c>
      <c r="N2249" t="s">
        <v>536</v>
      </c>
      <c r="O2249" t="s">
        <v>536</v>
      </c>
      <c r="P2249" t="s">
        <v>536</v>
      </c>
      <c r="Q2249" t="s">
        <v>536</v>
      </c>
      <c r="R2249" t="s">
        <v>10307</v>
      </c>
      <c r="T2249" t="s">
        <v>10261</v>
      </c>
      <c r="U2249" t="s">
        <v>10308</v>
      </c>
    </row>
    <row r="2250" spans="1:21" x14ac:dyDescent="0.25">
      <c r="A2250" t="s">
        <v>10309</v>
      </c>
      <c r="B2250" t="s">
        <v>38</v>
      </c>
      <c r="C2250" t="s">
        <v>10310</v>
      </c>
      <c r="D2250">
        <f>39-632832329</f>
        <v>-632832290</v>
      </c>
      <c r="E2250" t="s">
        <v>10311</v>
      </c>
      <c r="F2250" t="s">
        <v>10222</v>
      </c>
      <c r="G2250" t="s">
        <v>10223</v>
      </c>
      <c r="H2250">
        <v>9.4747209548950195</v>
      </c>
      <c r="I2250">
        <v>45.621241455802299</v>
      </c>
      <c r="J2250">
        <v>100</v>
      </c>
      <c r="K2250" t="s">
        <v>3543</v>
      </c>
      <c r="L2250" t="s">
        <v>3543</v>
      </c>
      <c r="M2250" t="s">
        <v>3543</v>
      </c>
      <c r="N2250" t="s">
        <v>3543</v>
      </c>
      <c r="O2250" t="s">
        <v>3543</v>
      </c>
      <c r="P2250" t="s">
        <v>3543</v>
      </c>
      <c r="Q2250" t="s">
        <v>312</v>
      </c>
      <c r="R2250" t="s">
        <v>10312</v>
      </c>
      <c r="T2250" t="s">
        <v>10225</v>
      </c>
      <c r="U2250" t="s">
        <v>10313</v>
      </c>
    </row>
    <row r="2251" spans="1:21" x14ac:dyDescent="0.25">
      <c r="A2251" t="s">
        <v>10314</v>
      </c>
      <c r="B2251" t="s">
        <v>22</v>
      </c>
      <c r="C2251" t="s">
        <v>10315</v>
      </c>
      <c r="D2251">
        <f>39-632832331</f>
        <v>-632832292</v>
      </c>
      <c r="E2251" t="s">
        <v>10316</v>
      </c>
      <c r="F2251" t="s">
        <v>10222</v>
      </c>
      <c r="G2251" t="s">
        <v>10223</v>
      </c>
      <c r="H2251">
        <v>13.7746966</v>
      </c>
      <c r="I2251">
        <v>45.649648300000003</v>
      </c>
      <c r="J2251">
        <v>100</v>
      </c>
      <c r="K2251" t="s">
        <v>165</v>
      </c>
      <c r="L2251" t="s">
        <v>165</v>
      </c>
      <c r="M2251" t="s">
        <v>165</v>
      </c>
      <c r="N2251" t="s">
        <v>165</v>
      </c>
      <c r="O2251" t="s">
        <v>165</v>
      </c>
      <c r="P2251" t="s">
        <v>192</v>
      </c>
      <c r="Q2251" t="s">
        <v>535</v>
      </c>
      <c r="R2251" t="s">
        <v>10315</v>
      </c>
      <c r="T2251" t="s">
        <v>10272</v>
      </c>
      <c r="U2251" t="s">
        <v>10317</v>
      </c>
    </row>
    <row r="2252" spans="1:21" x14ac:dyDescent="0.25">
      <c r="A2252" t="s">
        <v>10318</v>
      </c>
      <c r="B2252" t="s">
        <v>32</v>
      </c>
      <c r="C2252" t="s">
        <v>10319</v>
      </c>
      <c r="D2252">
        <f>39-632832332</f>
        <v>-632832293</v>
      </c>
      <c r="E2252" t="s">
        <v>10320</v>
      </c>
      <c r="F2252" t="s">
        <v>10222</v>
      </c>
      <c r="G2252" t="s">
        <v>10223</v>
      </c>
      <c r="H2252">
        <v>14.327158927917401</v>
      </c>
      <c r="I2252">
        <v>41.004257239797099</v>
      </c>
      <c r="J2252">
        <v>100</v>
      </c>
      <c r="K2252" t="s">
        <v>27</v>
      </c>
      <c r="L2252" t="s">
        <v>27</v>
      </c>
      <c r="M2252" t="s">
        <v>27</v>
      </c>
      <c r="N2252" t="s">
        <v>27</v>
      </c>
      <c r="O2252" t="s">
        <v>27</v>
      </c>
      <c r="P2252" t="s">
        <v>27</v>
      </c>
      <c r="Q2252" t="s">
        <v>27</v>
      </c>
      <c r="R2252" t="s">
        <v>10321</v>
      </c>
      <c r="T2252" t="s">
        <v>10297</v>
      </c>
      <c r="U2252" t="s">
        <v>10322</v>
      </c>
    </row>
    <row r="2253" spans="1:21" x14ac:dyDescent="0.25">
      <c r="A2253" t="s">
        <v>10323</v>
      </c>
      <c r="B2253" t="s">
        <v>22</v>
      </c>
      <c r="C2253" t="s">
        <v>10324</v>
      </c>
      <c r="D2253">
        <f>39-632832333</f>
        <v>-632832294</v>
      </c>
      <c r="E2253" t="s">
        <v>10259</v>
      </c>
      <c r="F2253" t="s">
        <v>10222</v>
      </c>
      <c r="G2253" t="s">
        <v>10223</v>
      </c>
      <c r="H2253">
        <v>12.3000741004943</v>
      </c>
      <c r="I2253">
        <v>41.810651818408601</v>
      </c>
      <c r="J2253">
        <v>100</v>
      </c>
      <c r="K2253" t="s">
        <v>536</v>
      </c>
      <c r="L2253" t="s">
        <v>536</v>
      </c>
      <c r="M2253" t="s">
        <v>536</v>
      </c>
      <c r="N2253" t="s">
        <v>536</v>
      </c>
      <c r="O2253" t="s">
        <v>536</v>
      </c>
      <c r="P2253" t="s">
        <v>536</v>
      </c>
      <c r="Q2253" t="s">
        <v>536</v>
      </c>
      <c r="R2253" t="s">
        <v>10324</v>
      </c>
      <c r="S2253" t="s">
        <v>10325</v>
      </c>
      <c r="T2253" t="s">
        <v>10261</v>
      </c>
      <c r="U2253" t="s">
        <v>10326</v>
      </c>
    </row>
    <row r="2254" spans="1:21" x14ac:dyDescent="0.25">
      <c r="A2254" t="s">
        <v>10327</v>
      </c>
      <c r="B2254" t="s">
        <v>38</v>
      </c>
      <c r="C2254" t="s">
        <v>10328</v>
      </c>
      <c r="D2254">
        <f>39-632832335</f>
        <v>-632832296</v>
      </c>
      <c r="E2254" t="s">
        <v>10329</v>
      </c>
      <c r="F2254" t="s">
        <v>10222</v>
      </c>
      <c r="G2254" t="s">
        <v>10223</v>
      </c>
      <c r="H2254">
        <v>16.6487503051757</v>
      </c>
      <c r="I2254">
        <v>38.843986129756601</v>
      </c>
      <c r="J2254">
        <v>100</v>
      </c>
      <c r="K2254" t="s">
        <v>312</v>
      </c>
      <c r="L2254" t="s">
        <v>312</v>
      </c>
      <c r="M2254" t="s">
        <v>312</v>
      </c>
      <c r="N2254" t="s">
        <v>312</v>
      </c>
      <c r="O2254" t="s">
        <v>312</v>
      </c>
      <c r="P2254" t="s">
        <v>312</v>
      </c>
      <c r="Q2254" t="s">
        <v>312</v>
      </c>
      <c r="R2254" t="s">
        <v>10330</v>
      </c>
      <c r="T2254" t="s">
        <v>10331</v>
      </c>
      <c r="U2254" t="s">
        <v>10332</v>
      </c>
    </row>
    <row r="2255" spans="1:21" x14ac:dyDescent="0.25">
      <c r="A2255" t="s">
        <v>10333</v>
      </c>
      <c r="B2255" t="s">
        <v>22</v>
      </c>
      <c r="C2255" t="s">
        <v>10334</v>
      </c>
      <c r="D2255">
        <f>39-632832336</f>
        <v>-632832297</v>
      </c>
      <c r="E2255" t="s">
        <v>10335</v>
      </c>
      <c r="F2255" t="s">
        <v>10222</v>
      </c>
      <c r="G2255" t="s">
        <v>10223</v>
      </c>
      <c r="H2255">
        <v>11.164813041686999</v>
      </c>
      <c r="I2255">
        <v>46.671084695743303</v>
      </c>
      <c r="J2255">
        <v>100</v>
      </c>
      <c r="K2255" t="s">
        <v>165</v>
      </c>
      <c r="L2255" t="s">
        <v>165</v>
      </c>
      <c r="M2255" t="s">
        <v>165</v>
      </c>
      <c r="N2255" t="s">
        <v>165</v>
      </c>
      <c r="O2255" t="s">
        <v>165</v>
      </c>
      <c r="P2255" t="s">
        <v>165</v>
      </c>
      <c r="Q2255" t="s">
        <v>535</v>
      </c>
      <c r="R2255" t="s">
        <v>10334</v>
      </c>
      <c r="T2255" t="s">
        <v>10336</v>
      </c>
      <c r="U2255" t="s">
        <v>10337</v>
      </c>
    </row>
    <row r="2256" spans="1:21" x14ac:dyDescent="0.25">
      <c r="A2256" t="s">
        <v>10338</v>
      </c>
      <c r="B2256" t="s">
        <v>22</v>
      </c>
      <c r="C2256" t="s">
        <v>10339</v>
      </c>
      <c r="D2256">
        <f>39-632832337</f>
        <v>-632832298</v>
      </c>
      <c r="E2256" t="s">
        <v>10301</v>
      </c>
      <c r="F2256" t="s">
        <v>10222</v>
      </c>
      <c r="G2256" t="s">
        <v>10223</v>
      </c>
      <c r="H2256">
        <v>16.8695068359375</v>
      </c>
      <c r="I2256">
        <v>41.125198788510602</v>
      </c>
      <c r="J2256">
        <v>100</v>
      </c>
      <c r="K2256" t="s">
        <v>536</v>
      </c>
      <c r="L2256" t="s">
        <v>536</v>
      </c>
      <c r="M2256" t="s">
        <v>536</v>
      </c>
      <c r="N2256" t="s">
        <v>536</v>
      </c>
      <c r="O2256" t="s">
        <v>536</v>
      </c>
      <c r="P2256" t="s">
        <v>536</v>
      </c>
      <c r="Q2256" t="s">
        <v>536</v>
      </c>
      <c r="R2256" t="s">
        <v>10339</v>
      </c>
      <c r="T2256" t="s">
        <v>10303</v>
      </c>
      <c r="U2256" t="s">
        <v>10340</v>
      </c>
    </row>
    <row r="2257" spans="1:21" x14ac:dyDescent="0.25">
      <c r="A2257" t="s">
        <v>10341</v>
      </c>
      <c r="B2257" t="s">
        <v>22</v>
      </c>
      <c r="C2257" t="s">
        <v>10342</v>
      </c>
      <c r="D2257">
        <f>39-632832339</f>
        <v>-632832300</v>
      </c>
      <c r="E2257" t="s">
        <v>10221</v>
      </c>
      <c r="F2257" t="s">
        <v>10222</v>
      </c>
      <c r="G2257" t="s">
        <v>10223</v>
      </c>
      <c r="H2257">
        <v>8.9492960000000004</v>
      </c>
      <c r="I2257">
        <v>45.478812300000001</v>
      </c>
      <c r="J2257">
        <v>100</v>
      </c>
      <c r="K2257" t="s">
        <v>312</v>
      </c>
      <c r="L2257" t="s">
        <v>312</v>
      </c>
      <c r="M2257" t="s">
        <v>312</v>
      </c>
      <c r="N2257" t="s">
        <v>312</v>
      </c>
      <c r="O2257" t="s">
        <v>312</v>
      </c>
      <c r="P2257" t="s">
        <v>312</v>
      </c>
      <c r="Q2257" t="s">
        <v>312</v>
      </c>
      <c r="R2257" t="s">
        <v>10343</v>
      </c>
      <c r="T2257" t="s">
        <v>10225</v>
      </c>
      <c r="U2257" t="s">
        <v>10344</v>
      </c>
    </row>
    <row r="2258" spans="1:21" x14ac:dyDescent="0.25">
      <c r="A2258" t="s">
        <v>10345</v>
      </c>
      <c r="B2258" t="s">
        <v>22</v>
      </c>
      <c r="C2258" t="s">
        <v>10346</v>
      </c>
      <c r="D2258">
        <f>39-632832341</f>
        <v>-632832302</v>
      </c>
      <c r="E2258" t="s">
        <v>10347</v>
      </c>
      <c r="F2258" t="s">
        <v>10222</v>
      </c>
      <c r="G2258" t="s">
        <v>10223</v>
      </c>
      <c r="H2258">
        <v>13.357582799999999</v>
      </c>
      <c r="I2258">
        <v>38.121578100000001</v>
      </c>
      <c r="J2258">
        <v>100</v>
      </c>
      <c r="K2258" t="s">
        <v>2068</v>
      </c>
      <c r="L2258" t="s">
        <v>184</v>
      </c>
      <c r="M2258" t="s">
        <v>290</v>
      </c>
      <c r="N2258" t="s">
        <v>290</v>
      </c>
      <c r="O2258" t="s">
        <v>290</v>
      </c>
      <c r="P2258" t="s">
        <v>290</v>
      </c>
      <c r="Q2258" t="s">
        <v>536</v>
      </c>
      <c r="R2258" t="s">
        <v>10346</v>
      </c>
      <c r="T2258" t="s">
        <v>10348</v>
      </c>
      <c r="U2258" t="s">
        <v>10349</v>
      </c>
    </row>
    <row r="2259" spans="1:21" x14ac:dyDescent="0.25">
      <c r="A2259" t="s">
        <v>10350</v>
      </c>
      <c r="B2259" t="s">
        <v>38</v>
      </c>
      <c r="C2259" t="s">
        <v>10351</v>
      </c>
      <c r="D2259">
        <f>39-632832342</f>
        <v>-632832303</v>
      </c>
      <c r="E2259" t="s">
        <v>10352</v>
      </c>
      <c r="F2259" t="s">
        <v>10222</v>
      </c>
      <c r="G2259" t="s">
        <v>10223</v>
      </c>
      <c r="H2259">
        <v>13.7596035003662</v>
      </c>
      <c r="I2259">
        <v>42.690542713906602</v>
      </c>
      <c r="J2259">
        <v>100</v>
      </c>
      <c r="K2259" t="s">
        <v>312</v>
      </c>
      <c r="L2259" t="s">
        <v>312</v>
      </c>
      <c r="M2259" t="s">
        <v>312</v>
      </c>
      <c r="N2259" t="s">
        <v>312</v>
      </c>
      <c r="O2259" t="s">
        <v>312</v>
      </c>
      <c r="P2259" t="s">
        <v>312</v>
      </c>
      <c r="Q2259" t="s">
        <v>312</v>
      </c>
      <c r="R2259" t="s">
        <v>10353</v>
      </c>
      <c r="T2259" t="s">
        <v>10354</v>
      </c>
      <c r="U2259" t="s">
        <v>10355</v>
      </c>
    </row>
    <row r="2260" spans="1:21" x14ac:dyDescent="0.25">
      <c r="A2260" t="s">
        <v>10356</v>
      </c>
      <c r="B2260" t="s">
        <v>22</v>
      </c>
      <c r="C2260" t="s">
        <v>10357</v>
      </c>
      <c r="D2260">
        <f>39-632832345</f>
        <v>-632832306</v>
      </c>
      <c r="E2260" t="s">
        <v>10358</v>
      </c>
      <c r="F2260" t="s">
        <v>10222</v>
      </c>
      <c r="G2260" t="s">
        <v>10223</v>
      </c>
      <c r="H2260">
        <v>9.3299031257629395</v>
      </c>
      <c r="I2260">
        <v>45.545432605263102</v>
      </c>
      <c r="J2260">
        <v>100</v>
      </c>
      <c r="K2260" t="s">
        <v>3543</v>
      </c>
      <c r="L2260" t="s">
        <v>3543</v>
      </c>
      <c r="M2260" t="s">
        <v>3543</v>
      </c>
      <c r="N2260" t="s">
        <v>3543</v>
      </c>
      <c r="O2260" t="s">
        <v>3543</v>
      </c>
      <c r="P2260" t="s">
        <v>1652</v>
      </c>
      <c r="Q2260" t="s">
        <v>7628</v>
      </c>
      <c r="R2260" t="s">
        <v>10359</v>
      </c>
      <c r="T2260" t="s">
        <v>10225</v>
      </c>
      <c r="U2260" t="s">
        <v>10360</v>
      </c>
    </row>
    <row r="2261" spans="1:21" x14ac:dyDescent="0.25">
      <c r="A2261" t="s">
        <v>10361</v>
      </c>
      <c r="B2261" t="s">
        <v>38</v>
      </c>
      <c r="C2261" t="s">
        <v>10362</v>
      </c>
      <c r="D2261">
        <f>39-632832346</f>
        <v>-632832307</v>
      </c>
      <c r="E2261" t="s">
        <v>10363</v>
      </c>
      <c r="F2261" t="s">
        <v>10222</v>
      </c>
      <c r="G2261" t="s">
        <v>10223</v>
      </c>
      <c r="H2261">
        <v>9.2466259002685494</v>
      </c>
      <c r="I2261">
        <v>45.591068342741799</v>
      </c>
      <c r="J2261">
        <v>100</v>
      </c>
      <c r="K2261" t="s">
        <v>7628</v>
      </c>
      <c r="L2261" t="s">
        <v>7628</v>
      </c>
      <c r="M2261" t="s">
        <v>7628</v>
      </c>
      <c r="N2261" t="s">
        <v>7628</v>
      </c>
      <c r="O2261" t="s">
        <v>7628</v>
      </c>
      <c r="P2261" t="s">
        <v>7628</v>
      </c>
      <c r="Q2261" t="s">
        <v>192</v>
      </c>
      <c r="R2261" t="s">
        <v>10364</v>
      </c>
      <c r="T2261" t="s">
        <v>10225</v>
      </c>
      <c r="U2261" t="s">
        <v>10365</v>
      </c>
    </row>
    <row r="2262" spans="1:21" x14ac:dyDescent="0.25">
      <c r="A2262" t="s">
        <v>10366</v>
      </c>
      <c r="B2262" t="s">
        <v>22</v>
      </c>
      <c r="C2262" t="s">
        <v>10367</v>
      </c>
      <c r="D2262">
        <f>39-632832349</f>
        <v>-632832310</v>
      </c>
      <c r="E2262" t="s">
        <v>10368</v>
      </c>
      <c r="F2262" t="s">
        <v>10222</v>
      </c>
      <c r="G2262" t="s">
        <v>10223</v>
      </c>
      <c r="H2262">
        <v>11.6047489643096</v>
      </c>
      <c r="I2262">
        <v>44.815948958974701</v>
      </c>
      <c r="J2262">
        <v>100</v>
      </c>
      <c r="K2262" t="s">
        <v>10369</v>
      </c>
      <c r="L2262" t="s">
        <v>10369</v>
      </c>
      <c r="M2262" t="s">
        <v>10369</v>
      </c>
      <c r="N2262" t="s">
        <v>10369</v>
      </c>
      <c r="O2262" t="s">
        <v>10369</v>
      </c>
      <c r="P2262" t="s">
        <v>10369</v>
      </c>
      <c r="Q2262" t="s">
        <v>312</v>
      </c>
      <c r="R2262" t="s">
        <v>10370</v>
      </c>
      <c r="T2262" t="s">
        <v>10245</v>
      </c>
      <c r="U2262" t="s">
        <v>10371</v>
      </c>
    </row>
    <row r="2263" spans="1:21" x14ac:dyDescent="0.25">
      <c r="A2263" t="s">
        <v>10372</v>
      </c>
      <c r="B2263" t="s">
        <v>22</v>
      </c>
      <c r="C2263" t="s">
        <v>10373</v>
      </c>
      <c r="D2263">
        <f>39-632832350</f>
        <v>-632832311</v>
      </c>
      <c r="E2263" t="s">
        <v>10374</v>
      </c>
      <c r="F2263" t="s">
        <v>10222</v>
      </c>
      <c r="G2263" t="s">
        <v>10223</v>
      </c>
      <c r="H2263">
        <v>14.1276025772094</v>
      </c>
      <c r="I2263">
        <v>42.344113303319503</v>
      </c>
      <c r="J2263">
        <v>100</v>
      </c>
      <c r="K2263" t="s">
        <v>312</v>
      </c>
      <c r="L2263" t="s">
        <v>312</v>
      </c>
      <c r="M2263" t="s">
        <v>312</v>
      </c>
      <c r="N2263" t="s">
        <v>312</v>
      </c>
      <c r="O2263" t="s">
        <v>312</v>
      </c>
      <c r="P2263" t="s">
        <v>312</v>
      </c>
      <c r="Q2263" t="s">
        <v>312</v>
      </c>
      <c r="R2263" t="s">
        <v>10375</v>
      </c>
      <c r="T2263" t="s">
        <v>10354</v>
      </c>
      <c r="U2263" t="s">
        <v>10376</v>
      </c>
    </row>
    <row r="2264" spans="1:21" x14ac:dyDescent="0.25">
      <c r="A2264" t="s">
        <v>10377</v>
      </c>
      <c r="B2264" t="s">
        <v>22</v>
      </c>
      <c r="C2264" t="s">
        <v>10378</v>
      </c>
      <c r="D2264">
        <f>39-632832351</f>
        <v>-632832312</v>
      </c>
      <c r="E2264" t="s">
        <v>10379</v>
      </c>
      <c r="F2264" t="s">
        <v>10222</v>
      </c>
      <c r="G2264" t="s">
        <v>10223</v>
      </c>
      <c r="H2264">
        <v>11.016678799999999</v>
      </c>
      <c r="I2264">
        <v>45.394786500000002</v>
      </c>
      <c r="J2264">
        <v>100</v>
      </c>
      <c r="K2264" t="s">
        <v>192</v>
      </c>
      <c r="L2264" t="s">
        <v>192</v>
      </c>
      <c r="M2264" t="s">
        <v>192</v>
      </c>
      <c r="N2264" t="s">
        <v>192</v>
      </c>
      <c r="O2264" t="s">
        <v>192</v>
      </c>
      <c r="P2264" t="s">
        <v>192</v>
      </c>
      <c r="Q2264" t="s">
        <v>192</v>
      </c>
      <c r="R2264" t="s">
        <v>10380</v>
      </c>
      <c r="T2264" t="s">
        <v>3610</v>
      </c>
      <c r="U2264" t="s">
        <v>10381</v>
      </c>
    </row>
    <row r="2265" spans="1:21" x14ac:dyDescent="0.25">
      <c r="A2265" t="s">
        <v>10382</v>
      </c>
      <c r="B2265" t="s">
        <v>38</v>
      </c>
      <c r="C2265" t="s">
        <v>10383</v>
      </c>
      <c r="D2265">
        <f>39-632832352</f>
        <v>-632832313</v>
      </c>
      <c r="E2265" t="s">
        <v>10384</v>
      </c>
      <c r="F2265" t="s">
        <v>10222</v>
      </c>
      <c r="G2265" t="s">
        <v>10223</v>
      </c>
      <c r="H2265">
        <v>8.0689001083374006</v>
      </c>
      <c r="I2265">
        <v>45.553727306041402</v>
      </c>
      <c r="J2265">
        <v>100</v>
      </c>
      <c r="K2265" t="s">
        <v>312</v>
      </c>
      <c r="L2265" t="s">
        <v>312</v>
      </c>
      <c r="M2265" t="s">
        <v>312</v>
      </c>
      <c r="N2265" t="s">
        <v>312</v>
      </c>
      <c r="O2265" t="s">
        <v>312</v>
      </c>
      <c r="P2265" t="s">
        <v>312</v>
      </c>
      <c r="Q2265" t="s">
        <v>312</v>
      </c>
      <c r="R2265" t="s">
        <v>10385</v>
      </c>
      <c r="T2265" t="s">
        <v>10386</v>
      </c>
      <c r="U2265" t="s">
        <v>10387</v>
      </c>
    </row>
    <row r="2266" spans="1:21" x14ac:dyDescent="0.25">
      <c r="A2266" t="s">
        <v>10388</v>
      </c>
      <c r="B2266" t="s">
        <v>38</v>
      </c>
      <c r="C2266" t="s">
        <v>10389</v>
      </c>
      <c r="D2266">
        <f>39-632832353</f>
        <v>-632832314</v>
      </c>
      <c r="E2266" t="s">
        <v>10249</v>
      </c>
      <c r="F2266" t="s">
        <v>10222</v>
      </c>
      <c r="G2266" t="s">
        <v>10223</v>
      </c>
      <c r="H2266">
        <v>11.813693046569799</v>
      </c>
      <c r="I2266">
        <v>45.420714589422403</v>
      </c>
      <c r="J2266">
        <v>100</v>
      </c>
      <c r="K2266" t="s">
        <v>1434</v>
      </c>
      <c r="L2266" t="s">
        <v>1434</v>
      </c>
      <c r="M2266" t="s">
        <v>1434</v>
      </c>
      <c r="N2266" t="s">
        <v>1434</v>
      </c>
      <c r="O2266" t="s">
        <v>1434</v>
      </c>
      <c r="P2266" t="s">
        <v>1434</v>
      </c>
      <c r="Q2266" t="s">
        <v>1189</v>
      </c>
      <c r="R2266" t="s">
        <v>10390</v>
      </c>
      <c r="T2266" t="s">
        <v>3610</v>
      </c>
      <c r="U2266" t="s">
        <v>10391</v>
      </c>
    </row>
    <row r="2267" spans="1:21" x14ac:dyDescent="0.25">
      <c r="A2267" t="s">
        <v>10392</v>
      </c>
      <c r="B2267" t="s">
        <v>22</v>
      </c>
      <c r="C2267" t="s">
        <v>10393</v>
      </c>
      <c r="D2267">
        <f>39-632832354</f>
        <v>-632832315</v>
      </c>
      <c r="E2267" t="s">
        <v>10394</v>
      </c>
      <c r="F2267" t="s">
        <v>10222</v>
      </c>
      <c r="G2267" t="s">
        <v>10223</v>
      </c>
      <c r="H2267">
        <v>11.229373000000001</v>
      </c>
      <c r="I2267">
        <v>43.7891841</v>
      </c>
      <c r="J2267">
        <v>100</v>
      </c>
      <c r="K2267" t="s">
        <v>7628</v>
      </c>
      <c r="L2267" t="s">
        <v>7628</v>
      </c>
      <c r="M2267" t="s">
        <v>7628</v>
      </c>
      <c r="N2267" t="s">
        <v>7628</v>
      </c>
      <c r="O2267" t="s">
        <v>7628</v>
      </c>
      <c r="P2267" t="s">
        <v>7628</v>
      </c>
      <c r="Q2267" t="s">
        <v>7628</v>
      </c>
      <c r="R2267" t="s">
        <v>10395</v>
      </c>
      <c r="T2267" t="s">
        <v>10396</v>
      </c>
      <c r="U2267" t="s">
        <v>10397</v>
      </c>
    </row>
    <row r="2268" spans="1:21" x14ac:dyDescent="0.25">
      <c r="A2268" t="s">
        <v>10398</v>
      </c>
      <c r="B2268" t="s">
        <v>22</v>
      </c>
      <c r="C2268" t="s">
        <v>10399</v>
      </c>
      <c r="D2268">
        <f>39-632832355</f>
        <v>-632832316</v>
      </c>
      <c r="E2268" t="s">
        <v>10400</v>
      </c>
      <c r="F2268" t="s">
        <v>10222</v>
      </c>
      <c r="G2268" t="s">
        <v>10223</v>
      </c>
      <c r="H2268">
        <v>11.067327499999999</v>
      </c>
      <c r="I2268">
        <v>43.876236400000003</v>
      </c>
      <c r="J2268">
        <v>100</v>
      </c>
      <c r="K2268" t="s">
        <v>312</v>
      </c>
      <c r="L2268" t="s">
        <v>312</v>
      </c>
      <c r="M2268" t="s">
        <v>312</v>
      </c>
      <c r="N2268" t="s">
        <v>312</v>
      </c>
      <c r="O2268" t="s">
        <v>312</v>
      </c>
      <c r="P2268" t="s">
        <v>312</v>
      </c>
      <c r="Q2268" t="s">
        <v>185</v>
      </c>
      <c r="R2268" t="s">
        <v>10401</v>
      </c>
      <c r="T2268" t="s">
        <v>10396</v>
      </c>
      <c r="U2268" t="s">
        <v>10402</v>
      </c>
    </row>
    <row r="2269" spans="1:21" x14ac:dyDescent="0.25">
      <c r="A2269" t="s">
        <v>10403</v>
      </c>
      <c r="B2269" t="s">
        <v>22</v>
      </c>
      <c r="C2269" t="s">
        <v>10404</v>
      </c>
      <c r="D2269">
        <f>39-632832357</f>
        <v>-632832318</v>
      </c>
      <c r="E2269" t="s">
        <v>10405</v>
      </c>
      <c r="F2269" t="s">
        <v>10222</v>
      </c>
      <c r="G2269" t="s">
        <v>10223</v>
      </c>
      <c r="H2269">
        <v>12.904086112976</v>
      </c>
      <c r="I2269">
        <v>41.465967123629397</v>
      </c>
      <c r="J2269">
        <v>100</v>
      </c>
      <c r="K2269" t="s">
        <v>1189</v>
      </c>
      <c r="L2269" t="s">
        <v>1189</v>
      </c>
      <c r="M2269" t="s">
        <v>1189</v>
      </c>
      <c r="N2269" t="s">
        <v>1189</v>
      </c>
      <c r="O2269" t="s">
        <v>1189</v>
      </c>
      <c r="P2269" t="s">
        <v>1189</v>
      </c>
      <c r="Q2269" t="s">
        <v>1189</v>
      </c>
      <c r="R2269" t="s">
        <v>10404</v>
      </c>
      <c r="T2269" t="s">
        <v>10261</v>
      </c>
      <c r="U2269" t="s">
        <v>10406</v>
      </c>
    </row>
    <row r="2270" spans="1:21" x14ac:dyDescent="0.25">
      <c r="A2270" t="s">
        <v>10407</v>
      </c>
      <c r="B2270" t="s">
        <v>22</v>
      </c>
      <c r="C2270" t="s">
        <v>10408</v>
      </c>
      <c r="D2270">
        <f>39-632832358</f>
        <v>-632832319</v>
      </c>
      <c r="E2270" t="s">
        <v>10394</v>
      </c>
      <c r="F2270" t="s">
        <v>10222</v>
      </c>
      <c r="G2270" t="s">
        <v>10223</v>
      </c>
      <c r="H2270">
        <v>11.2542834877967</v>
      </c>
      <c r="I2270">
        <v>43.769685712576198</v>
      </c>
      <c r="J2270">
        <v>100</v>
      </c>
      <c r="K2270" t="s">
        <v>45</v>
      </c>
      <c r="L2270" t="s">
        <v>45</v>
      </c>
      <c r="M2270" t="s">
        <v>45</v>
      </c>
      <c r="N2270" t="s">
        <v>45</v>
      </c>
      <c r="O2270" t="s">
        <v>45</v>
      </c>
      <c r="P2270" t="s">
        <v>45</v>
      </c>
      <c r="Q2270" t="s">
        <v>45</v>
      </c>
      <c r="R2270" t="s">
        <v>10408</v>
      </c>
      <c r="T2270" t="s">
        <v>10396</v>
      </c>
      <c r="U2270" t="s">
        <v>10409</v>
      </c>
    </row>
    <row r="2271" spans="1:21" x14ac:dyDescent="0.25">
      <c r="A2271" t="s">
        <v>10410</v>
      </c>
      <c r="B2271" t="s">
        <v>38</v>
      </c>
      <c r="C2271" t="s">
        <v>10411</v>
      </c>
      <c r="D2271">
        <f>39-632832359</f>
        <v>-632832320</v>
      </c>
      <c r="E2271" t="s">
        <v>10412</v>
      </c>
      <c r="F2271" t="s">
        <v>10222</v>
      </c>
      <c r="G2271" t="s">
        <v>10223</v>
      </c>
      <c r="H2271">
        <v>11.9073572</v>
      </c>
      <c r="I2271">
        <v>44.327166300000002</v>
      </c>
      <c r="J2271">
        <v>100</v>
      </c>
      <c r="K2271" t="s">
        <v>312</v>
      </c>
      <c r="L2271" t="s">
        <v>312</v>
      </c>
      <c r="M2271" t="s">
        <v>312</v>
      </c>
      <c r="N2271" t="s">
        <v>312</v>
      </c>
      <c r="O2271" t="s">
        <v>312</v>
      </c>
      <c r="P2271" t="s">
        <v>312</v>
      </c>
      <c r="Q2271" t="s">
        <v>45</v>
      </c>
      <c r="R2271" t="s">
        <v>10413</v>
      </c>
      <c r="T2271" t="s">
        <v>10245</v>
      </c>
      <c r="U2271" t="s">
        <v>10414</v>
      </c>
    </row>
    <row r="2272" spans="1:21" x14ac:dyDescent="0.25">
      <c r="A2272" t="s">
        <v>10415</v>
      </c>
      <c r="B2272" t="s">
        <v>22</v>
      </c>
      <c r="C2272" t="s">
        <v>10416</v>
      </c>
      <c r="D2272">
        <f>39-632832360</f>
        <v>-632832321</v>
      </c>
      <c r="E2272" t="s">
        <v>10379</v>
      </c>
      <c r="F2272" t="s">
        <v>10222</v>
      </c>
      <c r="G2272" t="s">
        <v>10223</v>
      </c>
      <c r="H2272">
        <v>11.158619</v>
      </c>
      <c r="I2272">
        <v>45.417266300000001</v>
      </c>
      <c r="J2272">
        <v>100</v>
      </c>
      <c r="K2272" t="s">
        <v>192</v>
      </c>
      <c r="L2272" t="s">
        <v>192</v>
      </c>
      <c r="M2272" t="s">
        <v>192</v>
      </c>
      <c r="N2272" t="s">
        <v>192</v>
      </c>
      <c r="O2272" t="s">
        <v>192</v>
      </c>
      <c r="P2272" t="s">
        <v>192</v>
      </c>
      <c r="Q2272" t="s">
        <v>192</v>
      </c>
      <c r="R2272" t="s">
        <v>10417</v>
      </c>
      <c r="T2272" t="s">
        <v>3610</v>
      </c>
      <c r="U2272" t="s">
        <v>10418</v>
      </c>
    </row>
    <row r="2273" spans="1:21" x14ac:dyDescent="0.25">
      <c r="A2273" t="s">
        <v>10419</v>
      </c>
      <c r="B2273" t="s">
        <v>38</v>
      </c>
      <c r="C2273" t="s">
        <v>10420</v>
      </c>
      <c r="D2273">
        <f>39-632832361</f>
        <v>-632832322</v>
      </c>
      <c r="E2273" t="s">
        <v>10421</v>
      </c>
      <c r="F2273" t="s">
        <v>10222</v>
      </c>
      <c r="G2273" t="s">
        <v>10223</v>
      </c>
      <c r="H2273">
        <v>9.8376560211181605</v>
      </c>
      <c r="I2273">
        <v>44.123146506241099</v>
      </c>
      <c r="J2273">
        <v>100</v>
      </c>
      <c r="K2273" t="s">
        <v>312</v>
      </c>
      <c r="L2273" t="s">
        <v>312</v>
      </c>
      <c r="M2273" t="s">
        <v>312</v>
      </c>
      <c r="N2273" t="s">
        <v>312</v>
      </c>
      <c r="O2273" t="s">
        <v>312</v>
      </c>
      <c r="P2273" t="s">
        <v>312</v>
      </c>
      <c r="Q2273" t="s">
        <v>312</v>
      </c>
      <c r="R2273" t="s">
        <v>10422</v>
      </c>
      <c r="T2273" t="s">
        <v>10235</v>
      </c>
      <c r="U2273" t="s">
        <v>10423</v>
      </c>
    </row>
    <row r="2274" spans="1:21" x14ac:dyDescent="0.25">
      <c r="A2274" t="s">
        <v>10424</v>
      </c>
      <c r="B2274" t="s">
        <v>22</v>
      </c>
      <c r="C2274" t="s">
        <v>10425</v>
      </c>
      <c r="D2274">
        <f>39-632832362</f>
        <v>-632832323</v>
      </c>
      <c r="E2274" t="s">
        <v>10426</v>
      </c>
      <c r="F2274" t="s">
        <v>10222</v>
      </c>
      <c r="G2274" t="s">
        <v>10223</v>
      </c>
      <c r="H2274">
        <v>8.4371706999999994</v>
      </c>
      <c r="I2274">
        <v>44.270511599999999</v>
      </c>
      <c r="J2274">
        <v>100</v>
      </c>
      <c r="K2274" t="s">
        <v>192</v>
      </c>
      <c r="L2274" t="s">
        <v>192</v>
      </c>
      <c r="M2274" t="s">
        <v>192</v>
      </c>
      <c r="N2274" t="s">
        <v>192</v>
      </c>
      <c r="O2274" t="s">
        <v>192</v>
      </c>
      <c r="P2274" t="s">
        <v>192</v>
      </c>
      <c r="Q2274" t="s">
        <v>192</v>
      </c>
      <c r="R2274" t="s">
        <v>10425</v>
      </c>
      <c r="T2274" t="s">
        <v>10235</v>
      </c>
      <c r="U2274" t="s">
        <v>10427</v>
      </c>
    </row>
    <row r="2275" spans="1:21" x14ac:dyDescent="0.25">
      <c r="A2275" t="s">
        <v>10428</v>
      </c>
      <c r="B2275" t="s">
        <v>22</v>
      </c>
      <c r="C2275" t="s">
        <v>10429</v>
      </c>
      <c r="D2275">
        <f>39-632832364</f>
        <v>-632832325</v>
      </c>
      <c r="E2275" t="s">
        <v>10430</v>
      </c>
      <c r="F2275" t="s">
        <v>10222</v>
      </c>
      <c r="G2275" t="s">
        <v>10223</v>
      </c>
      <c r="H2275">
        <v>11.752313375472999</v>
      </c>
      <c r="I2275">
        <v>45.746136708164201</v>
      </c>
      <c r="J2275">
        <v>100</v>
      </c>
      <c r="K2275" t="s">
        <v>7628</v>
      </c>
      <c r="L2275" t="s">
        <v>7628</v>
      </c>
      <c r="M2275" t="s">
        <v>7628</v>
      </c>
      <c r="N2275" t="s">
        <v>7628</v>
      </c>
      <c r="O2275" t="s">
        <v>7628</v>
      </c>
      <c r="P2275" t="s">
        <v>7628</v>
      </c>
      <c r="Q2275" t="s">
        <v>7628</v>
      </c>
      <c r="R2275" t="s">
        <v>10431</v>
      </c>
      <c r="T2275" t="s">
        <v>3610</v>
      </c>
      <c r="U2275" t="s">
        <v>10432</v>
      </c>
    </row>
    <row r="2276" spans="1:21" x14ac:dyDescent="0.25">
      <c r="A2276" t="s">
        <v>10433</v>
      </c>
      <c r="B2276" t="s">
        <v>22</v>
      </c>
      <c r="C2276" t="s">
        <v>10434</v>
      </c>
      <c r="D2276">
        <f>39-632832365</f>
        <v>-632832326</v>
      </c>
      <c r="E2276" t="s">
        <v>10347</v>
      </c>
      <c r="F2276" t="s">
        <v>10222</v>
      </c>
      <c r="G2276" t="s">
        <v>10223</v>
      </c>
      <c r="H2276">
        <v>13.4028053283691</v>
      </c>
      <c r="I2276">
        <v>38.093827514898202</v>
      </c>
      <c r="J2276">
        <v>100</v>
      </c>
      <c r="K2276" t="s">
        <v>312</v>
      </c>
      <c r="L2276" t="s">
        <v>312</v>
      </c>
      <c r="M2276" t="s">
        <v>312</v>
      </c>
      <c r="N2276" t="s">
        <v>312</v>
      </c>
      <c r="O2276" t="s">
        <v>312</v>
      </c>
      <c r="P2276" t="s">
        <v>312</v>
      </c>
      <c r="Q2276" t="s">
        <v>312</v>
      </c>
      <c r="R2276" t="s">
        <v>10435</v>
      </c>
      <c r="T2276" t="s">
        <v>10348</v>
      </c>
      <c r="U2276" t="s">
        <v>10436</v>
      </c>
    </row>
    <row r="2277" spans="1:21" x14ac:dyDescent="0.25">
      <c r="A2277" t="s">
        <v>10437</v>
      </c>
      <c r="B2277" t="s">
        <v>22</v>
      </c>
      <c r="C2277" t="s">
        <v>10438</v>
      </c>
      <c r="D2277">
        <f>39-632832366</f>
        <v>-632832327</v>
      </c>
      <c r="E2277" t="s">
        <v>10439</v>
      </c>
      <c r="F2277" t="s">
        <v>10222</v>
      </c>
      <c r="G2277" t="s">
        <v>10223</v>
      </c>
      <c r="H2277">
        <v>14.2079126</v>
      </c>
      <c r="I2277">
        <v>42.468607300000002</v>
      </c>
      <c r="J2277">
        <v>100</v>
      </c>
      <c r="K2277" t="s">
        <v>45</v>
      </c>
      <c r="L2277" t="s">
        <v>45</v>
      </c>
      <c r="M2277" t="s">
        <v>45</v>
      </c>
      <c r="N2277" t="s">
        <v>45</v>
      </c>
      <c r="O2277" t="s">
        <v>45</v>
      </c>
      <c r="P2277" t="s">
        <v>45</v>
      </c>
      <c r="Q2277" t="s">
        <v>45</v>
      </c>
      <c r="R2277" t="s">
        <v>10438</v>
      </c>
      <c r="T2277" t="s">
        <v>10354</v>
      </c>
      <c r="U2277" t="s">
        <v>10440</v>
      </c>
    </row>
    <row r="2278" spans="1:21" x14ac:dyDescent="0.25">
      <c r="A2278" t="s">
        <v>10441</v>
      </c>
      <c r="B2278" t="s">
        <v>38</v>
      </c>
      <c r="C2278" t="s">
        <v>10442</v>
      </c>
      <c r="D2278">
        <f>39-632832367</f>
        <v>-632832328</v>
      </c>
      <c r="E2278" t="s">
        <v>10443</v>
      </c>
      <c r="F2278" t="s">
        <v>10222</v>
      </c>
      <c r="G2278" t="s">
        <v>10223</v>
      </c>
      <c r="H2278">
        <v>12.212565</v>
      </c>
      <c r="I2278">
        <v>45.505870799999997</v>
      </c>
      <c r="J2278">
        <v>100</v>
      </c>
      <c r="K2278" t="s">
        <v>7628</v>
      </c>
      <c r="L2278" t="s">
        <v>7628</v>
      </c>
      <c r="M2278" t="s">
        <v>7628</v>
      </c>
      <c r="N2278" t="s">
        <v>7628</v>
      </c>
      <c r="O2278" t="s">
        <v>7628</v>
      </c>
      <c r="P2278" t="s">
        <v>7628</v>
      </c>
      <c r="Q2278" t="s">
        <v>185</v>
      </c>
      <c r="R2278" t="s">
        <v>10444</v>
      </c>
      <c r="T2278" t="s">
        <v>3610</v>
      </c>
      <c r="U2278" t="s">
        <v>10445</v>
      </c>
    </row>
    <row r="2279" spans="1:21" x14ac:dyDescent="0.25">
      <c r="A2279" t="s">
        <v>10446</v>
      </c>
      <c r="B2279" t="s">
        <v>22</v>
      </c>
      <c r="C2279" t="s">
        <v>10447</v>
      </c>
      <c r="D2279">
        <f>39-632832369</f>
        <v>-632832330</v>
      </c>
      <c r="E2279" t="s">
        <v>10244</v>
      </c>
      <c r="F2279" t="s">
        <v>10222</v>
      </c>
      <c r="G2279" t="s">
        <v>10223</v>
      </c>
      <c r="H2279">
        <v>11.3383854</v>
      </c>
      <c r="I2279">
        <v>44.495546400000002</v>
      </c>
      <c r="J2279">
        <v>100</v>
      </c>
      <c r="K2279" t="s">
        <v>185</v>
      </c>
      <c r="L2279" t="s">
        <v>185</v>
      </c>
      <c r="M2279" t="s">
        <v>185</v>
      </c>
      <c r="N2279" t="s">
        <v>185</v>
      </c>
      <c r="O2279" t="s">
        <v>185</v>
      </c>
      <c r="P2279" t="s">
        <v>192</v>
      </c>
      <c r="Q2279" t="s">
        <v>185</v>
      </c>
      <c r="R2279" t="s">
        <v>10447</v>
      </c>
      <c r="T2279" t="s">
        <v>10245</v>
      </c>
      <c r="U2279" t="s">
        <v>10448</v>
      </c>
    </row>
    <row r="2280" spans="1:21" x14ac:dyDescent="0.25">
      <c r="A2280" t="s">
        <v>10449</v>
      </c>
      <c r="B2280" t="s">
        <v>22</v>
      </c>
      <c r="C2280" t="s">
        <v>10450</v>
      </c>
      <c r="D2280">
        <f>39-632832371</f>
        <v>-632832332</v>
      </c>
      <c r="E2280" t="s">
        <v>10451</v>
      </c>
      <c r="F2280" t="s">
        <v>10222</v>
      </c>
      <c r="G2280" t="s">
        <v>10223</v>
      </c>
      <c r="H2280">
        <v>12.3351681232452</v>
      </c>
      <c r="I2280">
        <v>45.435788682934998</v>
      </c>
      <c r="J2280">
        <v>100</v>
      </c>
      <c r="K2280" t="s">
        <v>535</v>
      </c>
      <c r="L2280" t="s">
        <v>535</v>
      </c>
      <c r="M2280" t="s">
        <v>535</v>
      </c>
      <c r="N2280" t="s">
        <v>535</v>
      </c>
      <c r="O2280" t="s">
        <v>774</v>
      </c>
      <c r="P2280" t="s">
        <v>774</v>
      </c>
      <c r="Q2280" t="s">
        <v>535</v>
      </c>
      <c r="R2280" t="s">
        <v>10450</v>
      </c>
      <c r="T2280" t="s">
        <v>3610</v>
      </c>
      <c r="U2280" t="s">
        <v>10452</v>
      </c>
    </row>
    <row r="2281" spans="1:21" x14ac:dyDescent="0.25">
      <c r="A2281" t="s">
        <v>10453</v>
      </c>
      <c r="B2281" t="s">
        <v>22</v>
      </c>
      <c r="C2281" t="s">
        <v>10454</v>
      </c>
      <c r="D2281">
        <f>39-632832372</f>
        <v>-632832333</v>
      </c>
      <c r="E2281" t="s">
        <v>10259</v>
      </c>
      <c r="F2281" t="s">
        <v>10222</v>
      </c>
      <c r="G2281" t="s">
        <v>10223</v>
      </c>
      <c r="H2281">
        <v>12.485779000000001</v>
      </c>
      <c r="I2281">
        <v>41.807620999999997</v>
      </c>
      <c r="J2281">
        <v>100</v>
      </c>
      <c r="K2281" t="s">
        <v>536</v>
      </c>
      <c r="L2281" t="s">
        <v>536</v>
      </c>
      <c r="M2281" t="s">
        <v>536</v>
      </c>
      <c r="N2281" t="s">
        <v>536</v>
      </c>
      <c r="O2281" t="s">
        <v>536</v>
      </c>
      <c r="P2281" t="s">
        <v>536</v>
      </c>
      <c r="Q2281" t="s">
        <v>536</v>
      </c>
      <c r="R2281" t="s">
        <v>10455</v>
      </c>
      <c r="T2281" t="s">
        <v>10261</v>
      </c>
      <c r="U2281" t="s">
        <v>10456</v>
      </c>
    </row>
    <row r="2282" spans="1:21" x14ac:dyDescent="0.25">
      <c r="A2282" t="s">
        <v>10457</v>
      </c>
      <c r="B2282" t="s">
        <v>22</v>
      </c>
      <c r="C2282" t="s">
        <v>10458</v>
      </c>
      <c r="D2282">
        <f>39-632832373</f>
        <v>-632832334</v>
      </c>
      <c r="E2282" t="s">
        <v>10394</v>
      </c>
      <c r="F2282" t="s">
        <v>10222</v>
      </c>
      <c r="G2282" t="s">
        <v>10223</v>
      </c>
      <c r="H2282">
        <v>11.142944399999999</v>
      </c>
      <c r="I2282">
        <v>43.847044400000001</v>
      </c>
      <c r="J2282">
        <v>100</v>
      </c>
      <c r="K2282" t="s">
        <v>3543</v>
      </c>
      <c r="L2282" t="s">
        <v>3543</v>
      </c>
      <c r="M2282" t="s">
        <v>3543</v>
      </c>
      <c r="N2282" t="s">
        <v>3543</v>
      </c>
      <c r="O2282" t="s">
        <v>3543</v>
      </c>
      <c r="P2282" t="s">
        <v>3543</v>
      </c>
      <c r="Q2282" t="s">
        <v>312</v>
      </c>
      <c r="R2282" t="s">
        <v>10459</v>
      </c>
      <c r="T2282" t="s">
        <v>10396</v>
      </c>
      <c r="U2282" t="s">
        <v>10460</v>
      </c>
    </row>
    <row r="2283" spans="1:21" x14ac:dyDescent="0.25">
      <c r="A2283" t="s">
        <v>10461</v>
      </c>
      <c r="B2283" t="s">
        <v>22</v>
      </c>
      <c r="C2283" t="s">
        <v>10462</v>
      </c>
      <c r="D2283">
        <f>39-632832376</f>
        <v>-632832337</v>
      </c>
      <c r="E2283" t="s">
        <v>10463</v>
      </c>
      <c r="F2283" t="s">
        <v>10222</v>
      </c>
      <c r="G2283" t="s">
        <v>10223</v>
      </c>
      <c r="H2283">
        <v>11.350362896919201</v>
      </c>
      <c r="I2283">
        <v>46.499865638257901</v>
      </c>
      <c r="J2283">
        <v>100</v>
      </c>
      <c r="K2283" t="s">
        <v>253</v>
      </c>
      <c r="L2283" t="s">
        <v>253</v>
      </c>
      <c r="M2283" t="s">
        <v>253</v>
      </c>
      <c r="N2283" t="s">
        <v>253</v>
      </c>
      <c r="O2283" t="s">
        <v>253</v>
      </c>
      <c r="P2283" t="s">
        <v>253</v>
      </c>
      <c r="Q2283" t="s">
        <v>535</v>
      </c>
      <c r="R2283" t="s">
        <v>10462</v>
      </c>
      <c r="T2283" t="s">
        <v>10336</v>
      </c>
      <c r="U2283" t="s">
        <v>10464</v>
      </c>
    </row>
    <row r="2284" spans="1:21" x14ac:dyDescent="0.25">
      <c r="A2284" t="s">
        <v>10465</v>
      </c>
      <c r="B2284" t="s">
        <v>22</v>
      </c>
      <c r="C2284" t="s">
        <v>10466</v>
      </c>
      <c r="D2284">
        <f>39-632832377</f>
        <v>-632832338</v>
      </c>
      <c r="E2284" t="s">
        <v>10254</v>
      </c>
      <c r="F2284" t="s">
        <v>10222</v>
      </c>
      <c r="G2284" t="s">
        <v>10223</v>
      </c>
      <c r="H2284">
        <v>10.3256249427795</v>
      </c>
      <c r="I2284">
        <v>44.802240344980298</v>
      </c>
      <c r="J2284">
        <v>100</v>
      </c>
      <c r="K2284" t="s">
        <v>1434</v>
      </c>
      <c r="L2284" t="s">
        <v>1434</v>
      </c>
      <c r="M2284" t="s">
        <v>1434</v>
      </c>
      <c r="N2284" t="s">
        <v>1434</v>
      </c>
      <c r="O2284" t="s">
        <v>1434</v>
      </c>
      <c r="P2284" t="s">
        <v>7628</v>
      </c>
      <c r="Q2284" t="s">
        <v>1434</v>
      </c>
      <c r="R2284" t="s">
        <v>10466</v>
      </c>
      <c r="T2284" t="s">
        <v>10245</v>
      </c>
      <c r="U2284" t="s">
        <v>10467</v>
      </c>
    </row>
    <row r="2285" spans="1:21" x14ac:dyDescent="0.25">
      <c r="A2285" t="s">
        <v>10468</v>
      </c>
      <c r="B2285" t="s">
        <v>38</v>
      </c>
      <c r="C2285" t="s">
        <v>10469</v>
      </c>
      <c r="D2285">
        <f>39-632832378</f>
        <v>-632832339</v>
      </c>
      <c r="E2285" t="s">
        <v>10470</v>
      </c>
      <c r="F2285" t="s">
        <v>10222</v>
      </c>
      <c r="G2285" t="s">
        <v>10223</v>
      </c>
      <c r="H2285">
        <v>14.5071029663085</v>
      </c>
      <c r="I2285">
        <v>40.7412743931432</v>
      </c>
      <c r="J2285">
        <v>100</v>
      </c>
      <c r="K2285" t="s">
        <v>2068</v>
      </c>
      <c r="L2285" t="s">
        <v>2068</v>
      </c>
      <c r="M2285" t="s">
        <v>2068</v>
      </c>
      <c r="N2285" t="s">
        <v>2068</v>
      </c>
      <c r="O2285" t="s">
        <v>2068</v>
      </c>
      <c r="P2285" t="s">
        <v>2068</v>
      </c>
      <c r="Q2285" t="s">
        <v>2068</v>
      </c>
      <c r="R2285" t="s">
        <v>10471</v>
      </c>
      <c r="T2285" t="s">
        <v>10297</v>
      </c>
      <c r="U2285" t="s">
        <v>10472</v>
      </c>
    </row>
    <row r="2286" spans="1:21" x14ac:dyDescent="0.25">
      <c r="A2286" t="s">
        <v>10473</v>
      </c>
      <c r="B2286" t="s">
        <v>38</v>
      </c>
      <c r="C2286" t="s">
        <v>10474</v>
      </c>
      <c r="D2286">
        <f>39-632832380</f>
        <v>-632832341</v>
      </c>
      <c r="E2286" t="s">
        <v>10475</v>
      </c>
      <c r="F2286" t="s">
        <v>10222</v>
      </c>
      <c r="G2286" t="s">
        <v>10223</v>
      </c>
      <c r="H2286">
        <v>16.184618</v>
      </c>
      <c r="I2286">
        <v>39.318874999999998</v>
      </c>
      <c r="J2286">
        <v>100</v>
      </c>
      <c r="K2286" t="s">
        <v>192</v>
      </c>
      <c r="L2286" t="s">
        <v>192</v>
      </c>
      <c r="M2286" t="s">
        <v>192</v>
      </c>
      <c r="N2286" t="s">
        <v>192</v>
      </c>
      <c r="O2286" t="s">
        <v>192</v>
      </c>
      <c r="P2286" t="s">
        <v>7628</v>
      </c>
      <c r="Q2286" t="s">
        <v>45</v>
      </c>
      <c r="R2286" t="s">
        <v>10474</v>
      </c>
      <c r="T2286" t="s">
        <v>10331</v>
      </c>
      <c r="U2286" t="s">
        <v>10476</v>
      </c>
    </row>
    <row r="2287" spans="1:21" x14ac:dyDescent="0.25">
      <c r="A2287" t="s">
        <v>10477</v>
      </c>
      <c r="B2287" t="s">
        <v>22</v>
      </c>
      <c r="C2287" t="s">
        <v>10478</v>
      </c>
      <c r="D2287">
        <f>39-632832384</f>
        <v>-632832345</v>
      </c>
      <c r="E2287" t="s">
        <v>10479</v>
      </c>
      <c r="F2287" t="s">
        <v>10222</v>
      </c>
      <c r="G2287" t="s">
        <v>10223</v>
      </c>
      <c r="H2287">
        <v>12.5673186779022</v>
      </c>
      <c r="I2287">
        <v>44.060391034931797</v>
      </c>
      <c r="J2287">
        <v>100</v>
      </c>
      <c r="K2287" t="s">
        <v>192</v>
      </c>
      <c r="L2287" t="s">
        <v>192</v>
      </c>
      <c r="M2287" t="s">
        <v>192</v>
      </c>
      <c r="N2287" t="s">
        <v>192</v>
      </c>
      <c r="O2287" t="s">
        <v>192</v>
      </c>
      <c r="P2287" t="s">
        <v>192</v>
      </c>
      <c r="Q2287" t="s">
        <v>45</v>
      </c>
      <c r="R2287" t="s">
        <v>10478</v>
      </c>
      <c r="T2287" t="s">
        <v>10245</v>
      </c>
      <c r="U2287" t="s">
        <v>10480</v>
      </c>
    </row>
    <row r="2288" spans="1:21" x14ac:dyDescent="0.25">
      <c r="A2288" t="s">
        <v>10481</v>
      </c>
      <c r="B2288" t="s">
        <v>38</v>
      </c>
      <c r="C2288" t="s">
        <v>10482</v>
      </c>
      <c r="D2288">
        <f>39-632832386</f>
        <v>-632832347</v>
      </c>
      <c r="E2288" t="s">
        <v>10244</v>
      </c>
      <c r="F2288" t="s">
        <v>10222</v>
      </c>
      <c r="G2288" t="s">
        <v>10223</v>
      </c>
      <c r="H2288">
        <v>11.425685</v>
      </c>
      <c r="I2288">
        <v>44.492317900000003</v>
      </c>
      <c r="J2288">
        <v>100</v>
      </c>
      <c r="K2288" t="s">
        <v>312</v>
      </c>
      <c r="L2288" t="s">
        <v>312</v>
      </c>
      <c r="M2288" t="s">
        <v>312</v>
      </c>
      <c r="N2288" t="s">
        <v>312</v>
      </c>
      <c r="O2288" t="s">
        <v>312</v>
      </c>
      <c r="P2288" t="s">
        <v>312</v>
      </c>
      <c r="Q2288" t="s">
        <v>45</v>
      </c>
      <c r="R2288" t="s">
        <v>10483</v>
      </c>
      <c r="T2288" t="s">
        <v>10245</v>
      </c>
      <c r="U2288" t="s">
        <v>10484</v>
      </c>
    </row>
    <row r="2289" spans="1:21" x14ac:dyDescent="0.25">
      <c r="A2289" t="s">
        <v>10485</v>
      </c>
      <c r="B2289" t="s">
        <v>22</v>
      </c>
      <c r="C2289" t="s">
        <v>10486</v>
      </c>
      <c r="D2289">
        <f>39-632832387</f>
        <v>-632832348</v>
      </c>
      <c r="E2289" t="s">
        <v>10487</v>
      </c>
      <c r="F2289" t="s">
        <v>10222</v>
      </c>
      <c r="G2289" t="s">
        <v>10223</v>
      </c>
      <c r="H2289">
        <v>10.310196876525801</v>
      </c>
      <c r="I2289">
        <v>43.551036431458002</v>
      </c>
      <c r="J2289">
        <v>100</v>
      </c>
      <c r="K2289" t="s">
        <v>185</v>
      </c>
      <c r="L2289" t="s">
        <v>185</v>
      </c>
      <c r="M2289" t="s">
        <v>185</v>
      </c>
      <c r="N2289" t="s">
        <v>185</v>
      </c>
      <c r="O2289" t="s">
        <v>185</v>
      </c>
      <c r="P2289" t="s">
        <v>185</v>
      </c>
      <c r="Q2289" t="s">
        <v>185</v>
      </c>
      <c r="R2289" t="s">
        <v>10486</v>
      </c>
      <c r="T2289" t="s">
        <v>10396</v>
      </c>
      <c r="U2289" t="s">
        <v>10488</v>
      </c>
    </row>
    <row r="2290" spans="1:21" x14ac:dyDescent="0.25">
      <c r="A2290" t="s">
        <v>10489</v>
      </c>
      <c r="B2290" t="s">
        <v>38</v>
      </c>
      <c r="C2290" t="s">
        <v>10490</v>
      </c>
      <c r="D2290">
        <f>39-632832389</f>
        <v>-632832350</v>
      </c>
      <c r="E2290" t="s">
        <v>10221</v>
      </c>
      <c r="F2290" t="s">
        <v>10222</v>
      </c>
      <c r="G2290" t="s">
        <v>10223</v>
      </c>
      <c r="H2290">
        <v>9.3043041229247994</v>
      </c>
      <c r="I2290">
        <v>45.383109705502598</v>
      </c>
      <c r="J2290">
        <v>100</v>
      </c>
      <c r="K2290" t="s">
        <v>192</v>
      </c>
      <c r="L2290" t="s">
        <v>192</v>
      </c>
      <c r="M2290" t="s">
        <v>192</v>
      </c>
      <c r="N2290" t="s">
        <v>192</v>
      </c>
      <c r="O2290" t="s">
        <v>192</v>
      </c>
      <c r="P2290" t="s">
        <v>312</v>
      </c>
      <c r="Q2290" t="s">
        <v>185</v>
      </c>
      <c r="R2290" t="s">
        <v>10491</v>
      </c>
      <c r="S2290" t="s">
        <v>10491</v>
      </c>
      <c r="T2290" t="s">
        <v>10225</v>
      </c>
      <c r="U2290" t="s">
        <v>10492</v>
      </c>
    </row>
    <row r="2291" spans="1:21" x14ac:dyDescent="0.25">
      <c r="A2291" t="s">
        <v>10493</v>
      </c>
      <c r="B2291" t="s">
        <v>22</v>
      </c>
      <c r="C2291" t="s">
        <v>10494</v>
      </c>
      <c r="D2291">
        <f>39-632832391</f>
        <v>-632832352</v>
      </c>
      <c r="E2291" t="s">
        <v>10495</v>
      </c>
      <c r="F2291" t="s">
        <v>10222</v>
      </c>
      <c r="G2291" t="s">
        <v>10223</v>
      </c>
      <c r="H2291">
        <v>10.0894081592559</v>
      </c>
      <c r="I2291">
        <v>44.883622165119398</v>
      </c>
      <c r="J2291">
        <v>100</v>
      </c>
      <c r="K2291" t="s">
        <v>45</v>
      </c>
      <c r="L2291" t="s">
        <v>45</v>
      </c>
      <c r="M2291" t="s">
        <v>45</v>
      </c>
      <c r="N2291" t="s">
        <v>45</v>
      </c>
      <c r="O2291" t="s">
        <v>45</v>
      </c>
      <c r="P2291" t="s">
        <v>45</v>
      </c>
      <c r="Q2291" t="s">
        <v>45</v>
      </c>
      <c r="R2291" t="s">
        <v>10496</v>
      </c>
      <c r="T2291" t="s">
        <v>10245</v>
      </c>
      <c r="U2291" t="s">
        <v>10497</v>
      </c>
    </row>
    <row r="2292" spans="1:21" x14ac:dyDescent="0.25">
      <c r="A2292" t="s">
        <v>10498</v>
      </c>
      <c r="B2292" t="s">
        <v>38</v>
      </c>
      <c r="C2292" t="s">
        <v>10499</v>
      </c>
      <c r="D2292">
        <f>39-632832392</f>
        <v>-632832353</v>
      </c>
      <c r="E2292" t="s">
        <v>10500</v>
      </c>
      <c r="F2292" t="s">
        <v>10222</v>
      </c>
      <c r="G2292" t="s">
        <v>10223</v>
      </c>
      <c r="H2292">
        <v>12.8149509429931</v>
      </c>
      <c r="I2292">
        <v>45.791107947834703</v>
      </c>
      <c r="J2292">
        <v>100</v>
      </c>
      <c r="K2292" t="s">
        <v>290</v>
      </c>
      <c r="L2292" t="s">
        <v>290</v>
      </c>
      <c r="M2292" t="s">
        <v>290</v>
      </c>
      <c r="N2292" t="s">
        <v>290</v>
      </c>
      <c r="O2292" t="s">
        <v>290</v>
      </c>
      <c r="P2292" t="s">
        <v>312</v>
      </c>
      <c r="Q2292" t="s">
        <v>536</v>
      </c>
      <c r="R2292" t="s">
        <v>10501</v>
      </c>
      <c r="T2292" t="s">
        <v>3610</v>
      </c>
      <c r="U2292" t="s">
        <v>10502</v>
      </c>
    </row>
    <row r="2293" spans="1:21" x14ac:dyDescent="0.25">
      <c r="A2293" t="s">
        <v>10503</v>
      </c>
      <c r="B2293" t="s">
        <v>38</v>
      </c>
      <c r="C2293" t="s">
        <v>10504</v>
      </c>
      <c r="D2293">
        <f>39-632832394</f>
        <v>-632832355</v>
      </c>
      <c r="E2293" t="s">
        <v>10505</v>
      </c>
      <c r="F2293" t="s">
        <v>10222</v>
      </c>
      <c r="G2293" t="s">
        <v>10223</v>
      </c>
      <c r="H2293">
        <v>17.9023933410644</v>
      </c>
      <c r="I2293">
        <v>40.617991939910397</v>
      </c>
      <c r="J2293">
        <v>100</v>
      </c>
      <c r="K2293" t="s">
        <v>312</v>
      </c>
      <c r="L2293" t="s">
        <v>312</v>
      </c>
      <c r="M2293" t="s">
        <v>312</v>
      </c>
      <c r="N2293" t="s">
        <v>312</v>
      </c>
      <c r="O2293" t="s">
        <v>312</v>
      </c>
      <c r="P2293" t="s">
        <v>312</v>
      </c>
      <c r="Q2293" t="s">
        <v>536</v>
      </c>
      <c r="R2293" t="s">
        <v>10506</v>
      </c>
      <c r="T2293" t="s">
        <v>10303</v>
      </c>
      <c r="U2293" t="s">
        <v>10507</v>
      </c>
    </row>
    <row r="2294" spans="1:21" x14ac:dyDescent="0.25">
      <c r="A2294" t="s">
        <v>10508</v>
      </c>
      <c r="B2294" t="s">
        <v>38</v>
      </c>
      <c r="C2294" t="s">
        <v>10509</v>
      </c>
      <c r="D2294">
        <f>39-632832396</f>
        <v>-632832357</v>
      </c>
      <c r="E2294" t="s">
        <v>10510</v>
      </c>
      <c r="F2294" t="s">
        <v>10222</v>
      </c>
      <c r="G2294" t="s">
        <v>10223</v>
      </c>
      <c r="H2294">
        <v>12.3124836</v>
      </c>
      <c r="I2294">
        <v>45.880383899999998</v>
      </c>
      <c r="J2294">
        <v>100</v>
      </c>
      <c r="K2294" t="s">
        <v>312</v>
      </c>
      <c r="L2294" t="s">
        <v>312</v>
      </c>
      <c r="M2294" t="s">
        <v>312</v>
      </c>
      <c r="N2294" t="s">
        <v>312</v>
      </c>
      <c r="O2294" t="s">
        <v>312</v>
      </c>
      <c r="P2294" t="s">
        <v>312</v>
      </c>
      <c r="Q2294" t="s">
        <v>1434</v>
      </c>
      <c r="R2294" t="s">
        <v>10511</v>
      </c>
      <c r="T2294" t="s">
        <v>3610</v>
      </c>
      <c r="U2294" t="s">
        <v>10512</v>
      </c>
    </row>
    <row r="2295" spans="1:21" x14ac:dyDescent="0.25">
      <c r="A2295" t="s">
        <v>10513</v>
      </c>
      <c r="B2295" t="s">
        <v>22</v>
      </c>
      <c r="C2295" t="s">
        <v>10514</v>
      </c>
      <c r="D2295">
        <f>39-632832398</f>
        <v>-632832359</v>
      </c>
      <c r="E2295" t="s">
        <v>10515</v>
      </c>
      <c r="F2295" t="s">
        <v>10222</v>
      </c>
      <c r="G2295" t="s">
        <v>10223</v>
      </c>
      <c r="H2295">
        <v>12.0827293395996</v>
      </c>
      <c r="I2295">
        <v>44.244461182106903</v>
      </c>
      <c r="J2295">
        <v>100</v>
      </c>
      <c r="K2295" t="s">
        <v>312</v>
      </c>
      <c r="L2295" t="s">
        <v>312</v>
      </c>
      <c r="M2295" t="s">
        <v>312</v>
      </c>
      <c r="N2295" t="s">
        <v>312</v>
      </c>
      <c r="O2295" t="s">
        <v>312</v>
      </c>
      <c r="P2295" t="s">
        <v>312</v>
      </c>
      <c r="Q2295" t="s">
        <v>312</v>
      </c>
      <c r="R2295" t="s">
        <v>10516</v>
      </c>
      <c r="T2295" t="s">
        <v>10245</v>
      </c>
      <c r="U2295" t="s">
        <v>10517</v>
      </c>
    </row>
    <row r="2296" spans="1:21" x14ac:dyDescent="0.25">
      <c r="A2296" t="s">
        <v>10518</v>
      </c>
      <c r="B2296" t="s">
        <v>22</v>
      </c>
      <c r="C2296" t="s">
        <v>10519</v>
      </c>
      <c r="D2296">
        <f>39-632832402</f>
        <v>-632832363</v>
      </c>
      <c r="E2296" t="s">
        <v>10520</v>
      </c>
      <c r="F2296" t="s">
        <v>10222</v>
      </c>
      <c r="G2296" t="s">
        <v>10223</v>
      </c>
      <c r="H2296">
        <v>13.445827799999901</v>
      </c>
      <c r="I2296">
        <v>45.868057899999997</v>
      </c>
      <c r="J2296">
        <v>100</v>
      </c>
      <c r="K2296" t="s">
        <v>185</v>
      </c>
      <c r="L2296" t="s">
        <v>185</v>
      </c>
      <c r="M2296" t="s">
        <v>185</v>
      </c>
      <c r="N2296" t="s">
        <v>185</v>
      </c>
      <c r="O2296" t="s">
        <v>185</v>
      </c>
      <c r="P2296" t="s">
        <v>312</v>
      </c>
      <c r="Q2296" t="s">
        <v>312</v>
      </c>
      <c r="R2296" t="s">
        <v>10521</v>
      </c>
      <c r="T2296" t="s">
        <v>10272</v>
      </c>
      <c r="U2296" t="s">
        <v>10522</v>
      </c>
    </row>
    <row r="2297" spans="1:21" x14ac:dyDescent="0.25">
      <c r="A2297" t="s">
        <v>10523</v>
      </c>
      <c r="B2297" t="s">
        <v>38</v>
      </c>
      <c r="C2297" t="s">
        <v>10524</v>
      </c>
      <c r="D2297">
        <f>39-632832403</f>
        <v>-632832364</v>
      </c>
      <c r="E2297" t="s">
        <v>10525</v>
      </c>
      <c r="F2297" t="s">
        <v>10222</v>
      </c>
      <c r="G2297" t="s">
        <v>10223</v>
      </c>
      <c r="H2297">
        <v>14.9088335037231</v>
      </c>
      <c r="I2297">
        <v>40.635515323463601</v>
      </c>
      <c r="J2297">
        <v>100</v>
      </c>
      <c r="K2297" t="s">
        <v>290</v>
      </c>
      <c r="L2297" t="s">
        <v>290</v>
      </c>
      <c r="M2297" t="s">
        <v>290</v>
      </c>
      <c r="N2297" t="s">
        <v>290</v>
      </c>
      <c r="O2297" t="s">
        <v>290</v>
      </c>
      <c r="P2297" t="s">
        <v>2068</v>
      </c>
      <c r="Q2297" t="s">
        <v>2068</v>
      </c>
      <c r="R2297" t="s">
        <v>10526</v>
      </c>
      <c r="T2297" t="s">
        <v>10297</v>
      </c>
      <c r="U2297" t="s">
        <v>10527</v>
      </c>
    </row>
    <row r="2298" spans="1:21" x14ac:dyDescent="0.25">
      <c r="A2298" t="s">
        <v>10528</v>
      </c>
      <c r="B2298" t="s">
        <v>32</v>
      </c>
      <c r="C2298" t="s">
        <v>10529</v>
      </c>
      <c r="D2298">
        <f>39-632832405</f>
        <v>-632832366</v>
      </c>
      <c r="E2298" t="s">
        <v>10530</v>
      </c>
      <c r="F2298" t="s">
        <v>10222</v>
      </c>
      <c r="G2298" t="s">
        <v>10223</v>
      </c>
      <c r="H2298">
        <v>14.2489027976989</v>
      </c>
      <c r="I2298">
        <v>40.843050972766498</v>
      </c>
      <c r="J2298">
        <v>100</v>
      </c>
      <c r="K2298" t="s">
        <v>536</v>
      </c>
      <c r="L2298" t="s">
        <v>536</v>
      </c>
      <c r="M2298" t="s">
        <v>536</v>
      </c>
      <c r="N2298" t="s">
        <v>536</v>
      </c>
      <c r="O2298" t="s">
        <v>536</v>
      </c>
      <c r="P2298" t="s">
        <v>536</v>
      </c>
      <c r="Q2298" t="s">
        <v>536</v>
      </c>
      <c r="R2298" t="s">
        <v>10529</v>
      </c>
      <c r="T2298" t="s">
        <v>10297</v>
      </c>
      <c r="U2298" t="s">
        <v>10531</v>
      </c>
    </row>
    <row r="2299" spans="1:21" x14ac:dyDescent="0.25">
      <c r="A2299" t="s">
        <v>10532</v>
      </c>
      <c r="B2299" t="s">
        <v>22</v>
      </c>
      <c r="C2299" t="s">
        <v>10533</v>
      </c>
      <c r="D2299">
        <f>39-632832410</f>
        <v>-632832371</v>
      </c>
      <c r="E2299" t="s">
        <v>10259</v>
      </c>
      <c r="F2299" t="s">
        <v>10222</v>
      </c>
      <c r="G2299" t="s">
        <v>10223</v>
      </c>
      <c r="H2299">
        <v>12.445664405822701</v>
      </c>
      <c r="I2299">
        <v>41.717293691096799</v>
      </c>
      <c r="J2299">
        <v>100</v>
      </c>
      <c r="K2299" t="s">
        <v>536</v>
      </c>
      <c r="L2299" t="s">
        <v>536</v>
      </c>
      <c r="M2299" t="s">
        <v>536</v>
      </c>
      <c r="N2299" t="s">
        <v>536</v>
      </c>
      <c r="O2299" t="s">
        <v>536</v>
      </c>
      <c r="P2299" t="s">
        <v>536</v>
      </c>
      <c r="Q2299" t="s">
        <v>536</v>
      </c>
      <c r="R2299" t="s">
        <v>10534</v>
      </c>
      <c r="T2299" t="s">
        <v>10261</v>
      </c>
      <c r="U2299" t="s">
        <v>10535</v>
      </c>
    </row>
    <row r="2300" spans="1:21" x14ac:dyDescent="0.25">
      <c r="A2300" t="s">
        <v>10536</v>
      </c>
      <c r="B2300" t="s">
        <v>22</v>
      </c>
      <c r="C2300" t="s">
        <v>10537</v>
      </c>
      <c r="D2300">
        <f>39-632832411</f>
        <v>-632832372</v>
      </c>
      <c r="E2300" t="s">
        <v>10538</v>
      </c>
      <c r="F2300" t="s">
        <v>10222</v>
      </c>
      <c r="G2300" t="s">
        <v>10223</v>
      </c>
      <c r="H2300">
        <v>12.250472741491601</v>
      </c>
      <c r="I2300">
        <v>45.743572769053202</v>
      </c>
      <c r="J2300">
        <v>100</v>
      </c>
      <c r="K2300" t="s">
        <v>7628</v>
      </c>
      <c r="L2300" t="s">
        <v>7628</v>
      </c>
      <c r="M2300" t="s">
        <v>7628</v>
      </c>
      <c r="N2300" t="s">
        <v>7628</v>
      </c>
      <c r="O2300" t="s">
        <v>7628</v>
      </c>
      <c r="P2300" t="s">
        <v>7628</v>
      </c>
      <c r="Q2300" t="s">
        <v>45</v>
      </c>
      <c r="R2300" t="s">
        <v>10539</v>
      </c>
      <c r="T2300" t="s">
        <v>3610</v>
      </c>
      <c r="U2300" t="s">
        <v>10540</v>
      </c>
    </row>
    <row r="2301" spans="1:21" x14ac:dyDescent="0.25">
      <c r="A2301" t="s">
        <v>10541</v>
      </c>
      <c r="B2301" t="s">
        <v>38</v>
      </c>
      <c r="C2301" t="s">
        <v>10542</v>
      </c>
      <c r="D2301">
        <f>39-632832412</f>
        <v>-632832373</v>
      </c>
      <c r="E2301" t="s">
        <v>10229</v>
      </c>
      <c r="F2301" t="s">
        <v>10222</v>
      </c>
      <c r="G2301" t="s">
        <v>10223</v>
      </c>
      <c r="H2301">
        <v>9.6329402999999996</v>
      </c>
      <c r="I2301">
        <v>45.647714399999998</v>
      </c>
      <c r="J2301">
        <v>100</v>
      </c>
      <c r="K2301" t="s">
        <v>312</v>
      </c>
      <c r="L2301" t="s">
        <v>312</v>
      </c>
      <c r="M2301" t="s">
        <v>312</v>
      </c>
      <c r="N2301" t="s">
        <v>312</v>
      </c>
      <c r="O2301" t="s">
        <v>312</v>
      </c>
      <c r="P2301" t="s">
        <v>312</v>
      </c>
      <c r="Q2301" t="s">
        <v>312</v>
      </c>
      <c r="R2301" t="s">
        <v>10543</v>
      </c>
      <c r="T2301" t="s">
        <v>10225</v>
      </c>
      <c r="U2301" t="s">
        <v>10544</v>
      </c>
    </row>
    <row r="2302" spans="1:21" x14ac:dyDescent="0.25">
      <c r="A2302" t="s">
        <v>10545</v>
      </c>
      <c r="B2302" t="s">
        <v>22</v>
      </c>
      <c r="C2302" t="s">
        <v>10546</v>
      </c>
      <c r="D2302">
        <f>39-632832413</f>
        <v>-632832374</v>
      </c>
      <c r="E2302" t="s">
        <v>10547</v>
      </c>
      <c r="F2302" t="s">
        <v>10222</v>
      </c>
      <c r="G2302" t="s">
        <v>10223</v>
      </c>
      <c r="H2302">
        <v>10.6363126999999</v>
      </c>
      <c r="I2302">
        <v>44.697429900000003</v>
      </c>
      <c r="J2302">
        <v>100</v>
      </c>
      <c r="K2302" t="s">
        <v>1434</v>
      </c>
      <c r="L2302" t="s">
        <v>1434</v>
      </c>
      <c r="M2302" t="s">
        <v>1434</v>
      </c>
      <c r="N2302" t="s">
        <v>1434</v>
      </c>
      <c r="O2302" t="s">
        <v>1434</v>
      </c>
      <c r="P2302" t="s">
        <v>7628</v>
      </c>
      <c r="Q2302" t="s">
        <v>1434</v>
      </c>
      <c r="R2302" t="s">
        <v>10546</v>
      </c>
      <c r="T2302" t="s">
        <v>10245</v>
      </c>
      <c r="U2302" t="s">
        <v>10548</v>
      </c>
    </row>
    <row r="2303" spans="1:21" x14ac:dyDescent="0.25">
      <c r="A2303" t="s">
        <v>10549</v>
      </c>
      <c r="B2303" t="s">
        <v>38</v>
      </c>
      <c r="C2303" t="s">
        <v>10550</v>
      </c>
      <c r="D2303">
        <f>39-632832414</f>
        <v>-632832375</v>
      </c>
      <c r="E2303" t="s">
        <v>10551</v>
      </c>
      <c r="F2303" t="s">
        <v>10222</v>
      </c>
      <c r="G2303" t="s">
        <v>10223</v>
      </c>
      <c r="H2303">
        <v>14.65181350708</v>
      </c>
      <c r="I2303">
        <v>36.941523031933599</v>
      </c>
      <c r="J2303">
        <v>100</v>
      </c>
      <c r="K2303" t="s">
        <v>536</v>
      </c>
      <c r="L2303" t="s">
        <v>536</v>
      </c>
      <c r="M2303" t="s">
        <v>536</v>
      </c>
      <c r="N2303" t="s">
        <v>536</v>
      </c>
      <c r="O2303" t="s">
        <v>536</v>
      </c>
      <c r="P2303" t="s">
        <v>536</v>
      </c>
      <c r="Q2303" t="s">
        <v>536</v>
      </c>
      <c r="R2303" t="s">
        <v>10552</v>
      </c>
      <c r="T2303" t="s">
        <v>10348</v>
      </c>
      <c r="U2303" t="s">
        <v>10553</v>
      </c>
    </row>
    <row r="2304" spans="1:21" x14ac:dyDescent="0.25">
      <c r="A2304" t="s">
        <v>10554</v>
      </c>
      <c r="B2304" t="s">
        <v>38</v>
      </c>
      <c r="C2304" t="s">
        <v>10555</v>
      </c>
      <c r="D2304">
        <f>39-632832416</f>
        <v>-632832377</v>
      </c>
      <c r="E2304" t="s">
        <v>10556</v>
      </c>
      <c r="F2304" t="s">
        <v>10222</v>
      </c>
      <c r="G2304" t="s">
        <v>10223</v>
      </c>
      <c r="H2304">
        <v>14.8013305664062</v>
      </c>
      <c r="I2304">
        <v>36.827424366512197</v>
      </c>
      <c r="J2304">
        <v>100</v>
      </c>
      <c r="K2304" t="s">
        <v>7628</v>
      </c>
      <c r="L2304" t="s">
        <v>7628</v>
      </c>
      <c r="M2304" t="s">
        <v>7628</v>
      </c>
      <c r="N2304" t="s">
        <v>7628</v>
      </c>
      <c r="O2304" t="s">
        <v>7628</v>
      </c>
      <c r="P2304" t="s">
        <v>312</v>
      </c>
      <c r="Q2304" t="s">
        <v>536</v>
      </c>
      <c r="R2304" t="s">
        <v>10557</v>
      </c>
      <c r="T2304" t="s">
        <v>10348</v>
      </c>
      <c r="U2304" t="s">
        <v>10558</v>
      </c>
    </row>
    <row r="2305" spans="1:21" x14ac:dyDescent="0.25">
      <c r="A2305" t="s">
        <v>10559</v>
      </c>
      <c r="B2305" t="s">
        <v>22</v>
      </c>
      <c r="C2305" t="s">
        <v>10560</v>
      </c>
      <c r="D2305">
        <f>39-632832418</f>
        <v>-632832379</v>
      </c>
      <c r="E2305" t="s">
        <v>10561</v>
      </c>
      <c r="F2305" t="s">
        <v>10222</v>
      </c>
      <c r="G2305" t="s">
        <v>10223</v>
      </c>
      <c r="H2305">
        <v>7.64536857604981</v>
      </c>
      <c r="I2305">
        <v>45.109241114641399</v>
      </c>
      <c r="J2305">
        <v>100</v>
      </c>
      <c r="K2305" t="s">
        <v>312</v>
      </c>
      <c r="L2305" t="s">
        <v>312</v>
      </c>
      <c r="M2305" t="s">
        <v>312</v>
      </c>
      <c r="N2305" t="s">
        <v>312</v>
      </c>
      <c r="O2305" t="s">
        <v>312</v>
      </c>
      <c r="P2305" t="s">
        <v>312</v>
      </c>
      <c r="Q2305" t="s">
        <v>312</v>
      </c>
      <c r="R2305" t="s">
        <v>10562</v>
      </c>
      <c r="T2305" t="s">
        <v>10386</v>
      </c>
      <c r="U2305" t="s">
        <v>10563</v>
      </c>
    </row>
    <row r="2306" spans="1:21" x14ac:dyDescent="0.25">
      <c r="A2306" t="s">
        <v>10564</v>
      </c>
      <c r="B2306" t="s">
        <v>38</v>
      </c>
      <c r="C2306" t="s">
        <v>10565</v>
      </c>
      <c r="D2306">
        <f>39-632832419</f>
        <v>-632832380</v>
      </c>
      <c r="E2306" t="s">
        <v>10566</v>
      </c>
      <c r="F2306" t="s">
        <v>10222</v>
      </c>
      <c r="G2306" t="s">
        <v>10223</v>
      </c>
      <c r="H2306">
        <v>10.5413174629211</v>
      </c>
      <c r="I2306">
        <v>45.466391309665198</v>
      </c>
      <c r="J2306">
        <v>100</v>
      </c>
      <c r="K2306" t="s">
        <v>7628</v>
      </c>
      <c r="L2306" t="s">
        <v>7628</v>
      </c>
      <c r="M2306" t="s">
        <v>7628</v>
      </c>
      <c r="N2306" t="s">
        <v>7628</v>
      </c>
      <c r="O2306" t="s">
        <v>7628</v>
      </c>
      <c r="P2306" t="s">
        <v>7628</v>
      </c>
      <c r="Q2306" t="s">
        <v>7628</v>
      </c>
      <c r="R2306" t="s">
        <v>10567</v>
      </c>
      <c r="T2306" t="s">
        <v>10225</v>
      </c>
      <c r="U2306" t="s">
        <v>10568</v>
      </c>
    </row>
    <row r="2307" spans="1:21" x14ac:dyDescent="0.25">
      <c r="A2307" t="s">
        <v>10569</v>
      </c>
      <c r="B2307" t="s">
        <v>38</v>
      </c>
      <c r="C2307" t="s">
        <v>10570</v>
      </c>
      <c r="D2307">
        <f>39-632832420</f>
        <v>-632832381</v>
      </c>
      <c r="E2307" t="s">
        <v>10221</v>
      </c>
      <c r="F2307" t="s">
        <v>10222</v>
      </c>
      <c r="G2307" t="s">
        <v>10223</v>
      </c>
      <c r="H2307">
        <v>9.2181301116943395</v>
      </c>
      <c r="I2307">
        <v>45.529260430786898</v>
      </c>
      <c r="J2307">
        <v>100</v>
      </c>
      <c r="K2307" t="s">
        <v>312</v>
      </c>
      <c r="L2307" t="s">
        <v>312</v>
      </c>
      <c r="M2307" t="s">
        <v>312</v>
      </c>
      <c r="N2307" t="s">
        <v>312</v>
      </c>
      <c r="O2307" t="s">
        <v>312</v>
      </c>
      <c r="P2307" t="s">
        <v>312</v>
      </c>
      <c r="Q2307" t="s">
        <v>312</v>
      </c>
      <c r="R2307" t="s">
        <v>10571</v>
      </c>
      <c r="T2307" t="s">
        <v>10225</v>
      </c>
      <c r="U2307" t="s">
        <v>10572</v>
      </c>
    </row>
    <row r="2308" spans="1:21" x14ac:dyDescent="0.25">
      <c r="A2308" t="s">
        <v>10573</v>
      </c>
      <c r="B2308" t="s">
        <v>22</v>
      </c>
      <c r="C2308" t="s">
        <v>10574</v>
      </c>
      <c r="D2308">
        <f>39-632832421</f>
        <v>-632832382</v>
      </c>
      <c r="E2308" t="s">
        <v>10575</v>
      </c>
      <c r="F2308" t="s">
        <v>10222</v>
      </c>
      <c r="G2308" t="s">
        <v>10223</v>
      </c>
      <c r="H2308">
        <v>12.484245300292899</v>
      </c>
      <c r="I2308">
        <v>43.085940390805099</v>
      </c>
      <c r="J2308">
        <v>100</v>
      </c>
      <c r="K2308" t="s">
        <v>312</v>
      </c>
      <c r="L2308" t="s">
        <v>312</v>
      </c>
      <c r="M2308" t="s">
        <v>312</v>
      </c>
      <c r="N2308" t="s">
        <v>312</v>
      </c>
      <c r="O2308" t="s">
        <v>312</v>
      </c>
      <c r="P2308" t="s">
        <v>312</v>
      </c>
      <c r="Q2308" t="s">
        <v>312</v>
      </c>
      <c r="R2308" t="s">
        <v>10576</v>
      </c>
      <c r="T2308" t="s">
        <v>10577</v>
      </c>
      <c r="U2308" t="s">
        <v>10578</v>
      </c>
    </row>
    <row r="2309" spans="1:21" x14ac:dyDescent="0.25">
      <c r="A2309" t="s">
        <v>10579</v>
      </c>
      <c r="B2309" t="s">
        <v>38</v>
      </c>
      <c r="C2309" t="s">
        <v>10580</v>
      </c>
      <c r="D2309">
        <f>39-632832422</f>
        <v>-632832383</v>
      </c>
      <c r="E2309" t="s">
        <v>10316</v>
      </c>
      <c r="F2309" t="s">
        <v>10222</v>
      </c>
      <c r="G2309" t="s">
        <v>10223</v>
      </c>
      <c r="H2309">
        <v>13.807711601257299</v>
      </c>
      <c r="I2309">
        <v>45.593260568220799</v>
      </c>
      <c r="J2309">
        <v>100</v>
      </c>
      <c r="K2309" t="s">
        <v>253</v>
      </c>
      <c r="L2309" t="s">
        <v>253</v>
      </c>
      <c r="M2309" t="s">
        <v>253</v>
      </c>
      <c r="N2309" t="s">
        <v>253</v>
      </c>
      <c r="O2309" t="s">
        <v>253</v>
      </c>
      <c r="P2309" t="s">
        <v>253</v>
      </c>
      <c r="Q2309" t="s">
        <v>10581</v>
      </c>
      <c r="R2309" t="s">
        <v>10582</v>
      </c>
      <c r="T2309" t="s">
        <v>10272</v>
      </c>
      <c r="U2309" t="s">
        <v>10583</v>
      </c>
    </row>
    <row r="2310" spans="1:21" x14ac:dyDescent="0.25">
      <c r="A2310" t="s">
        <v>10584</v>
      </c>
      <c r="B2310" t="s">
        <v>22</v>
      </c>
      <c r="C2310" t="s">
        <v>10585</v>
      </c>
      <c r="D2310">
        <f>39-632832423</f>
        <v>-632832384</v>
      </c>
      <c r="E2310" t="s">
        <v>10586</v>
      </c>
      <c r="F2310" t="s">
        <v>10222</v>
      </c>
      <c r="G2310" t="s">
        <v>10223</v>
      </c>
      <c r="H2310">
        <v>10.928243500000001</v>
      </c>
      <c r="I2310">
        <v>44.6456424</v>
      </c>
      <c r="J2310">
        <v>100</v>
      </c>
      <c r="K2310" t="s">
        <v>1434</v>
      </c>
      <c r="L2310" t="s">
        <v>1434</v>
      </c>
      <c r="M2310" t="s">
        <v>1434</v>
      </c>
      <c r="N2310" t="s">
        <v>1434</v>
      </c>
      <c r="O2310" t="s">
        <v>1434</v>
      </c>
      <c r="P2310" t="s">
        <v>7628</v>
      </c>
      <c r="Q2310" t="s">
        <v>1434</v>
      </c>
      <c r="R2310" t="s">
        <v>10546</v>
      </c>
      <c r="T2310" t="s">
        <v>10245</v>
      </c>
      <c r="U2310" t="s">
        <v>10587</v>
      </c>
    </row>
    <row r="2311" spans="1:21" x14ac:dyDescent="0.25">
      <c r="A2311" t="s">
        <v>10588</v>
      </c>
      <c r="B2311" t="s">
        <v>38</v>
      </c>
      <c r="C2311" t="s">
        <v>10589</v>
      </c>
      <c r="D2311">
        <f>39-632832424</f>
        <v>-632832385</v>
      </c>
      <c r="E2311" t="s">
        <v>10590</v>
      </c>
      <c r="F2311" t="s">
        <v>10222</v>
      </c>
      <c r="G2311" t="s">
        <v>10223</v>
      </c>
      <c r="H2311">
        <v>11.5964555740356</v>
      </c>
      <c r="I2311">
        <v>45.529380687164299</v>
      </c>
      <c r="J2311">
        <v>100</v>
      </c>
      <c r="K2311" t="s">
        <v>7628</v>
      </c>
      <c r="L2311" t="s">
        <v>7628</v>
      </c>
      <c r="M2311" t="s">
        <v>7628</v>
      </c>
      <c r="N2311" t="s">
        <v>7628</v>
      </c>
      <c r="O2311" t="s">
        <v>7628</v>
      </c>
      <c r="P2311" t="s">
        <v>7628</v>
      </c>
      <c r="Q2311" t="s">
        <v>7628</v>
      </c>
      <c r="R2311" t="s">
        <v>10591</v>
      </c>
      <c r="T2311" t="s">
        <v>3610</v>
      </c>
      <c r="U2311" t="s">
        <v>10592</v>
      </c>
    </row>
    <row r="2312" spans="1:21" x14ac:dyDescent="0.25">
      <c r="A2312" t="s">
        <v>10593</v>
      </c>
      <c r="B2312" t="s">
        <v>38</v>
      </c>
      <c r="C2312" t="s">
        <v>10594</v>
      </c>
      <c r="D2312">
        <f>39-632832426</f>
        <v>-632832387</v>
      </c>
      <c r="E2312" t="s">
        <v>10595</v>
      </c>
      <c r="F2312" t="s">
        <v>10222</v>
      </c>
      <c r="G2312" t="s">
        <v>10223</v>
      </c>
      <c r="H2312">
        <v>10.7665586471557</v>
      </c>
      <c r="I2312">
        <v>43.863618969830902</v>
      </c>
      <c r="J2312">
        <v>100</v>
      </c>
      <c r="K2312" t="s">
        <v>312</v>
      </c>
      <c r="L2312" t="s">
        <v>312</v>
      </c>
      <c r="M2312" t="s">
        <v>312</v>
      </c>
      <c r="N2312" t="s">
        <v>312</v>
      </c>
      <c r="O2312" t="s">
        <v>312</v>
      </c>
      <c r="P2312" t="s">
        <v>312</v>
      </c>
      <c r="Q2312" t="s">
        <v>185</v>
      </c>
      <c r="R2312" t="s">
        <v>10594</v>
      </c>
      <c r="S2312" t="s">
        <v>10596</v>
      </c>
      <c r="T2312" t="s">
        <v>10396</v>
      </c>
      <c r="U2312" t="s">
        <v>10597</v>
      </c>
    </row>
    <row r="2313" spans="1:21" x14ac:dyDescent="0.25">
      <c r="A2313" t="s">
        <v>10598</v>
      </c>
      <c r="B2313" t="s">
        <v>38</v>
      </c>
      <c r="C2313" t="s">
        <v>10599</v>
      </c>
      <c r="D2313">
        <f>39-632832430</f>
        <v>-632832391</v>
      </c>
      <c r="E2313" t="s">
        <v>10600</v>
      </c>
      <c r="F2313" t="s">
        <v>10222</v>
      </c>
      <c r="G2313" t="s">
        <v>10223</v>
      </c>
      <c r="H2313">
        <v>13.5284906</v>
      </c>
      <c r="I2313">
        <v>43.518269400000001</v>
      </c>
      <c r="J2313">
        <v>100</v>
      </c>
      <c r="K2313" t="s">
        <v>7628</v>
      </c>
      <c r="L2313" t="s">
        <v>7628</v>
      </c>
      <c r="M2313" t="s">
        <v>7628</v>
      </c>
      <c r="N2313" t="s">
        <v>7628</v>
      </c>
      <c r="O2313" t="s">
        <v>7628</v>
      </c>
      <c r="P2313" t="s">
        <v>7628</v>
      </c>
      <c r="Q2313" t="s">
        <v>7628</v>
      </c>
      <c r="R2313" t="s">
        <v>10601</v>
      </c>
      <c r="T2313" t="s">
        <v>918</v>
      </c>
      <c r="U2313" t="s">
        <v>10602</v>
      </c>
    </row>
    <row r="2314" spans="1:21" x14ac:dyDescent="0.25">
      <c r="A2314" t="s">
        <v>10603</v>
      </c>
      <c r="B2314" t="s">
        <v>22</v>
      </c>
      <c r="C2314" t="s">
        <v>10604</v>
      </c>
      <c r="D2314">
        <f>39-632832432</f>
        <v>-632832393</v>
      </c>
      <c r="E2314" t="s">
        <v>10605</v>
      </c>
      <c r="F2314" t="s">
        <v>10222</v>
      </c>
      <c r="G2314" t="s">
        <v>10223</v>
      </c>
      <c r="H2314">
        <v>10.218365800000001</v>
      </c>
      <c r="I2314">
        <v>45.537248099999999</v>
      </c>
      <c r="J2314">
        <v>100</v>
      </c>
      <c r="K2314" t="s">
        <v>253</v>
      </c>
      <c r="L2314" t="s">
        <v>253</v>
      </c>
      <c r="M2314" t="s">
        <v>253</v>
      </c>
      <c r="N2314" t="s">
        <v>253</v>
      </c>
      <c r="O2314" t="s">
        <v>192</v>
      </c>
      <c r="P2314" t="s">
        <v>192</v>
      </c>
      <c r="Q2314" t="s">
        <v>10606</v>
      </c>
      <c r="R2314" t="s">
        <v>10604</v>
      </c>
      <c r="T2314" t="s">
        <v>10225</v>
      </c>
      <c r="U2314" t="s">
        <v>10607</v>
      </c>
    </row>
    <row r="2315" spans="1:21" x14ac:dyDescent="0.25">
      <c r="A2315" t="s">
        <v>10608</v>
      </c>
      <c r="B2315" t="s">
        <v>22</v>
      </c>
      <c r="C2315" t="s">
        <v>10609</v>
      </c>
      <c r="D2315">
        <f>39-632832433</f>
        <v>-632832394</v>
      </c>
      <c r="E2315" t="s">
        <v>10538</v>
      </c>
      <c r="F2315" t="s">
        <v>10222</v>
      </c>
      <c r="G2315" t="s">
        <v>10223</v>
      </c>
      <c r="H2315">
        <v>12.244584</v>
      </c>
      <c r="I2315">
        <v>45.663150100000003</v>
      </c>
      <c r="J2315">
        <v>100</v>
      </c>
      <c r="K2315" t="s">
        <v>192</v>
      </c>
      <c r="L2315" t="s">
        <v>192</v>
      </c>
      <c r="M2315" t="s">
        <v>192</v>
      </c>
      <c r="N2315" t="s">
        <v>192</v>
      </c>
      <c r="O2315" t="s">
        <v>192</v>
      </c>
      <c r="P2315" t="s">
        <v>192</v>
      </c>
      <c r="Q2315" t="s">
        <v>45</v>
      </c>
      <c r="R2315" t="s">
        <v>10609</v>
      </c>
      <c r="T2315" t="s">
        <v>3610</v>
      </c>
      <c r="U2315" t="s">
        <v>10610</v>
      </c>
    </row>
    <row r="2316" spans="1:21" x14ac:dyDescent="0.25">
      <c r="A2316" t="s">
        <v>10611</v>
      </c>
      <c r="B2316" t="s">
        <v>22</v>
      </c>
      <c r="C2316" t="s">
        <v>10612</v>
      </c>
      <c r="D2316">
        <f>39-632832434</f>
        <v>-632832395</v>
      </c>
      <c r="E2316" t="s">
        <v>10613</v>
      </c>
      <c r="F2316" t="s">
        <v>10222</v>
      </c>
      <c r="G2316" t="s">
        <v>10223</v>
      </c>
      <c r="H2316">
        <v>11.1226719</v>
      </c>
      <c r="I2316">
        <v>46.068632299999997</v>
      </c>
      <c r="J2316">
        <v>100</v>
      </c>
      <c r="K2316" t="s">
        <v>192</v>
      </c>
      <c r="L2316" t="s">
        <v>192</v>
      </c>
      <c r="M2316" t="s">
        <v>192</v>
      </c>
      <c r="N2316" t="s">
        <v>192</v>
      </c>
      <c r="O2316" t="s">
        <v>192</v>
      </c>
      <c r="P2316" t="s">
        <v>192</v>
      </c>
      <c r="Q2316" t="s">
        <v>535</v>
      </c>
      <c r="R2316" t="s">
        <v>10612</v>
      </c>
      <c r="T2316" t="s">
        <v>10336</v>
      </c>
      <c r="U2316" t="s">
        <v>10614</v>
      </c>
    </row>
    <row r="2317" spans="1:21" x14ac:dyDescent="0.25">
      <c r="A2317" t="s">
        <v>10615</v>
      </c>
      <c r="B2317" t="s">
        <v>38</v>
      </c>
      <c r="C2317" t="s">
        <v>10616</v>
      </c>
      <c r="D2317">
        <f>39-632832435</f>
        <v>-632832396</v>
      </c>
      <c r="E2317" t="s">
        <v>10617</v>
      </c>
      <c r="F2317" t="s">
        <v>10222</v>
      </c>
      <c r="G2317" t="s">
        <v>10223</v>
      </c>
      <c r="H2317">
        <v>13.768358230590801</v>
      </c>
      <c r="I2317">
        <v>37.386901433968703</v>
      </c>
      <c r="J2317">
        <v>100</v>
      </c>
      <c r="K2317" t="s">
        <v>10618</v>
      </c>
      <c r="L2317" t="s">
        <v>1189</v>
      </c>
      <c r="M2317" t="s">
        <v>1189</v>
      </c>
      <c r="N2317" t="s">
        <v>1189</v>
      </c>
      <c r="O2317" t="s">
        <v>1189</v>
      </c>
      <c r="P2317" t="s">
        <v>2137</v>
      </c>
      <c r="Q2317" t="s">
        <v>2137</v>
      </c>
      <c r="R2317" t="s">
        <v>10619</v>
      </c>
      <c r="T2317" t="s">
        <v>10348</v>
      </c>
      <c r="U2317" t="s">
        <v>10620</v>
      </c>
    </row>
    <row r="2318" spans="1:21" x14ac:dyDescent="0.25">
      <c r="A2318" t="s">
        <v>10621</v>
      </c>
      <c r="B2318" t="s">
        <v>38</v>
      </c>
      <c r="C2318" t="s">
        <v>10622</v>
      </c>
      <c r="D2318">
        <f>39-632832436</f>
        <v>-632832397</v>
      </c>
      <c r="E2318" t="s">
        <v>10623</v>
      </c>
      <c r="F2318" t="s">
        <v>10222</v>
      </c>
      <c r="G2318" t="s">
        <v>10223</v>
      </c>
      <c r="H2318">
        <v>11.7794036865234</v>
      </c>
      <c r="I2318">
        <v>45.034229539202997</v>
      </c>
      <c r="J2318">
        <v>100</v>
      </c>
      <c r="K2318" t="s">
        <v>7628</v>
      </c>
      <c r="L2318" t="s">
        <v>7628</v>
      </c>
      <c r="M2318" t="s">
        <v>7628</v>
      </c>
      <c r="N2318" t="s">
        <v>7628</v>
      </c>
      <c r="O2318" t="s">
        <v>7628</v>
      </c>
      <c r="P2318" t="s">
        <v>7628</v>
      </c>
      <c r="Q2318" t="s">
        <v>45</v>
      </c>
      <c r="R2318" t="s">
        <v>10624</v>
      </c>
      <c r="T2318" t="s">
        <v>3610</v>
      </c>
      <c r="U2318" t="s">
        <v>10625</v>
      </c>
    </row>
    <row r="2319" spans="1:21" x14ac:dyDescent="0.25">
      <c r="A2319" t="s">
        <v>10626</v>
      </c>
      <c r="B2319" t="s">
        <v>38</v>
      </c>
      <c r="C2319" t="s">
        <v>10627</v>
      </c>
      <c r="D2319">
        <f>39-632832437</f>
        <v>-632832398</v>
      </c>
      <c r="E2319" t="s">
        <v>10270</v>
      </c>
      <c r="F2319" t="s">
        <v>10222</v>
      </c>
      <c r="G2319" t="s">
        <v>10223</v>
      </c>
      <c r="H2319">
        <v>13.2840156555175</v>
      </c>
      <c r="I2319">
        <v>46.019614965927097</v>
      </c>
      <c r="J2319">
        <v>100</v>
      </c>
      <c r="K2319" t="s">
        <v>7628</v>
      </c>
      <c r="L2319" t="s">
        <v>7628</v>
      </c>
      <c r="M2319" t="s">
        <v>7628</v>
      </c>
      <c r="N2319" t="s">
        <v>7628</v>
      </c>
      <c r="O2319" t="s">
        <v>7628</v>
      </c>
      <c r="P2319" t="s">
        <v>7628</v>
      </c>
      <c r="Q2319" t="s">
        <v>192</v>
      </c>
      <c r="R2319" t="s">
        <v>10628</v>
      </c>
      <c r="T2319" t="s">
        <v>10272</v>
      </c>
      <c r="U2319" t="s">
        <v>10629</v>
      </c>
    </row>
    <row r="2320" spans="1:21" x14ac:dyDescent="0.25">
      <c r="A2320" t="s">
        <v>10630</v>
      </c>
      <c r="B2320" t="s">
        <v>22</v>
      </c>
      <c r="C2320" t="s">
        <v>10631</v>
      </c>
      <c r="D2320">
        <f>39-632832438</f>
        <v>-632832399</v>
      </c>
      <c r="E2320" t="s">
        <v>10259</v>
      </c>
      <c r="F2320" t="s">
        <v>10222</v>
      </c>
      <c r="G2320" t="s">
        <v>10223</v>
      </c>
      <c r="H2320">
        <v>12.5228541150054</v>
      </c>
      <c r="I2320">
        <v>41.874244526964802</v>
      </c>
      <c r="J2320">
        <v>100</v>
      </c>
      <c r="K2320" t="s">
        <v>1189</v>
      </c>
      <c r="L2320" t="s">
        <v>1189</v>
      </c>
      <c r="M2320" t="s">
        <v>1189</v>
      </c>
      <c r="N2320" t="s">
        <v>1189</v>
      </c>
      <c r="O2320" t="s">
        <v>1189</v>
      </c>
      <c r="P2320" t="s">
        <v>1189</v>
      </c>
      <c r="Q2320" t="s">
        <v>1189</v>
      </c>
      <c r="R2320" t="s">
        <v>10632</v>
      </c>
      <c r="T2320" t="s">
        <v>10261</v>
      </c>
      <c r="U2320" t="s">
        <v>10633</v>
      </c>
    </row>
    <row r="2321" spans="1:21" x14ac:dyDescent="0.25">
      <c r="A2321" t="s">
        <v>10634</v>
      </c>
      <c r="B2321" t="s">
        <v>22</v>
      </c>
      <c r="C2321" t="s">
        <v>10635</v>
      </c>
      <c r="D2321">
        <f>39-632832440</f>
        <v>-632832401</v>
      </c>
      <c r="E2321" t="s">
        <v>10636</v>
      </c>
      <c r="F2321" t="s">
        <v>10222</v>
      </c>
      <c r="G2321" t="s">
        <v>10223</v>
      </c>
      <c r="H2321">
        <v>7.5463313999999899</v>
      </c>
      <c r="I2321">
        <v>44.388149800000001</v>
      </c>
      <c r="J2321">
        <v>100</v>
      </c>
      <c r="K2321" t="s">
        <v>192</v>
      </c>
      <c r="L2321" t="s">
        <v>192</v>
      </c>
      <c r="M2321" t="s">
        <v>192</v>
      </c>
      <c r="N2321" t="s">
        <v>192</v>
      </c>
      <c r="O2321" t="s">
        <v>192</v>
      </c>
      <c r="P2321" t="s">
        <v>192</v>
      </c>
      <c r="Q2321" t="s">
        <v>185</v>
      </c>
      <c r="R2321" t="s">
        <v>10635</v>
      </c>
      <c r="T2321" t="s">
        <v>10386</v>
      </c>
      <c r="U2321" t="s">
        <v>10637</v>
      </c>
    </row>
    <row r="2322" spans="1:21" x14ac:dyDescent="0.25">
      <c r="A2322" t="s">
        <v>10638</v>
      </c>
      <c r="B2322" t="s">
        <v>38</v>
      </c>
      <c r="C2322" t="s">
        <v>10639</v>
      </c>
      <c r="D2322">
        <f>39-632832441</f>
        <v>-632832402</v>
      </c>
      <c r="E2322" t="s">
        <v>10640</v>
      </c>
      <c r="F2322" t="s">
        <v>10222</v>
      </c>
      <c r="G2322" t="s">
        <v>10223</v>
      </c>
      <c r="H2322">
        <v>12.6342988014221</v>
      </c>
      <c r="I2322">
        <v>42.549879326118102</v>
      </c>
      <c r="J2322">
        <v>100</v>
      </c>
      <c r="K2322" t="s">
        <v>1652</v>
      </c>
      <c r="L2322" t="s">
        <v>1652</v>
      </c>
      <c r="M2322" t="s">
        <v>1652</v>
      </c>
      <c r="N2322" t="s">
        <v>1652</v>
      </c>
      <c r="O2322" t="s">
        <v>1652</v>
      </c>
      <c r="P2322" t="s">
        <v>1652</v>
      </c>
      <c r="Q2322" t="s">
        <v>1652</v>
      </c>
      <c r="R2322" t="s">
        <v>10641</v>
      </c>
      <c r="T2322" t="s">
        <v>10577</v>
      </c>
      <c r="U2322" t="s">
        <v>10642</v>
      </c>
    </row>
    <row r="2323" spans="1:21" x14ac:dyDescent="0.25">
      <c r="A2323" t="s">
        <v>10643</v>
      </c>
      <c r="B2323" t="s">
        <v>38</v>
      </c>
      <c r="C2323" t="s">
        <v>10644</v>
      </c>
      <c r="D2323">
        <f>39-632832442</f>
        <v>-632832403</v>
      </c>
      <c r="E2323" t="s">
        <v>10575</v>
      </c>
      <c r="F2323" t="s">
        <v>10222</v>
      </c>
      <c r="G2323" t="s">
        <v>10223</v>
      </c>
      <c r="H2323">
        <v>12.289259599999999</v>
      </c>
      <c r="I2323">
        <v>43.123787200000002</v>
      </c>
      <c r="J2323">
        <v>100</v>
      </c>
      <c r="K2323" t="s">
        <v>312</v>
      </c>
      <c r="L2323" t="s">
        <v>312</v>
      </c>
      <c r="M2323" t="s">
        <v>312</v>
      </c>
      <c r="N2323" t="s">
        <v>312</v>
      </c>
      <c r="O2323" t="s">
        <v>312</v>
      </c>
      <c r="P2323" t="s">
        <v>312</v>
      </c>
      <c r="Q2323" t="s">
        <v>312</v>
      </c>
      <c r="R2323" t="s">
        <v>10645</v>
      </c>
      <c r="S2323" t="s">
        <v>10645</v>
      </c>
      <c r="T2323" t="s">
        <v>10577</v>
      </c>
      <c r="U2323" t="s">
        <v>10646</v>
      </c>
    </row>
    <row r="2324" spans="1:21" x14ac:dyDescent="0.25">
      <c r="A2324" t="s">
        <v>10647</v>
      </c>
      <c r="B2324" t="s">
        <v>38</v>
      </c>
      <c r="C2324" t="s">
        <v>10648</v>
      </c>
      <c r="D2324">
        <f>39-632832443</f>
        <v>-632832404</v>
      </c>
      <c r="E2324" t="s">
        <v>10649</v>
      </c>
      <c r="F2324" t="s">
        <v>10222</v>
      </c>
      <c r="G2324" t="s">
        <v>10223</v>
      </c>
      <c r="H2324">
        <v>13.348731994628899</v>
      </c>
      <c r="I2324">
        <v>42.3487124301516</v>
      </c>
      <c r="J2324">
        <v>100</v>
      </c>
      <c r="K2324" t="s">
        <v>312</v>
      </c>
      <c r="L2324" t="s">
        <v>312</v>
      </c>
      <c r="M2324" t="s">
        <v>312</v>
      </c>
      <c r="N2324" t="s">
        <v>312</v>
      </c>
      <c r="O2324" t="s">
        <v>312</v>
      </c>
      <c r="P2324" t="s">
        <v>312</v>
      </c>
      <c r="Q2324" t="s">
        <v>312</v>
      </c>
      <c r="R2324" t="s">
        <v>10650</v>
      </c>
      <c r="T2324" t="s">
        <v>10354</v>
      </c>
      <c r="U2324" t="s">
        <v>10651</v>
      </c>
    </row>
    <row r="2325" spans="1:21" x14ac:dyDescent="0.25">
      <c r="A2325" t="s">
        <v>10652</v>
      </c>
      <c r="B2325" t="s">
        <v>32</v>
      </c>
      <c r="C2325" t="s">
        <v>10653</v>
      </c>
      <c r="D2325">
        <f>39-632832444</f>
        <v>-632832405</v>
      </c>
      <c r="E2325" t="s">
        <v>10221</v>
      </c>
      <c r="F2325" t="s">
        <v>10222</v>
      </c>
      <c r="G2325" t="s">
        <v>10223</v>
      </c>
      <c r="H2325">
        <v>9.1910800000000599</v>
      </c>
      <c r="I2325">
        <v>45.4648204929548</v>
      </c>
      <c r="J2325">
        <v>100</v>
      </c>
      <c r="K2325" t="s">
        <v>10654</v>
      </c>
      <c r="L2325" t="s">
        <v>10654</v>
      </c>
      <c r="M2325" t="s">
        <v>10654</v>
      </c>
      <c r="N2325" t="s">
        <v>10654</v>
      </c>
      <c r="O2325" t="s">
        <v>10654</v>
      </c>
      <c r="P2325" t="s">
        <v>3543</v>
      </c>
      <c r="Q2325" t="s">
        <v>536</v>
      </c>
      <c r="R2325" t="s">
        <v>10653</v>
      </c>
      <c r="T2325" t="s">
        <v>10225</v>
      </c>
      <c r="U2325" t="s">
        <v>10655</v>
      </c>
    </row>
    <row r="2326" spans="1:21" x14ac:dyDescent="0.25">
      <c r="A2326" t="s">
        <v>10656</v>
      </c>
      <c r="B2326" t="s">
        <v>22</v>
      </c>
      <c r="C2326" t="s">
        <v>10657</v>
      </c>
      <c r="D2326">
        <f>39-632832447</f>
        <v>-632832408</v>
      </c>
      <c r="E2326" t="s">
        <v>10658</v>
      </c>
      <c r="F2326" t="s">
        <v>10222</v>
      </c>
      <c r="G2326" t="s">
        <v>10223</v>
      </c>
      <c r="H2326">
        <v>18.144106937234</v>
      </c>
      <c r="I2326">
        <v>40.376516597645796</v>
      </c>
      <c r="J2326">
        <v>100</v>
      </c>
      <c r="K2326" t="s">
        <v>10659</v>
      </c>
      <c r="L2326" t="s">
        <v>10659</v>
      </c>
      <c r="M2326" t="s">
        <v>10659</v>
      </c>
      <c r="N2326" t="s">
        <v>10659</v>
      </c>
      <c r="O2326" t="s">
        <v>10659</v>
      </c>
      <c r="P2326" t="s">
        <v>10659</v>
      </c>
      <c r="Q2326" t="s">
        <v>2137</v>
      </c>
      <c r="R2326" t="s">
        <v>10660</v>
      </c>
      <c r="T2326" t="s">
        <v>10303</v>
      </c>
      <c r="U2326" t="s">
        <v>10661</v>
      </c>
    </row>
    <row r="2327" spans="1:21" x14ac:dyDescent="0.25">
      <c r="A2327" t="s">
        <v>10662</v>
      </c>
      <c r="B2327" t="s">
        <v>38</v>
      </c>
      <c r="C2327" t="s">
        <v>10663</v>
      </c>
      <c r="D2327">
        <f>39-632832448</f>
        <v>-632832409</v>
      </c>
      <c r="E2327" t="s">
        <v>10229</v>
      </c>
      <c r="F2327" t="s">
        <v>10222</v>
      </c>
      <c r="G2327" t="s">
        <v>10223</v>
      </c>
      <c r="H2327">
        <v>9.7436007999999994</v>
      </c>
      <c r="I2327">
        <v>45.522520299999996</v>
      </c>
      <c r="J2327">
        <v>100</v>
      </c>
      <c r="K2327" t="s">
        <v>312</v>
      </c>
      <c r="L2327" t="s">
        <v>312</v>
      </c>
      <c r="M2327" t="s">
        <v>312</v>
      </c>
      <c r="N2327" t="s">
        <v>312</v>
      </c>
      <c r="O2327" t="s">
        <v>312</v>
      </c>
      <c r="P2327" t="s">
        <v>312</v>
      </c>
      <c r="Q2327" t="s">
        <v>312</v>
      </c>
      <c r="R2327" t="s">
        <v>10663</v>
      </c>
      <c r="T2327" t="s">
        <v>10225</v>
      </c>
      <c r="U2327" t="s">
        <v>10664</v>
      </c>
    </row>
    <row r="2328" spans="1:21" x14ac:dyDescent="0.25">
      <c r="A2328" t="s">
        <v>10665</v>
      </c>
      <c r="B2328" t="s">
        <v>22</v>
      </c>
      <c r="C2328" t="s">
        <v>10666</v>
      </c>
      <c r="D2328">
        <f>39-632832450</f>
        <v>-632832411</v>
      </c>
      <c r="E2328" t="s">
        <v>10667</v>
      </c>
      <c r="F2328" t="s">
        <v>10222</v>
      </c>
      <c r="G2328" t="s">
        <v>10223</v>
      </c>
      <c r="H2328">
        <v>10.4004853999999</v>
      </c>
      <c r="I2328">
        <v>43.7135915</v>
      </c>
      <c r="J2328">
        <v>100</v>
      </c>
      <c r="K2328" t="s">
        <v>45</v>
      </c>
      <c r="L2328" t="s">
        <v>45</v>
      </c>
      <c r="M2328" t="s">
        <v>45</v>
      </c>
      <c r="N2328" t="s">
        <v>45</v>
      </c>
      <c r="O2328" t="s">
        <v>45</v>
      </c>
      <c r="P2328" t="s">
        <v>45</v>
      </c>
      <c r="Q2328" t="s">
        <v>45</v>
      </c>
      <c r="R2328" t="s">
        <v>10666</v>
      </c>
      <c r="T2328" t="s">
        <v>10396</v>
      </c>
      <c r="U2328" t="s">
        <v>10668</v>
      </c>
    </row>
    <row r="2329" spans="1:21" x14ac:dyDescent="0.25">
      <c r="A2329" t="s">
        <v>10669</v>
      </c>
      <c r="B2329" t="s">
        <v>22</v>
      </c>
      <c r="C2329" t="s">
        <v>10670</v>
      </c>
      <c r="D2329">
        <f>39-632832453</f>
        <v>-632832414</v>
      </c>
      <c r="E2329" t="s">
        <v>10479</v>
      </c>
      <c r="F2329" t="s">
        <v>10222</v>
      </c>
      <c r="G2329" t="s">
        <v>10223</v>
      </c>
      <c r="H2329">
        <v>12.431610099999901</v>
      </c>
      <c r="I2329">
        <v>44.158700699999997</v>
      </c>
      <c r="J2329">
        <v>100</v>
      </c>
      <c r="K2329" t="s">
        <v>312</v>
      </c>
      <c r="L2329" t="s">
        <v>312</v>
      </c>
      <c r="M2329" t="s">
        <v>312</v>
      </c>
      <c r="N2329" t="s">
        <v>312</v>
      </c>
      <c r="O2329" t="s">
        <v>312</v>
      </c>
      <c r="P2329" t="s">
        <v>312</v>
      </c>
      <c r="Q2329" t="s">
        <v>7628</v>
      </c>
      <c r="R2329" t="s">
        <v>10671</v>
      </c>
      <c r="T2329" t="s">
        <v>10245</v>
      </c>
      <c r="U2329" t="s">
        <v>10672</v>
      </c>
    </row>
    <row r="2330" spans="1:21" x14ac:dyDescent="0.25">
      <c r="A2330" t="s">
        <v>10673</v>
      </c>
      <c r="B2330" t="s">
        <v>38</v>
      </c>
      <c r="C2330" t="s">
        <v>10674</v>
      </c>
      <c r="D2330">
        <f>39-632832454</f>
        <v>-632832415</v>
      </c>
      <c r="E2330" t="s">
        <v>10347</v>
      </c>
      <c r="F2330" t="s">
        <v>10222</v>
      </c>
      <c r="G2330" t="s">
        <v>10223</v>
      </c>
      <c r="H2330">
        <v>13.2999002999999</v>
      </c>
      <c r="I2330">
        <v>38.134443300000001</v>
      </c>
      <c r="J2330">
        <v>100</v>
      </c>
      <c r="K2330" t="s">
        <v>312</v>
      </c>
      <c r="L2330" t="s">
        <v>312</v>
      </c>
      <c r="M2330" t="s">
        <v>312</v>
      </c>
      <c r="N2330" t="s">
        <v>312</v>
      </c>
      <c r="O2330" t="s">
        <v>312</v>
      </c>
      <c r="P2330" t="s">
        <v>312</v>
      </c>
      <c r="Q2330" t="s">
        <v>312</v>
      </c>
      <c r="R2330" t="s">
        <v>10675</v>
      </c>
      <c r="T2330" t="s">
        <v>10348</v>
      </c>
      <c r="U2330" t="s">
        <v>10676</v>
      </c>
    </row>
    <row r="2331" spans="1:21" x14ac:dyDescent="0.25">
      <c r="A2331" t="s">
        <v>10677</v>
      </c>
      <c r="B2331" t="s">
        <v>22</v>
      </c>
      <c r="C2331" t="s">
        <v>10678</v>
      </c>
      <c r="D2331">
        <f>39-632832455</f>
        <v>-632832416</v>
      </c>
      <c r="E2331" t="s">
        <v>10530</v>
      </c>
      <c r="F2331" t="s">
        <v>10222</v>
      </c>
      <c r="G2331" t="s">
        <v>10223</v>
      </c>
      <c r="H2331">
        <v>14.309303999999999</v>
      </c>
      <c r="I2331">
        <v>40.923038599999998</v>
      </c>
      <c r="J2331">
        <v>100</v>
      </c>
      <c r="K2331" t="s">
        <v>536</v>
      </c>
      <c r="L2331" t="s">
        <v>312</v>
      </c>
      <c r="M2331" t="s">
        <v>312</v>
      </c>
      <c r="N2331" t="s">
        <v>312</v>
      </c>
      <c r="O2331" t="s">
        <v>312</v>
      </c>
      <c r="P2331" t="s">
        <v>312</v>
      </c>
      <c r="Q2331" t="s">
        <v>536</v>
      </c>
      <c r="R2331" t="s">
        <v>10679</v>
      </c>
      <c r="T2331" t="s">
        <v>10297</v>
      </c>
      <c r="U2331" t="s">
        <v>10680</v>
      </c>
    </row>
    <row r="2332" spans="1:21" x14ac:dyDescent="0.25">
      <c r="A2332" t="s">
        <v>10681</v>
      </c>
      <c r="B2332" t="s">
        <v>22</v>
      </c>
      <c r="C2332" t="s">
        <v>10682</v>
      </c>
      <c r="D2332">
        <f>39-632832457</f>
        <v>-632832418</v>
      </c>
      <c r="E2332" t="s">
        <v>10259</v>
      </c>
      <c r="F2332" t="s">
        <v>10222</v>
      </c>
      <c r="G2332" t="s">
        <v>10223</v>
      </c>
      <c r="H2332">
        <v>12.556643486022899</v>
      </c>
      <c r="I2332">
        <v>41.859844975978397</v>
      </c>
      <c r="J2332">
        <v>100</v>
      </c>
      <c r="K2332" t="s">
        <v>2068</v>
      </c>
      <c r="L2332" t="s">
        <v>184</v>
      </c>
      <c r="M2332" t="s">
        <v>1434</v>
      </c>
      <c r="N2332" t="s">
        <v>1434</v>
      </c>
      <c r="O2332" t="s">
        <v>1434</v>
      </c>
      <c r="P2332" t="s">
        <v>1434</v>
      </c>
      <c r="Q2332" t="s">
        <v>1189</v>
      </c>
      <c r="R2332" t="s">
        <v>10682</v>
      </c>
      <c r="T2332" t="s">
        <v>10261</v>
      </c>
      <c r="U2332" t="s">
        <v>10683</v>
      </c>
    </row>
    <row r="2333" spans="1:21" x14ac:dyDescent="0.25">
      <c r="A2333" t="s">
        <v>10684</v>
      </c>
      <c r="B2333" t="s">
        <v>38</v>
      </c>
      <c r="C2333" t="s">
        <v>10685</v>
      </c>
      <c r="D2333">
        <f>39-632832459</f>
        <v>-632832420</v>
      </c>
      <c r="E2333" t="s">
        <v>10686</v>
      </c>
      <c r="F2333" t="s">
        <v>10222</v>
      </c>
      <c r="G2333" t="s">
        <v>10223</v>
      </c>
      <c r="H2333">
        <v>13.702450099999901</v>
      </c>
      <c r="I2333">
        <v>43.29477</v>
      </c>
      <c r="J2333">
        <v>100</v>
      </c>
      <c r="K2333" t="s">
        <v>312</v>
      </c>
      <c r="L2333" t="s">
        <v>312</v>
      </c>
      <c r="M2333" t="s">
        <v>312</v>
      </c>
      <c r="N2333" t="s">
        <v>312</v>
      </c>
      <c r="O2333" t="s">
        <v>312</v>
      </c>
      <c r="P2333" t="s">
        <v>312</v>
      </c>
      <c r="Q2333" t="s">
        <v>312</v>
      </c>
      <c r="R2333" t="s">
        <v>10687</v>
      </c>
      <c r="T2333" t="s">
        <v>918</v>
      </c>
      <c r="U2333" t="s">
        <v>10688</v>
      </c>
    </row>
    <row r="2334" spans="1:21" x14ac:dyDescent="0.25">
      <c r="A2334" t="s">
        <v>10689</v>
      </c>
      <c r="B2334" t="s">
        <v>38</v>
      </c>
      <c r="C2334" t="s">
        <v>10690</v>
      </c>
      <c r="D2334">
        <f>39-632832460</f>
        <v>-632832421</v>
      </c>
      <c r="E2334" t="s">
        <v>10691</v>
      </c>
      <c r="F2334" t="s">
        <v>10222</v>
      </c>
      <c r="G2334" t="s">
        <v>10223</v>
      </c>
      <c r="H2334">
        <v>16.2970465815919</v>
      </c>
      <c r="I2334">
        <v>41.247572495666802</v>
      </c>
      <c r="J2334">
        <v>100</v>
      </c>
      <c r="K2334" t="s">
        <v>312</v>
      </c>
      <c r="L2334" t="s">
        <v>312</v>
      </c>
      <c r="M2334" t="s">
        <v>312</v>
      </c>
      <c r="N2334" t="s">
        <v>312</v>
      </c>
      <c r="O2334" t="s">
        <v>312</v>
      </c>
      <c r="P2334" t="s">
        <v>312</v>
      </c>
      <c r="Q2334" t="s">
        <v>536</v>
      </c>
      <c r="R2334" t="s">
        <v>10692</v>
      </c>
      <c r="T2334" t="s">
        <v>10303</v>
      </c>
      <c r="U2334" t="s">
        <v>10693</v>
      </c>
    </row>
    <row r="2335" spans="1:21" x14ac:dyDescent="0.25">
      <c r="A2335" t="s">
        <v>10694</v>
      </c>
      <c r="B2335" t="s">
        <v>38</v>
      </c>
      <c r="C2335" t="s">
        <v>10695</v>
      </c>
      <c r="D2335">
        <f>39-632832461</f>
        <v>-632832422</v>
      </c>
      <c r="E2335" t="s">
        <v>10463</v>
      </c>
      <c r="F2335" t="s">
        <v>10222</v>
      </c>
      <c r="G2335" t="s">
        <v>10223</v>
      </c>
      <c r="H2335">
        <v>11.3330853999999</v>
      </c>
      <c r="I2335">
        <v>46.476145199999998</v>
      </c>
      <c r="J2335">
        <v>100</v>
      </c>
      <c r="K2335" t="s">
        <v>192</v>
      </c>
      <c r="L2335" t="s">
        <v>192</v>
      </c>
      <c r="M2335" t="s">
        <v>192</v>
      </c>
      <c r="N2335" t="s">
        <v>192</v>
      </c>
      <c r="O2335" t="s">
        <v>192</v>
      </c>
      <c r="P2335" t="s">
        <v>192</v>
      </c>
      <c r="Q2335" t="s">
        <v>535</v>
      </c>
      <c r="R2335" t="s">
        <v>10696</v>
      </c>
      <c r="T2335" t="s">
        <v>10336</v>
      </c>
      <c r="U2335" t="s">
        <v>10697</v>
      </c>
    </row>
    <row r="2336" spans="1:21" x14ac:dyDescent="0.25">
      <c r="A2336" t="s">
        <v>10698</v>
      </c>
      <c r="B2336" t="s">
        <v>22</v>
      </c>
      <c r="C2336" t="s">
        <v>10699</v>
      </c>
      <c r="D2336">
        <f>39-632832463</f>
        <v>-632832424</v>
      </c>
      <c r="E2336" t="s">
        <v>10700</v>
      </c>
      <c r="F2336" t="s">
        <v>10222</v>
      </c>
      <c r="G2336" t="s">
        <v>10223</v>
      </c>
      <c r="H2336">
        <v>15.5537841</v>
      </c>
      <c r="I2336">
        <v>38.183090100000001</v>
      </c>
      <c r="J2336">
        <v>100</v>
      </c>
      <c r="K2336" t="s">
        <v>290</v>
      </c>
      <c r="L2336" t="s">
        <v>184</v>
      </c>
      <c r="M2336" t="s">
        <v>1434</v>
      </c>
      <c r="N2336" t="s">
        <v>1434</v>
      </c>
      <c r="O2336" t="s">
        <v>1434</v>
      </c>
      <c r="P2336" t="s">
        <v>1434</v>
      </c>
      <c r="Q2336" t="s">
        <v>1189</v>
      </c>
      <c r="R2336" t="s">
        <v>10699</v>
      </c>
      <c r="T2336" t="s">
        <v>10348</v>
      </c>
      <c r="U2336" t="s">
        <v>10701</v>
      </c>
    </row>
    <row r="2337" spans="1:21" x14ac:dyDescent="0.25">
      <c r="A2337" t="s">
        <v>10702</v>
      </c>
      <c r="B2337" t="s">
        <v>22</v>
      </c>
      <c r="C2337" t="s">
        <v>10703</v>
      </c>
      <c r="D2337">
        <f>39-632832464</f>
        <v>-632832425</v>
      </c>
      <c r="E2337" t="s">
        <v>10704</v>
      </c>
      <c r="F2337" t="s">
        <v>10222</v>
      </c>
      <c r="G2337" t="s">
        <v>10223</v>
      </c>
      <c r="H2337">
        <v>9.3906973000000598</v>
      </c>
      <c r="I2337">
        <v>45.853206</v>
      </c>
      <c r="J2337">
        <v>110</v>
      </c>
      <c r="K2337" t="s">
        <v>192</v>
      </c>
      <c r="L2337" t="s">
        <v>192</v>
      </c>
      <c r="M2337" t="s">
        <v>192</v>
      </c>
      <c r="N2337" t="s">
        <v>192</v>
      </c>
      <c r="O2337" t="s">
        <v>192</v>
      </c>
      <c r="P2337" t="s">
        <v>192</v>
      </c>
      <c r="Q2337" t="s">
        <v>192</v>
      </c>
      <c r="R2337" t="s">
        <v>10703</v>
      </c>
      <c r="T2337" t="s">
        <v>10225</v>
      </c>
      <c r="U2337" t="s">
        <v>10705</v>
      </c>
    </row>
    <row r="2338" spans="1:21" x14ac:dyDescent="0.25">
      <c r="A2338" t="s">
        <v>10706</v>
      </c>
      <c r="B2338" t="s">
        <v>22</v>
      </c>
      <c r="C2338" t="s">
        <v>10707</v>
      </c>
      <c r="D2338">
        <f>39-632832467</f>
        <v>-632832428</v>
      </c>
      <c r="E2338" t="s">
        <v>10708</v>
      </c>
      <c r="F2338" t="s">
        <v>10222</v>
      </c>
      <c r="G2338" t="s">
        <v>10223</v>
      </c>
      <c r="H2338">
        <v>8.6221051000000006</v>
      </c>
      <c r="I2338">
        <v>45.447530699999902</v>
      </c>
      <c r="J2338">
        <v>100</v>
      </c>
      <c r="K2338" t="s">
        <v>192</v>
      </c>
      <c r="L2338" t="s">
        <v>192</v>
      </c>
      <c r="M2338" t="s">
        <v>192</v>
      </c>
      <c r="N2338" t="s">
        <v>192</v>
      </c>
      <c r="O2338" t="s">
        <v>192</v>
      </c>
      <c r="P2338" t="s">
        <v>192</v>
      </c>
      <c r="Q2338" t="s">
        <v>192</v>
      </c>
      <c r="R2338" t="s">
        <v>10707</v>
      </c>
      <c r="T2338" t="s">
        <v>10386</v>
      </c>
      <c r="U2338" t="s">
        <v>10709</v>
      </c>
    </row>
    <row r="2339" spans="1:21" x14ac:dyDescent="0.25">
      <c r="A2339" t="s">
        <v>10710</v>
      </c>
      <c r="B2339" t="s">
        <v>22</v>
      </c>
      <c r="C2339" t="s">
        <v>10711</v>
      </c>
      <c r="D2339">
        <f>39-632832468</f>
        <v>-632832429</v>
      </c>
      <c r="E2339" t="s">
        <v>10221</v>
      </c>
      <c r="F2339" t="s">
        <v>10222</v>
      </c>
      <c r="G2339" t="s">
        <v>10223</v>
      </c>
      <c r="H2339">
        <v>9.1636198999999596</v>
      </c>
      <c r="I2339">
        <v>45.466555700000001</v>
      </c>
      <c r="J2339">
        <v>100</v>
      </c>
      <c r="K2339" t="s">
        <v>10654</v>
      </c>
      <c r="L2339" t="s">
        <v>10654</v>
      </c>
      <c r="M2339" t="s">
        <v>10654</v>
      </c>
      <c r="N2339" t="s">
        <v>10654</v>
      </c>
      <c r="O2339" t="s">
        <v>10654</v>
      </c>
      <c r="P2339" t="s">
        <v>290</v>
      </c>
      <c r="Q2339" t="s">
        <v>536</v>
      </c>
      <c r="R2339" t="s">
        <v>10711</v>
      </c>
      <c r="T2339" t="s">
        <v>10225</v>
      </c>
      <c r="U2339" t="s">
        <v>10712</v>
      </c>
    </row>
    <row r="2340" spans="1:21" x14ac:dyDescent="0.25">
      <c r="A2340" t="s">
        <v>10713</v>
      </c>
      <c r="B2340" t="s">
        <v>22</v>
      </c>
      <c r="C2340" t="s">
        <v>10714</v>
      </c>
      <c r="D2340">
        <f>39-632832470</f>
        <v>-632832431</v>
      </c>
      <c r="E2340" t="s">
        <v>10221</v>
      </c>
      <c r="F2340" t="s">
        <v>10222</v>
      </c>
      <c r="G2340" t="s">
        <v>10223</v>
      </c>
      <c r="H2340">
        <v>9.05460334663087</v>
      </c>
      <c r="I2340">
        <v>45.561984472228197</v>
      </c>
      <c r="J2340">
        <v>100</v>
      </c>
      <c r="K2340" t="s">
        <v>3543</v>
      </c>
      <c r="L2340" t="s">
        <v>3543</v>
      </c>
      <c r="M2340" t="s">
        <v>3543</v>
      </c>
      <c r="N2340" t="s">
        <v>3543</v>
      </c>
      <c r="O2340" t="s">
        <v>3543</v>
      </c>
      <c r="P2340" t="s">
        <v>3543</v>
      </c>
      <c r="Q2340" t="s">
        <v>3543</v>
      </c>
      <c r="R2340" t="s">
        <v>10715</v>
      </c>
      <c r="T2340" t="s">
        <v>10225</v>
      </c>
      <c r="U2340" t="s">
        <v>10716</v>
      </c>
    </row>
    <row r="2341" spans="1:21" x14ac:dyDescent="0.25">
      <c r="A2341" t="s">
        <v>10717</v>
      </c>
      <c r="B2341" t="s">
        <v>38</v>
      </c>
      <c r="C2341" t="s">
        <v>10718</v>
      </c>
      <c r="D2341">
        <f>39-632832473</f>
        <v>-632832434</v>
      </c>
      <c r="E2341" t="s">
        <v>10719</v>
      </c>
      <c r="F2341" t="s">
        <v>10222</v>
      </c>
      <c r="G2341" t="s">
        <v>10223</v>
      </c>
      <c r="H2341">
        <v>13.709827126940899</v>
      </c>
      <c r="I2341">
        <v>42.858291807532403</v>
      </c>
      <c r="J2341">
        <v>100</v>
      </c>
      <c r="K2341" t="s">
        <v>312</v>
      </c>
      <c r="L2341" t="s">
        <v>312</v>
      </c>
      <c r="M2341" t="s">
        <v>312</v>
      </c>
      <c r="N2341" t="s">
        <v>312</v>
      </c>
      <c r="O2341" t="s">
        <v>312</v>
      </c>
      <c r="P2341" t="s">
        <v>312</v>
      </c>
      <c r="Q2341" t="s">
        <v>1189</v>
      </c>
      <c r="R2341" t="s">
        <v>10720</v>
      </c>
      <c r="T2341" t="s">
        <v>918</v>
      </c>
      <c r="U2341" t="s">
        <v>10721</v>
      </c>
    </row>
    <row r="2342" spans="1:21" x14ac:dyDescent="0.25">
      <c r="A2342" t="s">
        <v>10722</v>
      </c>
      <c r="B2342" t="s">
        <v>22</v>
      </c>
      <c r="C2342" t="s">
        <v>10723</v>
      </c>
      <c r="D2342">
        <f>39-632832474</f>
        <v>-632832435</v>
      </c>
      <c r="E2342" t="s">
        <v>10724</v>
      </c>
      <c r="F2342" t="s">
        <v>10222</v>
      </c>
      <c r="G2342" t="s">
        <v>10223</v>
      </c>
      <c r="H2342">
        <v>15.086051699999899</v>
      </c>
      <c r="I2342">
        <v>37.508686900000001</v>
      </c>
      <c r="J2342">
        <v>100</v>
      </c>
      <c r="K2342" t="s">
        <v>2137</v>
      </c>
      <c r="L2342" t="s">
        <v>535</v>
      </c>
      <c r="M2342" t="s">
        <v>536</v>
      </c>
      <c r="N2342" t="s">
        <v>536</v>
      </c>
      <c r="O2342" t="s">
        <v>536</v>
      </c>
      <c r="P2342" t="s">
        <v>536</v>
      </c>
      <c r="Q2342" t="s">
        <v>536</v>
      </c>
      <c r="R2342" t="s">
        <v>10723</v>
      </c>
      <c r="T2342" t="s">
        <v>10348</v>
      </c>
      <c r="U2342" t="s">
        <v>10725</v>
      </c>
    </row>
    <row r="2343" spans="1:21" x14ac:dyDescent="0.25">
      <c r="A2343" t="s">
        <v>10726</v>
      </c>
      <c r="B2343" t="s">
        <v>38</v>
      </c>
      <c r="C2343" t="s">
        <v>10727</v>
      </c>
      <c r="D2343">
        <f>39-632832475</f>
        <v>-632832436</v>
      </c>
      <c r="E2343" t="s">
        <v>10259</v>
      </c>
      <c r="F2343" t="s">
        <v>10222</v>
      </c>
      <c r="G2343" t="s">
        <v>10223</v>
      </c>
      <c r="H2343">
        <v>12.5990527433775</v>
      </c>
      <c r="I2343">
        <v>41.850960143650802</v>
      </c>
      <c r="J2343">
        <v>100</v>
      </c>
      <c r="K2343" t="s">
        <v>1189</v>
      </c>
      <c r="L2343" t="s">
        <v>7628</v>
      </c>
      <c r="M2343" t="s">
        <v>7628</v>
      </c>
      <c r="N2343" t="s">
        <v>7628</v>
      </c>
      <c r="O2343" t="s">
        <v>7628</v>
      </c>
      <c r="P2343" t="s">
        <v>7628</v>
      </c>
      <c r="Q2343" t="s">
        <v>1189</v>
      </c>
      <c r="R2343" t="s">
        <v>10728</v>
      </c>
      <c r="T2343" t="s">
        <v>10261</v>
      </c>
      <c r="U2343" t="s">
        <v>10729</v>
      </c>
    </row>
    <row r="2344" spans="1:21" x14ac:dyDescent="0.25">
      <c r="A2344" t="s">
        <v>10730</v>
      </c>
      <c r="B2344" t="s">
        <v>38</v>
      </c>
      <c r="C2344" t="s">
        <v>10731</v>
      </c>
      <c r="D2344">
        <f>39-632832476</f>
        <v>-632832437</v>
      </c>
      <c r="E2344" t="s">
        <v>10667</v>
      </c>
      <c r="F2344" t="s">
        <v>10222</v>
      </c>
      <c r="G2344" t="s">
        <v>10223</v>
      </c>
      <c r="H2344">
        <v>10.4739419</v>
      </c>
      <c r="I2344">
        <v>43.673470999999999</v>
      </c>
      <c r="J2344">
        <v>100</v>
      </c>
      <c r="K2344" t="s">
        <v>312</v>
      </c>
      <c r="L2344" t="s">
        <v>312</v>
      </c>
      <c r="M2344" t="s">
        <v>312</v>
      </c>
      <c r="N2344" t="s">
        <v>312</v>
      </c>
      <c r="O2344" t="s">
        <v>312</v>
      </c>
      <c r="P2344" t="s">
        <v>312</v>
      </c>
      <c r="Q2344" t="s">
        <v>185</v>
      </c>
      <c r="R2344" t="s">
        <v>10732</v>
      </c>
      <c r="T2344" t="s">
        <v>10396</v>
      </c>
      <c r="U2344" t="s">
        <v>10733</v>
      </c>
    </row>
    <row r="2345" spans="1:21" x14ac:dyDescent="0.25">
      <c r="A2345" t="s">
        <v>10734</v>
      </c>
      <c r="B2345" t="s">
        <v>38</v>
      </c>
      <c r="C2345" t="s">
        <v>10735</v>
      </c>
      <c r="D2345">
        <f>39-632832478</f>
        <v>-632832439</v>
      </c>
      <c r="E2345" t="s">
        <v>10736</v>
      </c>
      <c r="F2345" t="s">
        <v>10222</v>
      </c>
      <c r="G2345" t="s">
        <v>10223</v>
      </c>
      <c r="H2345">
        <v>16.053781416577099</v>
      </c>
      <c r="I2345">
        <v>38.653773065233601</v>
      </c>
      <c r="J2345">
        <v>100</v>
      </c>
      <c r="K2345" t="s">
        <v>312</v>
      </c>
      <c r="L2345" t="s">
        <v>312</v>
      </c>
      <c r="M2345" t="s">
        <v>312</v>
      </c>
      <c r="N2345" t="s">
        <v>312</v>
      </c>
      <c r="O2345" t="s">
        <v>312</v>
      </c>
      <c r="P2345" t="s">
        <v>312</v>
      </c>
      <c r="Q2345" t="s">
        <v>312</v>
      </c>
      <c r="R2345" t="s">
        <v>10737</v>
      </c>
      <c r="S2345" t="s">
        <v>10737</v>
      </c>
      <c r="T2345" t="s">
        <v>10331</v>
      </c>
      <c r="U2345" t="s">
        <v>10738</v>
      </c>
    </row>
    <row r="2346" spans="1:21" x14ac:dyDescent="0.25">
      <c r="A2346" t="s">
        <v>10739</v>
      </c>
      <c r="B2346" t="s">
        <v>22</v>
      </c>
      <c r="C2346" t="s">
        <v>10740</v>
      </c>
      <c r="D2346">
        <f>39-632832482</f>
        <v>-632832443</v>
      </c>
      <c r="E2346" t="s">
        <v>10301</v>
      </c>
      <c r="F2346" t="s">
        <v>10222</v>
      </c>
      <c r="G2346" t="s">
        <v>10223</v>
      </c>
      <c r="H2346">
        <v>16.924791677148502</v>
      </c>
      <c r="I2346">
        <v>40.966712928075097</v>
      </c>
      <c r="J2346">
        <v>100</v>
      </c>
      <c r="K2346" t="s">
        <v>312</v>
      </c>
      <c r="L2346" t="s">
        <v>312</v>
      </c>
      <c r="M2346" t="s">
        <v>312</v>
      </c>
      <c r="N2346" t="s">
        <v>312</v>
      </c>
      <c r="O2346" t="s">
        <v>312</v>
      </c>
      <c r="P2346" t="s">
        <v>312</v>
      </c>
      <c r="Q2346" t="s">
        <v>312</v>
      </c>
      <c r="R2346" t="s">
        <v>10741</v>
      </c>
      <c r="T2346" t="s">
        <v>10303</v>
      </c>
      <c r="U2346" t="s">
        <v>10742</v>
      </c>
    </row>
    <row r="2347" spans="1:21" x14ac:dyDescent="0.25">
      <c r="A2347" t="s">
        <v>10743</v>
      </c>
      <c r="B2347" t="s">
        <v>38</v>
      </c>
      <c r="C2347" t="s">
        <v>10744</v>
      </c>
      <c r="D2347">
        <f>39-632832484</f>
        <v>-632832445</v>
      </c>
      <c r="E2347" t="s">
        <v>10745</v>
      </c>
      <c r="F2347" t="s">
        <v>10222</v>
      </c>
      <c r="G2347" t="s">
        <v>10223</v>
      </c>
      <c r="H2347">
        <v>14.673291799999999</v>
      </c>
      <c r="I2347">
        <v>41.577046600000003</v>
      </c>
      <c r="J2347">
        <v>100</v>
      </c>
      <c r="K2347" t="s">
        <v>312</v>
      </c>
      <c r="L2347" t="s">
        <v>312</v>
      </c>
      <c r="M2347" t="s">
        <v>312</v>
      </c>
      <c r="N2347" t="s">
        <v>312</v>
      </c>
      <c r="O2347" t="s">
        <v>312</v>
      </c>
      <c r="P2347" t="s">
        <v>312</v>
      </c>
      <c r="Q2347" t="s">
        <v>312</v>
      </c>
      <c r="R2347" t="s">
        <v>10746</v>
      </c>
      <c r="T2347" t="s">
        <v>10747</v>
      </c>
      <c r="U2347" t="s">
        <v>10748</v>
      </c>
    </row>
    <row r="2348" spans="1:21" x14ac:dyDescent="0.25">
      <c r="A2348" t="s">
        <v>10749</v>
      </c>
      <c r="B2348" t="s">
        <v>22</v>
      </c>
      <c r="C2348" t="s">
        <v>10750</v>
      </c>
      <c r="D2348">
        <f>39-632832485</f>
        <v>-632832446</v>
      </c>
      <c r="E2348" t="s">
        <v>10751</v>
      </c>
      <c r="F2348" t="s">
        <v>10222</v>
      </c>
      <c r="G2348" t="s">
        <v>10223</v>
      </c>
      <c r="H2348">
        <v>9.6952529999999797</v>
      </c>
      <c r="I2348">
        <v>45.051647299999999</v>
      </c>
      <c r="J2348">
        <v>100</v>
      </c>
      <c r="K2348" t="s">
        <v>192</v>
      </c>
      <c r="L2348" t="s">
        <v>192</v>
      </c>
      <c r="M2348" t="s">
        <v>192</v>
      </c>
      <c r="N2348" t="s">
        <v>192</v>
      </c>
      <c r="O2348" t="s">
        <v>192</v>
      </c>
      <c r="P2348" t="s">
        <v>192</v>
      </c>
      <c r="Q2348" t="s">
        <v>192</v>
      </c>
      <c r="R2348" t="s">
        <v>10750</v>
      </c>
      <c r="T2348" t="s">
        <v>10245</v>
      </c>
      <c r="U2348" t="s">
        <v>10752</v>
      </c>
    </row>
    <row r="2349" spans="1:21" x14ac:dyDescent="0.25">
      <c r="A2349" t="s">
        <v>10753</v>
      </c>
      <c r="B2349" t="s">
        <v>22</v>
      </c>
      <c r="C2349" t="s">
        <v>10754</v>
      </c>
      <c r="D2349">
        <f>39-632832487</f>
        <v>-632832448</v>
      </c>
      <c r="E2349" t="s">
        <v>10755</v>
      </c>
      <c r="F2349" t="s">
        <v>10222</v>
      </c>
      <c r="G2349" t="s">
        <v>10223</v>
      </c>
      <c r="H2349">
        <v>12.9155494</v>
      </c>
      <c r="I2349">
        <v>43.9124756</v>
      </c>
      <c r="J2349">
        <v>100</v>
      </c>
      <c r="K2349" t="s">
        <v>45</v>
      </c>
      <c r="L2349" t="s">
        <v>45</v>
      </c>
      <c r="M2349" t="s">
        <v>45</v>
      </c>
      <c r="N2349" t="s">
        <v>45</v>
      </c>
      <c r="O2349" t="s">
        <v>45</v>
      </c>
      <c r="P2349" t="s">
        <v>45</v>
      </c>
      <c r="Q2349" t="s">
        <v>45</v>
      </c>
      <c r="R2349" t="s">
        <v>10754</v>
      </c>
      <c r="T2349" t="s">
        <v>918</v>
      </c>
      <c r="U2349" t="s">
        <v>10756</v>
      </c>
    </row>
    <row r="2350" spans="1:21" x14ac:dyDescent="0.25">
      <c r="A2350" t="s">
        <v>10757</v>
      </c>
      <c r="B2350" t="s">
        <v>38</v>
      </c>
      <c r="C2350" t="s">
        <v>10758</v>
      </c>
      <c r="D2350">
        <f>39-632832490</f>
        <v>-632832451</v>
      </c>
      <c r="E2350" t="s">
        <v>10487</v>
      </c>
      <c r="F2350" t="s">
        <v>10222</v>
      </c>
      <c r="G2350" t="s">
        <v>10223</v>
      </c>
      <c r="H2350">
        <v>10.3308543049804</v>
      </c>
      <c r="I2350">
        <v>43.531018380917999</v>
      </c>
      <c r="J2350">
        <v>100</v>
      </c>
      <c r="K2350" t="s">
        <v>312</v>
      </c>
      <c r="L2350" t="s">
        <v>312</v>
      </c>
      <c r="M2350" t="s">
        <v>312</v>
      </c>
      <c r="N2350" t="s">
        <v>312</v>
      </c>
      <c r="O2350" t="s">
        <v>312</v>
      </c>
      <c r="P2350" t="s">
        <v>312</v>
      </c>
      <c r="Q2350" t="s">
        <v>312</v>
      </c>
      <c r="R2350" t="s">
        <v>10401</v>
      </c>
      <c r="T2350" t="s">
        <v>10396</v>
      </c>
      <c r="U2350" t="s">
        <v>10759</v>
      </c>
    </row>
    <row r="2351" spans="1:21" x14ac:dyDescent="0.25">
      <c r="A2351" t="s">
        <v>10760</v>
      </c>
      <c r="B2351" t="s">
        <v>22</v>
      </c>
      <c r="C2351" t="s">
        <v>10761</v>
      </c>
      <c r="D2351">
        <f>39-632832492</f>
        <v>-632832453</v>
      </c>
      <c r="E2351" t="s">
        <v>10762</v>
      </c>
      <c r="F2351" t="s">
        <v>10222</v>
      </c>
      <c r="G2351" t="s">
        <v>10223</v>
      </c>
      <c r="H2351">
        <v>15.6633769575073</v>
      </c>
      <c r="I2351">
        <v>41.388444766063401</v>
      </c>
      <c r="J2351">
        <v>100</v>
      </c>
      <c r="K2351" t="s">
        <v>536</v>
      </c>
      <c r="L2351" t="s">
        <v>536</v>
      </c>
      <c r="M2351" t="s">
        <v>536</v>
      </c>
      <c r="N2351" t="s">
        <v>536</v>
      </c>
      <c r="O2351" t="s">
        <v>536</v>
      </c>
      <c r="P2351" t="s">
        <v>536</v>
      </c>
      <c r="Q2351" t="s">
        <v>536</v>
      </c>
      <c r="R2351" t="s">
        <v>10763</v>
      </c>
      <c r="T2351" t="s">
        <v>10303</v>
      </c>
      <c r="U2351" t="s">
        <v>10764</v>
      </c>
    </row>
    <row r="2352" spans="1:21" x14ac:dyDescent="0.25">
      <c r="A2352" t="s">
        <v>10765</v>
      </c>
      <c r="B2352" t="s">
        <v>38</v>
      </c>
      <c r="C2352" t="s">
        <v>10766</v>
      </c>
      <c r="D2352">
        <f>39-632832493</f>
        <v>-632832454</v>
      </c>
      <c r="E2352" t="s">
        <v>10561</v>
      </c>
      <c r="F2352" t="s">
        <v>10222</v>
      </c>
      <c r="G2352" t="s">
        <v>10223</v>
      </c>
      <c r="H2352">
        <v>7.6147587216796602</v>
      </c>
      <c r="I2352">
        <v>44.983199794027399</v>
      </c>
      <c r="J2352">
        <v>100</v>
      </c>
      <c r="K2352" t="s">
        <v>312</v>
      </c>
      <c r="L2352" t="s">
        <v>312</v>
      </c>
      <c r="M2352" t="s">
        <v>312</v>
      </c>
      <c r="N2352" t="s">
        <v>312</v>
      </c>
      <c r="O2352" t="s">
        <v>312</v>
      </c>
      <c r="P2352" t="s">
        <v>312</v>
      </c>
      <c r="Q2352" t="s">
        <v>312</v>
      </c>
      <c r="R2352" t="s">
        <v>10767</v>
      </c>
      <c r="T2352" t="s">
        <v>10386</v>
      </c>
      <c r="U2352" t="s">
        <v>10768</v>
      </c>
    </row>
    <row r="2353" spans="1:21" x14ac:dyDescent="0.25">
      <c r="A2353" t="s">
        <v>10769</v>
      </c>
      <c r="B2353" t="s">
        <v>22</v>
      </c>
      <c r="C2353" t="s">
        <v>10770</v>
      </c>
      <c r="D2353">
        <f>39-632832494</f>
        <v>-632832455</v>
      </c>
      <c r="E2353" t="s">
        <v>10771</v>
      </c>
      <c r="F2353" t="s">
        <v>10222</v>
      </c>
      <c r="G2353" t="s">
        <v>10223</v>
      </c>
      <c r="H2353">
        <v>12.179883045324599</v>
      </c>
      <c r="I2353">
        <v>44.395918071553098</v>
      </c>
      <c r="J2353">
        <v>100</v>
      </c>
      <c r="K2353" t="s">
        <v>312</v>
      </c>
      <c r="L2353" t="s">
        <v>312</v>
      </c>
      <c r="M2353" t="s">
        <v>312</v>
      </c>
      <c r="N2353" t="s">
        <v>312</v>
      </c>
      <c r="O2353" t="s">
        <v>312</v>
      </c>
      <c r="P2353" t="s">
        <v>312</v>
      </c>
      <c r="Q2353" t="s">
        <v>536</v>
      </c>
      <c r="R2353" t="s">
        <v>10772</v>
      </c>
      <c r="T2353" t="s">
        <v>10245</v>
      </c>
      <c r="U2353" t="s">
        <v>10773</v>
      </c>
    </row>
    <row r="2354" spans="1:21" x14ac:dyDescent="0.25">
      <c r="A2354" t="s">
        <v>10774</v>
      </c>
      <c r="B2354" t="s">
        <v>38</v>
      </c>
      <c r="C2354" t="s">
        <v>10775</v>
      </c>
      <c r="D2354">
        <f>39-632832495</f>
        <v>-632832456</v>
      </c>
      <c r="E2354" t="s">
        <v>10776</v>
      </c>
      <c r="F2354" t="s">
        <v>10222</v>
      </c>
      <c r="G2354" t="s">
        <v>10223</v>
      </c>
      <c r="H2354">
        <v>12.1069099</v>
      </c>
      <c r="I2354">
        <v>42.420822000000001</v>
      </c>
      <c r="J2354">
        <v>100</v>
      </c>
      <c r="K2354" t="s">
        <v>45</v>
      </c>
      <c r="L2354" t="s">
        <v>45</v>
      </c>
      <c r="M2354" t="s">
        <v>45</v>
      </c>
      <c r="N2354" t="s">
        <v>45</v>
      </c>
      <c r="O2354" t="s">
        <v>45</v>
      </c>
      <c r="P2354" t="s">
        <v>45</v>
      </c>
      <c r="Q2354" t="s">
        <v>45</v>
      </c>
      <c r="R2354" t="s">
        <v>10775</v>
      </c>
      <c r="T2354" t="s">
        <v>10261</v>
      </c>
      <c r="U2354" t="s">
        <v>10777</v>
      </c>
    </row>
    <row r="2355" spans="1:21" x14ac:dyDescent="0.25">
      <c r="A2355" t="s">
        <v>10778</v>
      </c>
      <c r="B2355" t="s">
        <v>22</v>
      </c>
      <c r="C2355" t="s">
        <v>10779</v>
      </c>
      <c r="D2355">
        <f>39-632832496</f>
        <v>-632832457</v>
      </c>
      <c r="E2355" t="s">
        <v>10525</v>
      </c>
      <c r="F2355" t="s">
        <v>10222</v>
      </c>
      <c r="G2355" t="s">
        <v>10223</v>
      </c>
      <c r="H2355">
        <v>14.7680960999999</v>
      </c>
      <c r="I2355">
        <v>40.682440799999902</v>
      </c>
      <c r="J2355">
        <v>100</v>
      </c>
      <c r="K2355" t="s">
        <v>536</v>
      </c>
      <c r="L2355" t="s">
        <v>536</v>
      </c>
      <c r="M2355" t="s">
        <v>536</v>
      </c>
      <c r="N2355" t="s">
        <v>536</v>
      </c>
      <c r="O2355" t="s">
        <v>536</v>
      </c>
      <c r="P2355" t="s">
        <v>536</v>
      </c>
      <c r="Q2355" t="s">
        <v>536</v>
      </c>
      <c r="R2355" t="s">
        <v>10780</v>
      </c>
      <c r="T2355" t="s">
        <v>10297</v>
      </c>
      <c r="U2355" t="s">
        <v>10781</v>
      </c>
    </row>
    <row r="2356" spans="1:21" x14ac:dyDescent="0.25">
      <c r="A2356" t="s">
        <v>10782</v>
      </c>
      <c r="B2356" t="s">
        <v>22</v>
      </c>
      <c r="C2356" t="s">
        <v>10783</v>
      </c>
      <c r="D2356">
        <f>39-632832499</f>
        <v>-632832460</v>
      </c>
      <c r="E2356" t="s">
        <v>10605</v>
      </c>
      <c r="F2356" t="s">
        <v>10222</v>
      </c>
      <c r="G2356" t="s">
        <v>10223</v>
      </c>
      <c r="H2356">
        <v>10.165710820288</v>
      </c>
      <c r="I2356">
        <v>45.532654859576901</v>
      </c>
      <c r="J2356">
        <v>100</v>
      </c>
      <c r="K2356" t="s">
        <v>312</v>
      </c>
      <c r="L2356" t="s">
        <v>312</v>
      </c>
      <c r="M2356" t="s">
        <v>312</v>
      </c>
      <c r="N2356" t="s">
        <v>312</v>
      </c>
      <c r="O2356" t="s">
        <v>312</v>
      </c>
      <c r="P2356" t="s">
        <v>312</v>
      </c>
      <c r="Q2356" t="s">
        <v>312</v>
      </c>
      <c r="R2356" t="s">
        <v>10783</v>
      </c>
      <c r="T2356" t="s">
        <v>10225</v>
      </c>
      <c r="U2356" t="s">
        <v>10784</v>
      </c>
    </row>
    <row r="2357" spans="1:21" x14ac:dyDescent="0.25">
      <c r="A2357" t="s">
        <v>10785</v>
      </c>
      <c r="B2357" t="s">
        <v>32</v>
      </c>
      <c r="C2357" t="s">
        <v>10786</v>
      </c>
      <c r="D2357">
        <f>39-632832500</f>
        <v>-632832461</v>
      </c>
      <c r="E2357" t="s">
        <v>10259</v>
      </c>
      <c r="F2357" t="s">
        <v>10222</v>
      </c>
      <c r="G2357" t="s">
        <v>10223</v>
      </c>
      <c r="H2357">
        <v>12.478267900000001</v>
      </c>
      <c r="I2357">
        <v>41.9048053</v>
      </c>
      <c r="J2357">
        <v>100</v>
      </c>
      <c r="K2357" t="s">
        <v>45</v>
      </c>
      <c r="L2357" t="s">
        <v>45</v>
      </c>
      <c r="M2357" t="s">
        <v>45</v>
      </c>
      <c r="N2357" t="s">
        <v>45</v>
      </c>
      <c r="O2357" t="s">
        <v>45</v>
      </c>
      <c r="P2357" t="s">
        <v>45</v>
      </c>
      <c r="Q2357" t="s">
        <v>45</v>
      </c>
      <c r="R2357" t="s">
        <v>10787</v>
      </c>
      <c r="T2357" t="s">
        <v>10261</v>
      </c>
      <c r="U2357" t="s">
        <v>10788</v>
      </c>
    </row>
    <row r="2358" spans="1:21" x14ac:dyDescent="0.25">
      <c r="A2358" t="s">
        <v>10789</v>
      </c>
      <c r="B2358" t="s">
        <v>22</v>
      </c>
      <c r="C2358" t="s">
        <v>10790</v>
      </c>
      <c r="D2358">
        <f>39-632832501</f>
        <v>-632832462</v>
      </c>
      <c r="E2358" t="s">
        <v>10221</v>
      </c>
      <c r="F2358" t="s">
        <v>10222</v>
      </c>
      <c r="G2358" t="s">
        <v>10223</v>
      </c>
      <c r="H2358">
        <v>9.2067328775375508</v>
      </c>
      <c r="I2358">
        <v>45.475849971892799</v>
      </c>
      <c r="J2358">
        <v>100</v>
      </c>
      <c r="K2358" t="s">
        <v>10654</v>
      </c>
      <c r="L2358" t="s">
        <v>10654</v>
      </c>
      <c r="M2358" t="s">
        <v>10654</v>
      </c>
      <c r="N2358" t="s">
        <v>10654</v>
      </c>
      <c r="O2358" t="s">
        <v>10654</v>
      </c>
      <c r="P2358" t="s">
        <v>312</v>
      </c>
      <c r="Q2358" t="s">
        <v>312</v>
      </c>
      <c r="R2358" t="s">
        <v>10790</v>
      </c>
      <c r="T2358" t="s">
        <v>10225</v>
      </c>
      <c r="U2358" t="s">
        <v>10791</v>
      </c>
    </row>
    <row r="2359" spans="1:21" x14ac:dyDescent="0.25">
      <c r="A2359" t="s">
        <v>10792</v>
      </c>
      <c r="B2359" t="s">
        <v>22</v>
      </c>
      <c r="C2359" t="s">
        <v>10793</v>
      </c>
      <c r="D2359">
        <f>39-632832502</f>
        <v>-632832463</v>
      </c>
      <c r="E2359" t="s">
        <v>10600</v>
      </c>
      <c r="F2359" t="s">
        <v>10222</v>
      </c>
      <c r="G2359" t="s">
        <v>10223</v>
      </c>
      <c r="H2359">
        <v>13.5189149999999</v>
      </c>
      <c r="I2359">
        <v>43.615829900000001</v>
      </c>
      <c r="J2359">
        <v>100</v>
      </c>
      <c r="K2359" t="s">
        <v>185</v>
      </c>
      <c r="L2359" t="s">
        <v>185</v>
      </c>
      <c r="M2359" t="s">
        <v>185</v>
      </c>
      <c r="N2359" t="s">
        <v>185</v>
      </c>
      <c r="O2359" t="s">
        <v>185</v>
      </c>
      <c r="P2359" t="s">
        <v>185</v>
      </c>
      <c r="Q2359" t="s">
        <v>45</v>
      </c>
      <c r="R2359" t="s">
        <v>10793</v>
      </c>
      <c r="T2359" t="s">
        <v>918</v>
      </c>
      <c r="U2359" t="s">
        <v>10794</v>
      </c>
    </row>
    <row r="2360" spans="1:21" x14ac:dyDescent="0.25">
      <c r="A2360" t="s">
        <v>10795</v>
      </c>
      <c r="B2360" t="s">
        <v>38</v>
      </c>
      <c r="C2360" t="s">
        <v>10796</v>
      </c>
      <c r="D2360">
        <f>39-632832505</f>
        <v>-632832466</v>
      </c>
      <c r="E2360" t="s">
        <v>10530</v>
      </c>
      <c r="F2360" t="s">
        <v>10222</v>
      </c>
      <c r="G2360" t="s">
        <v>10223</v>
      </c>
      <c r="H2360">
        <v>14.175657299999999</v>
      </c>
      <c r="I2360">
        <v>40.857288699999998</v>
      </c>
      <c r="J2360">
        <v>100</v>
      </c>
      <c r="K2360" t="s">
        <v>312</v>
      </c>
      <c r="L2360" t="s">
        <v>312</v>
      </c>
      <c r="M2360" t="s">
        <v>312</v>
      </c>
      <c r="N2360" t="s">
        <v>312</v>
      </c>
      <c r="O2360" t="s">
        <v>312</v>
      </c>
      <c r="P2360" t="s">
        <v>312</v>
      </c>
      <c r="Q2360" t="s">
        <v>312</v>
      </c>
      <c r="R2360" t="s">
        <v>10797</v>
      </c>
      <c r="T2360" t="s">
        <v>10297</v>
      </c>
      <c r="U2360" t="s">
        <v>10798</v>
      </c>
    </row>
    <row r="2361" spans="1:21" x14ac:dyDescent="0.25">
      <c r="A2361" t="s">
        <v>10799</v>
      </c>
      <c r="B2361" t="s">
        <v>22</v>
      </c>
      <c r="C2361" t="s">
        <v>10800</v>
      </c>
      <c r="D2361">
        <f>39-632832510</f>
        <v>-632832471</v>
      </c>
      <c r="E2361" t="s">
        <v>10724</v>
      </c>
      <c r="F2361" t="s">
        <v>10222</v>
      </c>
      <c r="G2361" t="s">
        <v>10223</v>
      </c>
      <c r="H2361">
        <v>14.951437</v>
      </c>
      <c r="I2361">
        <v>37.545129000000003</v>
      </c>
      <c r="J2361">
        <v>100</v>
      </c>
      <c r="K2361" t="s">
        <v>290</v>
      </c>
      <c r="L2361" t="s">
        <v>290</v>
      </c>
      <c r="M2361" t="s">
        <v>290</v>
      </c>
      <c r="N2361" t="s">
        <v>290</v>
      </c>
      <c r="O2361" t="s">
        <v>290</v>
      </c>
      <c r="P2361" t="s">
        <v>2068</v>
      </c>
      <c r="Q2361" t="s">
        <v>2068</v>
      </c>
      <c r="R2361" t="s">
        <v>10801</v>
      </c>
      <c r="T2361" t="s">
        <v>10348</v>
      </c>
      <c r="U2361" t="s">
        <v>10802</v>
      </c>
    </row>
    <row r="2362" spans="1:21" x14ac:dyDescent="0.25">
      <c r="A2362" t="s">
        <v>10803</v>
      </c>
      <c r="B2362" t="s">
        <v>38</v>
      </c>
      <c r="C2362" t="s">
        <v>10804</v>
      </c>
      <c r="D2362">
        <f>39-632832512</f>
        <v>-632832473</v>
      </c>
      <c r="E2362" t="s">
        <v>10805</v>
      </c>
      <c r="F2362" t="s">
        <v>10222</v>
      </c>
      <c r="G2362" t="s">
        <v>10223</v>
      </c>
      <c r="H2362">
        <v>11.860986882928501</v>
      </c>
      <c r="I2362">
        <v>43.475508495074202</v>
      </c>
      <c r="J2362">
        <v>100</v>
      </c>
      <c r="K2362" t="s">
        <v>312</v>
      </c>
      <c r="L2362" t="s">
        <v>312</v>
      </c>
      <c r="M2362" t="s">
        <v>312</v>
      </c>
      <c r="N2362" t="s">
        <v>312</v>
      </c>
      <c r="O2362" t="s">
        <v>312</v>
      </c>
      <c r="P2362" t="s">
        <v>312</v>
      </c>
      <c r="Q2362" t="s">
        <v>192</v>
      </c>
      <c r="R2362" t="s">
        <v>10806</v>
      </c>
      <c r="T2362" t="s">
        <v>10396</v>
      </c>
      <c r="U2362" t="s">
        <v>10807</v>
      </c>
    </row>
    <row r="2363" spans="1:21" x14ac:dyDescent="0.25">
      <c r="A2363" t="s">
        <v>10808</v>
      </c>
      <c r="B2363" t="s">
        <v>38</v>
      </c>
      <c r="C2363" t="s">
        <v>10809</v>
      </c>
      <c r="D2363">
        <f>39-632832515</f>
        <v>-632832476</v>
      </c>
      <c r="E2363" t="s">
        <v>10530</v>
      </c>
      <c r="F2363" t="s">
        <v>10222</v>
      </c>
      <c r="G2363" t="s">
        <v>10223</v>
      </c>
      <c r="H2363">
        <v>14.2564514263672</v>
      </c>
      <c r="I2363">
        <v>40.887245355794001</v>
      </c>
      <c r="J2363">
        <v>100</v>
      </c>
      <c r="K2363" t="s">
        <v>312</v>
      </c>
      <c r="L2363" t="s">
        <v>312</v>
      </c>
      <c r="M2363" t="s">
        <v>312</v>
      </c>
      <c r="N2363" t="s">
        <v>312</v>
      </c>
      <c r="O2363" t="s">
        <v>312</v>
      </c>
      <c r="P2363" t="s">
        <v>312</v>
      </c>
      <c r="Q2363" t="s">
        <v>312</v>
      </c>
      <c r="R2363" t="s">
        <v>10810</v>
      </c>
      <c r="T2363" t="s">
        <v>10297</v>
      </c>
      <c r="U2363" t="s">
        <v>10811</v>
      </c>
    </row>
    <row r="2364" spans="1:21" x14ac:dyDescent="0.25">
      <c r="A2364" t="s">
        <v>10812</v>
      </c>
      <c r="B2364" t="s">
        <v>38</v>
      </c>
      <c r="C2364" t="s">
        <v>10813</v>
      </c>
      <c r="D2364">
        <f>39-632832516</f>
        <v>-632832477</v>
      </c>
      <c r="E2364" t="s">
        <v>10814</v>
      </c>
      <c r="F2364" t="s">
        <v>10222</v>
      </c>
      <c r="G2364" t="s">
        <v>10223</v>
      </c>
      <c r="H2364">
        <v>14.7813309</v>
      </c>
      <c r="I2364">
        <v>41.957517500000002</v>
      </c>
      <c r="J2364">
        <v>100</v>
      </c>
      <c r="K2364" t="s">
        <v>312</v>
      </c>
      <c r="L2364" t="s">
        <v>312</v>
      </c>
      <c r="M2364" t="s">
        <v>312</v>
      </c>
      <c r="N2364" t="s">
        <v>312</v>
      </c>
      <c r="O2364" t="s">
        <v>312</v>
      </c>
      <c r="P2364" t="s">
        <v>312</v>
      </c>
      <c r="Q2364" t="s">
        <v>312</v>
      </c>
      <c r="R2364" t="s">
        <v>10815</v>
      </c>
      <c r="S2364" t="s">
        <v>10815</v>
      </c>
      <c r="T2364" t="s">
        <v>10747</v>
      </c>
      <c r="U2364" t="s">
        <v>10816</v>
      </c>
    </row>
    <row r="2365" spans="1:21" x14ac:dyDescent="0.25">
      <c r="A2365" t="s">
        <v>10817</v>
      </c>
      <c r="B2365" t="s">
        <v>38</v>
      </c>
      <c r="C2365" t="s">
        <v>10818</v>
      </c>
      <c r="D2365">
        <f>39-632832517</f>
        <v>-632832478</v>
      </c>
      <c r="E2365" t="s">
        <v>10819</v>
      </c>
      <c r="F2365" t="s">
        <v>10222</v>
      </c>
      <c r="G2365" t="s">
        <v>10223</v>
      </c>
      <c r="H2365">
        <v>8.8820348436523808</v>
      </c>
      <c r="I2365">
        <v>45.314922987336701</v>
      </c>
      <c r="J2365">
        <v>100</v>
      </c>
      <c r="K2365" t="s">
        <v>192</v>
      </c>
      <c r="L2365" t="s">
        <v>192</v>
      </c>
      <c r="M2365" t="s">
        <v>192</v>
      </c>
      <c r="N2365" t="s">
        <v>192</v>
      </c>
      <c r="O2365" t="s">
        <v>192</v>
      </c>
      <c r="P2365" t="s">
        <v>192</v>
      </c>
      <c r="Q2365" t="s">
        <v>185</v>
      </c>
      <c r="R2365" t="s">
        <v>10820</v>
      </c>
      <c r="T2365" t="s">
        <v>10225</v>
      </c>
      <c r="U2365" t="s">
        <v>10821</v>
      </c>
    </row>
    <row r="2366" spans="1:21" x14ac:dyDescent="0.25">
      <c r="A2366" t="s">
        <v>10822</v>
      </c>
      <c r="B2366" t="s">
        <v>38</v>
      </c>
      <c r="C2366" t="s">
        <v>10823</v>
      </c>
      <c r="D2366">
        <f>39-632832518</f>
        <v>-632832479</v>
      </c>
      <c r="E2366" t="s">
        <v>10824</v>
      </c>
      <c r="F2366" t="s">
        <v>10222</v>
      </c>
      <c r="G2366" t="s">
        <v>10223</v>
      </c>
      <c r="H2366">
        <v>14.3411568</v>
      </c>
      <c r="I2366">
        <v>40.876702399999999</v>
      </c>
      <c r="J2366">
        <v>100</v>
      </c>
      <c r="K2366" t="s">
        <v>1189</v>
      </c>
      <c r="L2366" t="s">
        <v>7628</v>
      </c>
      <c r="M2366" t="s">
        <v>7628</v>
      </c>
      <c r="N2366" t="s">
        <v>7628</v>
      </c>
      <c r="O2366" t="s">
        <v>7628</v>
      </c>
      <c r="P2366" t="s">
        <v>312</v>
      </c>
      <c r="Q2366" t="s">
        <v>536</v>
      </c>
      <c r="R2366" t="s">
        <v>10825</v>
      </c>
      <c r="T2366" t="s">
        <v>10297</v>
      </c>
      <c r="U2366" t="s">
        <v>10826</v>
      </c>
    </row>
    <row r="2367" spans="1:21" x14ac:dyDescent="0.25">
      <c r="A2367" t="s">
        <v>10827</v>
      </c>
      <c r="B2367" t="s">
        <v>38</v>
      </c>
      <c r="C2367" t="s">
        <v>10828</v>
      </c>
      <c r="D2367">
        <f>39-632832520</f>
        <v>-632832481</v>
      </c>
      <c r="E2367" t="s">
        <v>10561</v>
      </c>
      <c r="F2367" t="s">
        <v>10222</v>
      </c>
      <c r="G2367" t="s">
        <v>10223</v>
      </c>
      <c r="H2367">
        <v>7.3526317990722401</v>
      </c>
      <c r="I2367">
        <v>44.883246086501799</v>
      </c>
      <c r="J2367">
        <v>100</v>
      </c>
      <c r="K2367" t="s">
        <v>312</v>
      </c>
      <c r="L2367" t="s">
        <v>312</v>
      </c>
      <c r="M2367" t="s">
        <v>312</v>
      </c>
      <c r="N2367" t="s">
        <v>312</v>
      </c>
      <c r="O2367" t="s">
        <v>312</v>
      </c>
      <c r="P2367" t="s">
        <v>312</v>
      </c>
      <c r="Q2367" t="s">
        <v>312</v>
      </c>
      <c r="R2367" t="s">
        <v>10829</v>
      </c>
      <c r="T2367" t="s">
        <v>10386</v>
      </c>
      <c r="U2367" t="s">
        <v>10830</v>
      </c>
    </row>
    <row r="2368" spans="1:21" x14ac:dyDescent="0.25">
      <c r="A2368" t="s">
        <v>10831</v>
      </c>
      <c r="B2368" t="s">
        <v>22</v>
      </c>
      <c r="C2368" t="s">
        <v>10832</v>
      </c>
      <c r="D2368">
        <f>39-632832522</f>
        <v>-632832483</v>
      </c>
      <c r="E2368" t="s">
        <v>10379</v>
      </c>
      <c r="F2368" t="s">
        <v>10222</v>
      </c>
      <c r="G2368" t="s">
        <v>10223</v>
      </c>
      <c r="H2368">
        <v>10.976836</v>
      </c>
      <c r="I2368">
        <v>45.405375999999997</v>
      </c>
      <c r="J2368">
        <v>100</v>
      </c>
      <c r="K2368" t="s">
        <v>312</v>
      </c>
      <c r="L2368" t="s">
        <v>312</v>
      </c>
      <c r="M2368" t="s">
        <v>312</v>
      </c>
      <c r="N2368" t="s">
        <v>312</v>
      </c>
      <c r="O2368" t="s">
        <v>312</v>
      </c>
      <c r="P2368" t="s">
        <v>312</v>
      </c>
      <c r="Q2368" t="s">
        <v>312</v>
      </c>
      <c r="R2368" t="s">
        <v>10833</v>
      </c>
      <c r="T2368" t="s">
        <v>3610</v>
      </c>
      <c r="U2368" t="s">
        <v>10834</v>
      </c>
    </row>
    <row r="2369" spans="1:21" x14ac:dyDescent="0.25">
      <c r="A2369" t="s">
        <v>10835</v>
      </c>
      <c r="B2369" t="s">
        <v>22</v>
      </c>
      <c r="C2369" t="s">
        <v>10836</v>
      </c>
      <c r="D2369">
        <f>39-632832524</f>
        <v>-632832485</v>
      </c>
      <c r="E2369" t="s">
        <v>10363</v>
      </c>
      <c r="F2369" t="s">
        <v>10222</v>
      </c>
      <c r="G2369" t="s">
        <v>10223</v>
      </c>
      <c r="H2369">
        <v>9.2744485000000605</v>
      </c>
      <c r="I2369">
        <v>45.5845001</v>
      </c>
      <c r="J2369">
        <v>100</v>
      </c>
      <c r="K2369" t="s">
        <v>192</v>
      </c>
      <c r="L2369" t="s">
        <v>192</v>
      </c>
      <c r="M2369" t="s">
        <v>192</v>
      </c>
      <c r="N2369" t="s">
        <v>192</v>
      </c>
      <c r="O2369" t="s">
        <v>192</v>
      </c>
      <c r="P2369" t="s">
        <v>192</v>
      </c>
      <c r="Q2369" t="s">
        <v>192</v>
      </c>
      <c r="R2369" t="s">
        <v>10836</v>
      </c>
      <c r="S2369" t="s">
        <v>10837</v>
      </c>
      <c r="T2369" t="s">
        <v>10225</v>
      </c>
      <c r="U2369" t="s">
        <v>10838</v>
      </c>
    </row>
    <row r="2370" spans="1:21" x14ac:dyDescent="0.25">
      <c r="A2370" t="s">
        <v>10839</v>
      </c>
      <c r="B2370" t="s">
        <v>22</v>
      </c>
      <c r="C2370" t="s">
        <v>10840</v>
      </c>
      <c r="D2370">
        <f>39-632832525</f>
        <v>-632832486</v>
      </c>
      <c r="E2370" t="s">
        <v>10259</v>
      </c>
      <c r="F2370" t="s">
        <v>10222</v>
      </c>
      <c r="G2370" t="s">
        <v>10223</v>
      </c>
      <c r="H2370">
        <v>12.438910999999999</v>
      </c>
      <c r="I2370">
        <v>41.902417</v>
      </c>
      <c r="J2370">
        <v>100</v>
      </c>
      <c r="K2370" t="s">
        <v>312</v>
      </c>
      <c r="L2370" t="s">
        <v>312</v>
      </c>
      <c r="M2370" t="s">
        <v>312</v>
      </c>
      <c r="N2370" t="s">
        <v>312</v>
      </c>
      <c r="O2370" t="s">
        <v>312</v>
      </c>
      <c r="P2370" t="s">
        <v>312</v>
      </c>
      <c r="Q2370" t="s">
        <v>312</v>
      </c>
      <c r="R2370" t="s">
        <v>10840</v>
      </c>
      <c r="T2370" t="s">
        <v>10261</v>
      </c>
      <c r="U2370" t="s">
        <v>10841</v>
      </c>
    </row>
    <row r="2371" spans="1:21" x14ac:dyDescent="0.25">
      <c r="A2371" t="s">
        <v>10842</v>
      </c>
      <c r="B2371" t="s">
        <v>22</v>
      </c>
      <c r="C2371" t="s">
        <v>10843</v>
      </c>
      <c r="D2371">
        <f>39-632832526</f>
        <v>-632832487</v>
      </c>
      <c r="E2371" t="s">
        <v>10259</v>
      </c>
      <c r="F2371" t="s">
        <v>10222</v>
      </c>
      <c r="G2371" t="s">
        <v>10223</v>
      </c>
      <c r="H2371">
        <v>12.6080626738321</v>
      </c>
      <c r="I2371">
        <v>41.884655857036002</v>
      </c>
      <c r="J2371">
        <v>100</v>
      </c>
      <c r="K2371" t="s">
        <v>312</v>
      </c>
      <c r="L2371" t="s">
        <v>312</v>
      </c>
      <c r="M2371" t="s">
        <v>312</v>
      </c>
      <c r="N2371" t="s">
        <v>312</v>
      </c>
      <c r="O2371" t="s">
        <v>312</v>
      </c>
      <c r="P2371" t="s">
        <v>312</v>
      </c>
      <c r="Q2371" t="s">
        <v>312</v>
      </c>
      <c r="R2371" t="s">
        <v>10844</v>
      </c>
      <c r="T2371" t="s">
        <v>10261</v>
      </c>
      <c r="U2371" t="s">
        <v>10845</v>
      </c>
    </row>
    <row r="2372" spans="1:21" x14ac:dyDescent="0.25">
      <c r="A2372" t="s">
        <v>10846</v>
      </c>
      <c r="B2372" t="s">
        <v>22</v>
      </c>
      <c r="C2372" t="s">
        <v>10847</v>
      </c>
      <c r="D2372">
        <f>39-632832528</f>
        <v>-632832489</v>
      </c>
      <c r="E2372" t="s">
        <v>10561</v>
      </c>
      <c r="F2372" t="s">
        <v>10222</v>
      </c>
      <c r="G2372" t="s">
        <v>10223</v>
      </c>
      <c r="H2372">
        <v>7.6813847936095998</v>
      </c>
      <c r="I2372">
        <v>45.066023190802603</v>
      </c>
      <c r="J2372">
        <v>100</v>
      </c>
      <c r="K2372" t="s">
        <v>7628</v>
      </c>
      <c r="L2372" t="s">
        <v>7628</v>
      </c>
      <c r="M2372" t="s">
        <v>7628</v>
      </c>
      <c r="N2372" t="s">
        <v>7628</v>
      </c>
      <c r="O2372" t="s">
        <v>7628</v>
      </c>
      <c r="P2372" t="s">
        <v>7628</v>
      </c>
      <c r="Q2372" t="s">
        <v>7628</v>
      </c>
      <c r="R2372" t="s">
        <v>10847</v>
      </c>
      <c r="T2372" t="s">
        <v>10386</v>
      </c>
      <c r="U2372" t="s">
        <v>10848</v>
      </c>
    </row>
    <row r="2373" spans="1:21" x14ac:dyDescent="0.25">
      <c r="A2373" t="s">
        <v>10849</v>
      </c>
      <c r="B2373" t="s">
        <v>38</v>
      </c>
      <c r="C2373" t="s">
        <v>10850</v>
      </c>
      <c r="D2373">
        <f>39-632832530</f>
        <v>-632832491</v>
      </c>
      <c r="E2373" t="s">
        <v>10851</v>
      </c>
      <c r="F2373" t="s">
        <v>10222</v>
      </c>
      <c r="G2373" t="s">
        <v>10223</v>
      </c>
      <c r="H2373">
        <v>8.5364565257811993</v>
      </c>
      <c r="I2373">
        <v>40.737308951715903</v>
      </c>
      <c r="J2373">
        <v>100</v>
      </c>
      <c r="K2373" t="s">
        <v>312</v>
      </c>
      <c r="L2373" t="s">
        <v>312</v>
      </c>
      <c r="M2373" t="s">
        <v>312</v>
      </c>
      <c r="N2373" t="s">
        <v>312</v>
      </c>
      <c r="O2373" t="s">
        <v>312</v>
      </c>
      <c r="P2373" t="s">
        <v>312</v>
      </c>
      <c r="Q2373" t="s">
        <v>536</v>
      </c>
      <c r="R2373" t="s">
        <v>10852</v>
      </c>
      <c r="T2373" t="s">
        <v>10853</v>
      </c>
      <c r="U2373" t="s">
        <v>10854</v>
      </c>
    </row>
    <row r="2374" spans="1:21" x14ac:dyDescent="0.25">
      <c r="A2374" t="s">
        <v>10855</v>
      </c>
      <c r="B2374" t="s">
        <v>38</v>
      </c>
      <c r="C2374" t="s">
        <v>10856</v>
      </c>
      <c r="D2374">
        <f>39-632832542</f>
        <v>-632832503</v>
      </c>
      <c r="E2374" t="s">
        <v>10857</v>
      </c>
      <c r="F2374" t="s">
        <v>10222</v>
      </c>
      <c r="G2374" t="s">
        <v>10223</v>
      </c>
      <c r="H2374">
        <v>10.7832211845947</v>
      </c>
      <c r="I2374">
        <v>45.111580005278903</v>
      </c>
      <c r="J2374">
        <v>100</v>
      </c>
      <c r="K2374" t="s">
        <v>7628</v>
      </c>
      <c r="L2374" t="s">
        <v>7628</v>
      </c>
      <c r="M2374" t="s">
        <v>7628</v>
      </c>
      <c r="N2374" t="s">
        <v>7628</v>
      </c>
      <c r="O2374" t="s">
        <v>7628</v>
      </c>
      <c r="P2374" t="s">
        <v>7628</v>
      </c>
      <c r="Q2374" t="s">
        <v>192</v>
      </c>
      <c r="R2374" t="s">
        <v>10856</v>
      </c>
      <c r="T2374" t="s">
        <v>10225</v>
      </c>
      <c r="U2374" t="s">
        <v>10858</v>
      </c>
    </row>
    <row r="2375" spans="1:21" x14ac:dyDescent="0.25">
      <c r="A2375" t="s">
        <v>10859</v>
      </c>
      <c r="B2375" t="s">
        <v>22</v>
      </c>
      <c r="C2375" t="s">
        <v>10860</v>
      </c>
      <c r="D2375">
        <f>39-632832545</f>
        <v>-632832506</v>
      </c>
      <c r="E2375" t="s">
        <v>10394</v>
      </c>
      <c r="F2375" t="s">
        <v>10222</v>
      </c>
      <c r="G2375" t="s">
        <v>10223</v>
      </c>
      <c r="H2375">
        <v>11.288815499719201</v>
      </c>
      <c r="I2375">
        <v>43.757534929753902</v>
      </c>
      <c r="J2375">
        <v>100</v>
      </c>
      <c r="K2375" t="s">
        <v>312</v>
      </c>
      <c r="L2375" t="s">
        <v>312</v>
      </c>
      <c r="M2375" t="s">
        <v>312</v>
      </c>
      <c r="N2375" t="s">
        <v>312</v>
      </c>
      <c r="O2375" t="s">
        <v>312</v>
      </c>
      <c r="P2375" t="s">
        <v>312</v>
      </c>
      <c r="Q2375" t="s">
        <v>10861</v>
      </c>
      <c r="R2375" t="s">
        <v>10862</v>
      </c>
      <c r="T2375" t="s">
        <v>10396</v>
      </c>
      <c r="U2375" t="s">
        <v>10863</v>
      </c>
    </row>
    <row r="2376" spans="1:21" x14ac:dyDescent="0.25">
      <c r="A2376" t="s">
        <v>10864</v>
      </c>
      <c r="B2376" t="s">
        <v>38</v>
      </c>
      <c r="C2376" t="s">
        <v>10865</v>
      </c>
      <c r="D2376">
        <f>39-632832548</f>
        <v>-632832509</v>
      </c>
      <c r="E2376" t="s">
        <v>10866</v>
      </c>
      <c r="F2376" t="s">
        <v>10222</v>
      </c>
      <c r="G2376" t="s">
        <v>10223</v>
      </c>
      <c r="H2376">
        <v>9.9987901686034792</v>
      </c>
      <c r="I2376">
        <v>45.149110933276098</v>
      </c>
      <c r="J2376">
        <v>100</v>
      </c>
      <c r="K2376" t="s">
        <v>192</v>
      </c>
      <c r="L2376" t="s">
        <v>192</v>
      </c>
      <c r="M2376" t="s">
        <v>192</v>
      </c>
      <c r="N2376" t="s">
        <v>192</v>
      </c>
      <c r="O2376" t="s">
        <v>192</v>
      </c>
      <c r="P2376" t="s">
        <v>192</v>
      </c>
      <c r="Q2376" t="s">
        <v>192</v>
      </c>
      <c r="R2376" t="s">
        <v>10867</v>
      </c>
      <c r="T2376" t="s">
        <v>10225</v>
      </c>
      <c r="U2376" t="s">
        <v>10868</v>
      </c>
    </row>
    <row r="2377" spans="1:21" x14ac:dyDescent="0.25">
      <c r="A2377" t="s">
        <v>10869</v>
      </c>
      <c r="B2377" t="s">
        <v>38</v>
      </c>
      <c r="C2377" t="s">
        <v>10870</v>
      </c>
      <c r="D2377">
        <f>39-32832549</f>
        <v>-32832510</v>
      </c>
      <c r="E2377" t="s">
        <v>10871</v>
      </c>
      <c r="F2377" t="s">
        <v>10222</v>
      </c>
      <c r="G2377" t="s">
        <v>10223</v>
      </c>
      <c r="H2377">
        <v>12.723700706817599</v>
      </c>
      <c r="I2377">
        <v>45.944671844668598</v>
      </c>
      <c r="J2377">
        <v>100</v>
      </c>
      <c r="K2377" t="s">
        <v>7628</v>
      </c>
      <c r="L2377" t="s">
        <v>7628</v>
      </c>
      <c r="M2377" t="s">
        <v>7628</v>
      </c>
      <c r="N2377" t="s">
        <v>7628</v>
      </c>
      <c r="O2377" t="s">
        <v>7628</v>
      </c>
      <c r="P2377" t="s">
        <v>7628</v>
      </c>
      <c r="Q2377" t="s">
        <v>185</v>
      </c>
      <c r="R2377" t="s">
        <v>10872</v>
      </c>
      <c r="T2377" t="s">
        <v>10272</v>
      </c>
      <c r="U2377" t="s">
        <v>10873</v>
      </c>
    </row>
    <row r="2378" spans="1:21" x14ac:dyDescent="0.25">
      <c r="A2378" t="s">
        <v>10874</v>
      </c>
      <c r="B2378" t="s">
        <v>38</v>
      </c>
      <c r="C2378" t="s">
        <v>10875</v>
      </c>
      <c r="D2378">
        <f>39-632832556</f>
        <v>-632832517</v>
      </c>
      <c r="E2378" t="s">
        <v>10876</v>
      </c>
      <c r="F2378" t="s">
        <v>10222</v>
      </c>
      <c r="G2378" t="s">
        <v>10223</v>
      </c>
      <c r="H2378">
        <v>8.4324550999999701</v>
      </c>
      <c r="I2378">
        <v>45.928320100000001</v>
      </c>
      <c r="J2378">
        <v>100</v>
      </c>
      <c r="K2378" t="s">
        <v>312</v>
      </c>
      <c r="L2378" t="s">
        <v>312</v>
      </c>
      <c r="M2378" t="s">
        <v>312</v>
      </c>
      <c r="N2378" t="s">
        <v>312</v>
      </c>
      <c r="O2378" t="s">
        <v>312</v>
      </c>
      <c r="P2378" t="s">
        <v>312</v>
      </c>
      <c r="Q2378" t="s">
        <v>312</v>
      </c>
      <c r="R2378" t="s">
        <v>10875</v>
      </c>
      <c r="T2378" t="s">
        <v>10386</v>
      </c>
      <c r="U2378" t="s">
        <v>10877</v>
      </c>
    </row>
    <row r="2379" spans="1:21" x14ac:dyDescent="0.25">
      <c r="A2379" t="s">
        <v>10878</v>
      </c>
      <c r="B2379" t="s">
        <v>38</v>
      </c>
      <c r="C2379" t="s">
        <v>10879</v>
      </c>
      <c r="D2379">
        <f>39-632832557</f>
        <v>-632832518</v>
      </c>
      <c r="E2379" t="s">
        <v>10880</v>
      </c>
      <c r="F2379" t="s">
        <v>10222</v>
      </c>
      <c r="G2379" t="s">
        <v>10223</v>
      </c>
      <c r="H2379">
        <v>8.2064256999999508</v>
      </c>
      <c r="I2379">
        <v>44.900751199999902</v>
      </c>
      <c r="J2379">
        <v>100</v>
      </c>
      <c r="K2379" t="s">
        <v>192</v>
      </c>
      <c r="L2379" t="s">
        <v>192</v>
      </c>
      <c r="M2379" t="s">
        <v>192</v>
      </c>
      <c r="N2379" t="s">
        <v>192</v>
      </c>
      <c r="O2379" t="s">
        <v>192</v>
      </c>
      <c r="P2379" t="s">
        <v>192</v>
      </c>
      <c r="Q2379" t="s">
        <v>192</v>
      </c>
      <c r="R2379" t="s">
        <v>10881</v>
      </c>
      <c r="T2379" t="s">
        <v>10386</v>
      </c>
      <c r="U2379" t="s">
        <v>10882</v>
      </c>
    </row>
    <row r="2380" spans="1:21" x14ac:dyDescent="0.25">
      <c r="A2380" t="s">
        <v>10883</v>
      </c>
      <c r="B2380" t="s">
        <v>38</v>
      </c>
      <c r="C2380" t="s">
        <v>10884</v>
      </c>
      <c r="D2380">
        <f>39-632832560</f>
        <v>-632832521</v>
      </c>
      <c r="E2380" t="s">
        <v>10885</v>
      </c>
      <c r="F2380" t="s">
        <v>10222</v>
      </c>
      <c r="G2380" t="s">
        <v>10223</v>
      </c>
      <c r="H2380">
        <v>9.0653563683593994</v>
      </c>
      <c r="I2380">
        <v>39.304050379423401</v>
      </c>
      <c r="J2380">
        <v>100</v>
      </c>
      <c r="K2380" t="s">
        <v>45</v>
      </c>
      <c r="L2380" t="s">
        <v>45</v>
      </c>
      <c r="M2380" t="s">
        <v>45</v>
      </c>
      <c r="N2380" t="s">
        <v>45</v>
      </c>
      <c r="O2380" t="s">
        <v>45</v>
      </c>
      <c r="P2380" t="s">
        <v>45</v>
      </c>
      <c r="Q2380" t="s">
        <v>45</v>
      </c>
      <c r="R2380" t="s">
        <v>10884</v>
      </c>
      <c r="T2380" t="s">
        <v>10853</v>
      </c>
      <c r="U2380" t="s">
        <v>10886</v>
      </c>
    </row>
    <row r="2381" spans="1:21" x14ac:dyDescent="0.25">
      <c r="A2381" t="s">
        <v>10887</v>
      </c>
      <c r="B2381" t="s">
        <v>38</v>
      </c>
      <c r="C2381" t="s">
        <v>10888</v>
      </c>
      <c r="D2381">
        <f>39-632832562</f>
        <v>-632832523</v>
      </c>
      <c r="E2381" t="s">
        <v>10889</v>
      </c>
      <c r="F2381" t="s">
        <v>10222</v>
      </c>
      <c r="G2381" t="s">
        <v>10223</v>
      </c>
      <c r="H2381">
        <v>14.7826208</v>
      </c>
      <c r="I2381">
        <v>41.129761299999998</v>
      </c>
      <c r="J2381">
        <v>100</v>
      </c>
      <c r="K2381" t="s">
        <v>536</v>
      </c>
      <c r="L2381" t="s">
        <v>312</v>
      </c>
      <c r="M2381" t="s">
        <v>312</v>
      </c>
      <c r="N2381" t="s">
        <v>312</v>
      </c>
      <c r="O2381" t="s">
        <v>312</v>
      </c>
      <c r="P2381" t="s">
        <v>312</v>
      </c>
      <c r="Q2381" t="s">
        <v>536</v>
      </c>
      <c r="R2381" t="s">
        <v>10890</v>
      </c>
      <c r="T2381" t="s">
        <v>10297</v>
      </c>
      <c r="U2381" t="s">
        <v>10891</v>
      </c>
    </row>
    <row r="2382" spans="1:21" x14ac:dyDescent="0.25">
      <c r="A2382" t="s">
        <v>10892</v>
      </c>
      <c r="B2382" t="s">
        <v>38</v>
      </c>
      <c r="C2382" t="s">
        <v>10893</v>
      </c>
      <c r="D2382">
        <f>39-632832564</f>
        <v>-632832525</v>
      </c>
      <c r="E2382" t="s">
        <v>10894</v>
      </c>
      <c r="F2382" t="s">
        <v>10222</v>
      </c>
      <c r="G2382" t="s">
        <v>10223</v>
      </c>
      <c r="H2382">
        <v>8.8368526330477799</v>
      </c>
      <c r="I2382">
        <v>44.735434389507802</v>
      </c>
      <c r="J2382">
        <v>100</v>
      </c>
      <c r="K2382" t="s">
        <v>45</v>
      </c>
      <c r="L2382" t="s">
        <v>45</v>
      </c>
      <c r="M2382" t="s">
        <v>45</v>
      </c>
      <c r="N2382" t="s">
        <v>45</v>
      </c>
      <c r="O2382" t="s">
        <v>45</v>
      </c>
      <c r="P2382" t="s">
        <v>45</v>
      </c>
      <c r="Q2382" t="s">
        <v>45</v>
      </c>
      <c r="R2382" t="s">
        <v>10895</v>
      </c>
      <c r="T2382" t="s">
        <v>10386</v>
      </c>
      <c r="U2382" t="s">
        <v>10896</v>
      </c>
    </row>
    <row r="2383" spans="1:21" x14ac:dyDescent="0.25">
      <c r="A2383" t="s">
        <v>10897</v>
      </c>
      <c r="B2383" t="s">
        <v>22</v>
      </c>
      <c r="C2383" t="s">
        <v>10898</v>
      </c>
      <c r="D2383">
        <f>39-632832565</f>
        <v>-632832526</v>
      </c>
      <c r="E2383" t="s">
        <v>10899</v>
      </c>
      <c r="F2383" t="s">
        <v>10222</v>
      </c>
      <c r="G2383" t="s">
        <v>10223</v>
      </c>
      <c r="H2383">
        <v>12.2989231</v>
      </c>
      <c r="I2383">
        <v>45.557436199999998</v>
      </c>
      <c r="J2383">
        <v>100</v>
      </c>
      <c r="K2383" t="s">
        <v>192</v>
      </c>
      <c r="L2383" t="s">
        <v>192</v>
      </c>
      <c r="M2383" t="s">
        <v>192</v>
      </c>
      <c r="N2383" t="s">
        <v>192</v>
      </c>
      <c r="O2383" t="s">
        <v>192</v>
      </c>
      <c r="P2383" t="s">
        <v>192</v>
      </c>
      <c r="Q2383" t="s">
        <v>192</v>
      </c>
      <c r="R2383" t="s">
        <v>10900</v>
      </c>
      <c r="T2383" t="s">
        <v>3610</v>
      </c>
      <c r="U2383" t="s">
        <v>10901</v>
      </c>
    </row>
    <row r="2384" spans="1:21" x14ac:dyDescent="0.25">
      <c r="A2384" t="s">
        <v>10902</v>
      </c>
      <c r="B2384" t="s">
        <v>38</v>
      </c>
      <c r="C2384" t="s">
        <v>10903</v>
      </c>
      <c r="D2384">
        <f>39-632832569</f>
        <v>-632832530</v>
      </c>
      <c r="E2384" t="s">
        <v>10221</v>
      </c>
      <c r="F2384" t="s">
        <v>10222</v>
      </c>
      <c r="G2384" t="s">
        <v>10223</v>
      </c>
      <c r="H2384">
        <v>9.14635</v>
      </c>
      <c r="I2384">
        <v>45.490285999999998</v>
      </c>
      <c r="J2384">
        <v>100</v>
      </c>
      <c r="K2384" t="s">
        <v>10654</v>
      </c>
      <c r="L2384" t="s">
        <v>10654</v>
      </c>
      <c r="M2384" t="s">
        <v>10654</v>
      </c>
      <c r="N2384" t="s">
        <v>10654</v>
      </c>
      <c r="O2384" t="s">
        <v>10654</v>
      </c>
      <c r="P2384" t="s">
        <v>312</v>
      </c>
      <c r="Q2384" t="s">
        <v>312</v>
      </c>
      <c r="R2384" t="s">
        <v>10904</v>
      </c>
      <c r="T2384" t="s">
        <v>10225</v>
      </c>
      <c r="U2384" t="s">
        <v>10905</v>
      </c>
    </row>
    <row r="2385" spans="1:21" x14ac:dyDescent="0.25">
      <c r="A2385" t="s">
        <v>10906</v>
      </c>
      <c r="B2385" t="s">
        <v>38</v>
      </c>
      <c r="C2385" t="s">
        <v>10907</v>
      </c>
      <c r="D2385">
        <f>39-632832574</f>
        <v>-632832535</v>
      </c>
      <c r="E2385" t="s">
        <v>10908</v>
      </c>
      <c r="F2385" t="s">
        <v>10222</v>
      </c>
      <c r="G2385" t="s">
        <v>10223</v>
      </c>
      <c r="H2385">
        <v>10.879141000000001</v>
      </c>
      <c r="I2385">
        <v>45.448346000000001</v>
      </c>
      <c r="J2385">
        <v>100</v>
      </c>
      <c r="K2385" t="s">
        <v>312</v>
      </c>
      <c r="L2385" t="s">
        <v>312</v>
      </c>
      <c r="M2385" t="s">
        <v>312</v>
      </c>
      <c r="N2385" t="s">
        <v>312</v>
      </c>
      <c r="O2385" t="s">
        <v>312</v>
      </c>
      <c r="P2385" t="s">
        <v>312</v>
      </c>
      <c r="Q2385" t="s">
        <v>192</v>
      </c>
      <c r="R2385" t="s">
        <v>10909</v>
      </c>
      <c r="T2385" t="s">
        <v>3610</v>
      </c>
      <c r="U2385" t="s">
        <v>10910</v>
      </c>
    </row>
    <row r="2386" spans="1:21" x14ac:dyDescent="0.25">
      <c r="A2386" t="s">
        <v>10911</v>
      </c>
      <c r="B2386" t="s">
        <v>22</v>
      </c>
      <c r="C2386" t="s">
        <v>10912</v>
      </c>
      <c r="D2386">
        <f>39-632832582</f>
        <v>-632832543</v>
      </c>
      <c r="E2386" t="s">
        <v>10724</v>
      </c>
      <c r="F2386" t="s">
        <v>10222</v>
      </c>
      <c r="G2386" t="s">
        <v>10223</v>
      </c>
      <c r="H2386">
        <v>15.008944</v>
      </c>
      <c r="I2386">
        <v>37.477331</v>
      </c>
      <c r="J2386">
        <v>100</v>
      </c>
      <c r="K2386" t="s">
        <v>536</v>
      </c>
      <c r="L2386" t="s">
        <v>536</v>
      </c>
      <c r="M2386" t="s">
        <v>536</v>
      </c>
      <c r="N2386" t="s">
        <v>536</v>
      </c>
      <c r="O2386" t="s">
        <v>536</v>
      </c>
      <c r="P2386" t="s">
        <v>536</v>
      </c>
      <c r="Q2386" t="s">
        <v>536</v>
      </c>
      <c r="R2386" t="s">
        <v>10913</v>
      </c>
      <c r="T2386" t="s">
        <v>10348</v>
      </c>
      <c r="U2386" t="s">
        <v>10914</v>
      </c>
    </row>
    <row r="2387" spans="1:21" x14ac:dyDescent="0.25">
      <c r="A2387" t="s">
        <v>10915</v>
      </c>
      <c r="B2387" t="s">
        <v>38</v>
      </c>
      <c r="C2387" t="s">
        <v>10916</v>
      </c>
      <c r="D2387">
        <f>39-632832583</f>
        <v>-632832544</v>
      </c>
      <c r="E2387" t="s">
        <v>10917</v>
      </c>
      <c r="F2387" t="s">
        <v>10222</v>
      </c>
      <c r="G2387" t="s">
        <v>10223</v>
      </c>
      <c r="H2387">
        <v>15.2629826606689</v>
      </c>
      <c r="I2387">
        <v>37.069481721549501</v>
      </c>
      <c r="J2387">
        <v>100</v>
      </c>
      <c r="K2387" t="s">
        <v>312</v>
      </c>
      <c r="L2387" t="s">
        <v>312</v>
      </c>
      <c r="M2387" t="s">
        <v>312</v>
      </c>
      <c r="N2387" t="s">
        <v>312</v>
      </c>
      <c r="O2387" t="s">
        <v>312</v>
      </c>
      <c r="P2387" t="s">
        <v>2137</v>
      </c>
      <c r="Q2387" t="s">
        <v>2137</v>
      </c>
      <c r="R2387" t="s">
        <v>10918</v>
      </c>
      <c r="T2387" t="s">
        <v>10348</v>
      </c>
      <c r="U2387" t="s">
        <v>10919</v>
      </c>
    </row>
    <row r="2388" spans="1:21" x14ac:dyDescent="0.25">
      <c r="A2388" t="s">
        <v>10920</v>
      </c>
      <c r="B2388" t="s">
        <v>22</v>
      </c>
      <c r="C2388" t="s">
        <v>10921</v>
      </c>
      <c r="D2388">
        <f>39-632832585</f>
        <v>-632832546</v>
      </c>
      <c r="E2388" t="s">
        <v>10221</v>
      </c>
      <c r="F2388" t="s">
        <v>10222</v>
      </c>
      <c r="G2388" t="s">
        <v>10223</v>
      </c>
      <c r="H2388">
        <v>9.1776652962035996</v>
      </c>
      <c r="I2388">
        <v>45.3928842954506</v>
      </c>
      <c r="J2388">
        <v>100</v>
      </c>
      <c r="K2388" t="s">
        <v>3543</v>
      </c>
      <c r="L2388" t="s">
        <v>3543</v>
      </c>
      <c r="M2388" t="s">
        <v>3543</v>
      </c>
      <c r="N2388" t="s">
        <v>3543</v>
      </c>
      <c r="O2388" t="s">
        <v>3543</v>
      </c>
      <c r="P2388" t="s">
        <v>3543</v>
      </c>
      <c r="Q2388" t="s">
        <v>3543</v>
      </c>
      <c r="R2388" t="s">
        <v>10922</v>
      </c>
      <c r="T2388" t="s">
        <v>10225</v>
      </c>
      <c r="U2388" t="s">
        <v>10923</v>
      </c>
    </row>
    <row r="2389" spans="1:21" x14ac:dyDescent="0.25">
      <c r="A2389" t="s">
        <v>10924</v>
      </c>
      <c r="B2389" t="s">
        <v>22</v>
      </c>
      <c r="C2389" t="s">
        <v>10925</v>
      </c>
      <c r="D2389">
        <f>962-791600243</f>
        <v>-791599281</v>
      </c>
      <c r="E2389" t="s">
        <v>10926</v>
      </c>
      <c r="F2389" t="s">
        <v>10927</v>
      </c>
      <c r="G2389" t="s">
        <v>10928</v>
      </c>
      <c r="H2389">
        <v>35.836928999999998</v>
      </c>
      <c r="I2389">
        <v>31.980122000000001</v>
      </c>
      <c r="J2389">
        <v>158</v>
      </c>
      <c r="K2389" t="s">
        <v>27</v>
      </c>
      <c r="L2389" t="s">
        <v>27</v>
      </c>
      <c r="M2389" t="s">
        <v>27</v>
      </c>
      <c r="N2389" t="s">
        <v>27</v>
      </c>
      <c r="O2389" t="s">
        <v>10929</v>
      </c>
      <c r="P2389" t="s">
        <v>27</v>
      </c>
      <c r="Q2389" t="s">
        <v>27</v>
      </c>
      <c r="R2389" t="s">
        <v>10925</v>
      </c>
      <c r="S2389" t="s">
        <v>10930</v>
      </c>
      <c r="U2389" t="s">
        <v>10931</v>
      </c>
    </row>
    <row r="2390" spans="1:21" x14ac:dyDescent="0.25">
      <c r="A2390" t="s">
        <v>10932</v>
      </c>
      <c r="B2390" t="s">
        <v>22</v>
      </c>
      <c r="C2390" t="s">
        <v>10933</v>
      </c>
      <c r="D2390">
        <f>962-795842372</f>
        <v>-795841410</v>
      </c>
      <c r="E2390" t="s">
        <v>10926</v>
      </c>
      <c r="F2390" t="s">
        <v>10927</v>
      </c>
      <c r="G2390" t="s">
        <v>10928</v>
      </c>
      <c r="H2390">
        <v>35.888216999999997</v>
      </c>
      <c r="I2390">
        <v>31.940764999999999</v>
      </c>
      <c r="J2390">
        <v>115</v>
      </c>
      <c r="K2390" t="s">
        <v>27</v>
      </c>
      <c r="L2390" t="s">
        <v>27</v>
      </c>
      <c r="M2390" t="s">
        <v>27</v>
      </c>
      <c r="N2390" t="s">
        <v>27</v>
      </c>
      <c r="O2390" t="s">
        <v>10934</v>
      </c>
      <c r="P2390" t="s">
        <v>27</v>
      </c>
      <c r="Q2390" t="s">
        <v>27</v>
      </c>
      <c r="R2390" t="s">
        <v>10933</v>
      </c>
      <c r="S2390" t="s">
        <v>10935</v>
      </c>
      <c r="U2390" t="s">
        <v>10936</v>
      </c>
    </row>
    <row r="2391" spans="1:21" x14ac:dyDescent="0.25">
      <c r="A2391" t="s">
        <v>10937</v>
      </c>
      <c r="B2391" t="s">
        <v>22</v>
      </c>
      <c r="C2391" t="s">
        <v>10938</v>
      </c>
      <c r="D2391">
        <f>962-791600291</f>
        <v>-791599329</v>
      </c>
      <c r="E2391" t="s">
        <v>10926</v>
      </c>
      <c r="F2391" t="s">
        <v>10927</v>
      </c>
      <c r="G2391" t="s">
        <v>10928</v>
      </c>
      <c r="H2391">
        <v>35.908772999999997</v>
      </c>
      <c r="I2391">
        <v>31.963467999999999</v>
      </c>
      <c r="J2391">
        <v>158</v>
      </c>
      <c r="K2391" t="s">
        <v>27</v>
      </c>
      <c r="L2391" t="s">
        <v>27</v>
      </c>
      <c r="M2391" t="s">
        <v>27</v>
      </c>
      <c r="N2391" t="s">
        <v>27</v>
      </c>
      <c r="O2391" t="s">
        <v>10939</v>
      </c>
      <c r="P2391" t="s">
        <v>27</v>
      </c>
      <c r="Q2391" t="s">
        <v>27</v>
      </c>
      <c r="R2391" t="s">
        <v>10938</v>
      </c>
      <c r="S2391" t="s">
        <v>10926</v>
      </c>
      <c r="U2391" t="s">
        <v>10940</v>
      </c>
    </row>
    <row r="2392" spans="1:21" x14ac:dyDescent="0.25">
      <c r="A2392" t="s">
        <v>10941</v>
      </c>
      <c r="B2392" t="s">
        <v>38</v>
      </c>
      <c r="C2392" t="s">
        <v>10942</v>
      </c>
      <c r="D2392">
        <f>962-791600352</f>
        <v>-791599390</v>
      </c>
      <c r="E2392" t="s">
        <v>10943</v>
      </c>
      <c r="F2392" t="s">
        <v>10927</v>
      </c>
      <c r="G2392" t="s">
        <v>10928</v>
      </c>
      <c r="H2392">
        <v>35.865357000000003</v>
      </c>
      <c r="I2392">
        <v>32.535964</v>
      </c>
      <c r="J2392">
        <v>115</v>
      </c>
      <c r="K2392" t="s">
        <v>27</v>
      </c>
      <c r="L2392" t="s">
        <v>27</v>
      </c>
      <c r="M2392" t="s">
        <v>27</v>
      </c>
      <c r="N2392" t="s">
        <v>27</v>
      </c>
      <c r="O2392" t="s">
        <v>27</v>
      </c>
      <c r="P2392" t="s">
        <v>27</v>
      </c>
      <c r="Q2392" t="s">
        <v>27</v>
      </c>
      <c r="R2392" t="s">
        <v>10942</v>
      </c>
      <c r="S2392" t="s">
        <v>10944</v>
      </c>
      <c r="U2392" t="s">
        <v>10945</v>
      </c>
    </row>
    <row r="2393" spans="1:21" x14ac:dyDescent="0.25">
      <c r="A2393" t="s">
        <v>10946</v>
      </c>
      <c r="B2393" t="s">
        <v>32</v>
      </c>
      <c r="C2393" t="s">
        <v>10947</v>
      </c>
      <c r="D2393">
        <f t="shared" ref="D2393:D2424" si="65">81-120-866-201</f>
        <v>-1106</v>
      </c>
      <c r="E2393" t="s">
        <v>10948</v>
      </c>
      <c r="F2393" t="s">
        <v>10949</v>
      </c>
      <c r="G2393" t="s">
        <v>10950</v>
      </c>
      <c r="H2393">
        <v>139.70598936080901</v>
      </c>
      <c r="I2393">
        <v>35.669551936552303</v>
      </c>
      <c r="J2393">
        <v>235</v>
      </c>
      <c r="K2393" t="s">
        <v>536</v>
      </c>
      <c r="L2393" t="s">
        <v>536</v>
      </c>
      <c r="M2393" t="s">
        <v>536</v>
      </c>
      <c r="N2393" t="s">
        <v>536</v>
      </c>
      <c r="O2393" t="s">
        <v>536</v>
      </c>
      <c r="P2393" t="s">
        <v>536</v>
      </c>
      <c r="Q2393" t="s">
        <v>536</v>
      </c>
      <c r="R2393" t="s">
        <v>10951</v>
      </c>
      <c r="U2393" t="s">
        <v>10952</v>
      </c>
    </row>
    <row r="2394" spans="1:21" x14ac:dyDescent="0.25">
      <c r="A2394" t="s">
        <v>10953</v>
      </c>
      <c r="B2394" t="s">
        <v>2322</v>
      </c>
      <c r="C2394" t="s">
        <v>10954</v>
      </c>
      <c r="D2394">
        <f t="shared" si="65"/>
        <v>-1106</v>
      </c>
      <c r="E2394" t="s">
        <v>10948</v>
      </c>
      <c r="F2394" t="s">
        <v>10949</v>
      </c>
      <c r="G2394" t="s">
        <v>10950</v>
      </c>
      <c r="H2394">
        <v>139.697358012199</v>
      </c>
      <c r="I2394">
        <v>35.660604423329403</v>
      </c>
      <c r="J2394">
        <v>235</v>
      </c>
      <c r="K2394" t="s">
        <v>27</v>
      </c>
      <c r="L2394" t="s">
        <v>27</v>
      </c>
      <c r="M2394" t="s">
        <v>27</v>
      </c>
      <c r="N2394" t="s">
        <v>27</v>
      </c>
      <c r="O2394" t="s">
        <v>77</v>
      </c>
      <c r="P2394" t="s">
        <v>77</v>
      </c>
      <c r="Q2394" t="s">
        <v>27</v>
      </c>
      <c r="R2394" t="s">
        <v>10955</v>
      </c>
      <c r="U2394" t="s">
        <v>10956</v>
      </c>
    </row>
    <row r="2395" spans="1:21" x14ac:dyDescent="0.25">
      <c r="A2395" t="s">
        <v>10957</v>
      </c>
      <c r="B2395" t="s">
        <v>2322</v>
      </c>
      <c r="C2395" t="s">
        <v>10958</v>
      </c>
      <c r="D2395">
        <f t="shared" si="65"/>
        <v>-1106</v>
      </c>
      <c r="E2395" t="s">
        <v>10948</v>
      </c>
      <c r="F2395" t="s">
        <v>10949</v>
      </c>
      <c r="G2395" t="s">
        <v>10950</v>
      </c>
      <c r="H2395">
        <v>139.70545480000001</v>
      </c>
      <c r="I2395">
        <v>35.6914321</v>
      </c>
      <c r="J2395">
        <v>235</v>
      </c>
      <c r="K2395" t="s">
        <v>536</v>
      </c>
      <c r="L2395" t="s">
        <v>536</v>
      </c>
      <c r="M2395" t="s">
        <v>536</v>
      </c>
      <c r="N2395" t="s">
        <v>536</v>
      </c>
      <c r="O2395" t="s">
        <v>77</v>
      </c>
      <c r="P2395" t="s">
        <v>3122</v>
      </c>
      <c r="Q2395" t="s">
        <v>290</v>
      </c>
      <c r="R2395" t="s">
        <v>10959</v>
      </c>
      <c r="U2395" t="s">
        <v>10960</v>
      </c>
    </row>
    <row r="2396" spans="1:21" x14ac:dyDescent="0.25">
      <c r="A2396" t="s">
        <v>10961</v>
      </c>
      <c r="B2396" t="s">
        <v>22</v>
      </c>
      <c r="C2396" t="s">
        <v>10962</v>
      </c>
      <c r="D2396">
        <f t="shared" si="65"/>
        <v>-1106</v>
      </c>
      <c r="E2396" t="s">
        <v>10963</v>
      </c>
      <c r="F2396" t="s">
        <v>10949</v>
      </c>
      <c r="G2396" t="s">
        <v>10950</v>
      </c>
      <c r="H2396">
        <v>139.63095188140801</v>
      </c>
      <c r="I2396">
        <v>35.455531380883698</v>
      </c>
      <c r="J2396">
        <v>235</v>
      </c>
      <c r="K2396" t="s">
        <v>1035</v>
      </c>
      <c r="L2396" t="s">
        <v>1035</v>
      </c>
      <c r="M2396" t="s">
        <v>1035</v>
      </c>
      <c r="N2396" t="s">
        <v>1035</v>
      </c>
      <c r="O2396" t="s">
        <v>1035</v>
      </c>
      <c r="P2396" t="s">
        <v>1035</v>
      </c>
      <c r="Q2396" t="s">
        <v>1035</v>
      </c>
      <c r="R2396" t="s">
        <v>10964</v>
      </c>
      <c r="U2396" t="s">
        <v>10965</v>
      </c>
    </row>
    <row r="2397" spans="1:21" x14ac:dyDescent="0.25">
      <c r="A2397" t="s">
        <v>10966</v>
      </c>
      <c r="B2397" t="s">
        <v>22</v>
      </c>
      <c r="C2397" t="s">
        <v>10967</v>
      </c>
      <c r="D2397">
        <f t="shared" si="65"/>
        <v>-1106</v>
      </c>
      <c r="E2397" t="s">
        <v>10968</v>
      </c>
      <c r="F2397" t="s">
        <v>10949</v>
      </c>
      <c r="G2397" t="s">
        <v>10950</v>
      </c>
      <c r="H2397">
        <v>139.867951869964</v>
      </c>
      <c r="I2397">
        <v>35.858448307512802</v>
      </c>
      <c r="J2397">
        <v>235</v>
      </c>
      <c r="K2397" t="s">
        <v>45</v>
      </c>
      <c r="L2397" t="s">
        <v>45</v>
      </c>
      <c r="M2397" t="s">
        <v>45</v>
      </c>
      <c r="N2397" t="s">
        <v>45</v>
      </c>
      <c r="O2397" t="s">
        <v>45</v>
      </c>
      <c r="P2397" t="s">
        <v>45</v>
      </c>
      <c r="Q2397" t="s">
        <v>45</v>
      </c>
      <c r="R2397" t="s">
        <v>10969</v>
      </c>
      <c r="U2397" t="s">
        <v>10970</v>
      </c>
    </row>
    <row r="2398" spans="1:21" x14ac:dyDescent="0.25">
      <c r="A2398" t="s">
        <v>10971</v>
      </c>
      <c r="B2398" t="s">
        <v>22</v>
      </c>
      <c r="C2398" t="s">
        <v>10972</v>
      </c>
      <c r="D2398">
        <f t="shared" si="65"/>
        <v>-1106</v>
      </c>
      <c r="E2398" t="s">
        <v>10948</v>
      </c>
      <c r="F2398" t="s">
        <v>10949</v>
      </c>
      <c r="G2398" t="s">
        <v>10950</v>
      </c>
      <c r="H2398">
        <v>139.38500404357899</v>
      </c>
      <c r="I2398">
        <v>35.746024631382603</v>
      </c>
      <c r="J2398">
        <v>235</v>
      </c>
      <c r="K2398" t="s">
        <v>536</v>
      </c>
      <c r="L2398" t="s">
        <v>536</v>
      </c>
      <c r="M2398" t="s">
        <v>536</v>
      </c>
      <c r="N2398" t="s">
        <v>536</v>
      </c>
      <c r="O2398" t="s">
        <v>536</v>
      </c>
      <c r="P2398" t="s">
        <v>536</v>
      </c>
      <c r="Q2398" t="s">
        <v>536</v>
      </c>
      <c r="R2398" t="s">
        <v>10973</v>
      </c>
      <c r="U2398" t="s">
        <v>10974</v>
      </c>
    </row>
    <row r="2399" spans="1:21" x14ac:dyDescent="0.25">
      <c r="A2399" t="s">
        <v>10975</v>
      </c>
      <c r="B2399" t="s">
        <v>22</v>
      </c>
      <c r="C2399" t="s">
        <v>10976</v>
      </c>
      <c r="D2399">
        <f t="shared" si="65"/>
        <v>-1106</v>
      </c>
      <c r="E2399" t="s">
        <v>10963</v>
      </c>
      <c r="F2399" t="s">
        <v>10949</v>
      </c>
      <c r="G2399" t="s">
        <v>10950</v>
      </c>
      <c r="H2399">
        <v>139.56619262695301</v>
      </c>
      <c r="I2399">
        <v>35.5161944987955</v>
      </c>
      <c r="J2399">
        <v>235</v>
      </c>
      <c r="K2399" t="s">
        <v>45</v>
      </c>
      <c r="L2399" t="s">
        <v>45</v>
      </c>
      <c r="M2399" t="s">
        <v>45</v>
      </c>
      <c r="N2399" t="s">
        <v>45</v>
      </c>
      <c r="O2399" t="s">
        <v>45</v>
      </c>
      <c r="P2399" t="s">
        <v>45</v>
      </c>
      <c r="Q2399" t="s">
        <v>45</v>
      </c>
      <c r="R2399" t="s">
        <v>10977</v>
      </c>
      <c r="U2399" t="s">
        <v>10978</v>
      </c>
    </row>
    <row r="2400" spans="1:21" x14ac:dyDescent="0.25">
      <c r="A2400" t="s">
        <v>10979</v>
      </c>
      <c r="B2400" t="s">
        <v>22</v>
      </c>
      <c r="C2400" t="s">
        <v>10980</v>
      </c>
      <c r="D2400">
        <f t="shared" si="65"/>
        <v>-1106</v>
      </c>
      <c r="E2400" t="s">
        <v>10948</v>
      </c>
      <c r="F2400" t="s">
        <v>10949</v>
      </c>
      <c r="G2400" t="s">
        <v>10950</v>
      </c>
      <c r="H2400">
        <v>139.628269672393</v>
      </c>
      <c r="I2400">
        <v>35.611813478800897</v>
      </c>
      <c r="J2400">
        <v>235</v>
      </c>
      <c r="K2400" t="s">
        <v>45</v>
      </c>
      <c r="L2400" t="s">
        <v>45</v>
      </c>
      <c r="M2400" t="s">
        <v>45</v>
      </c>
      <c r="N2400" t="s">
        <v>45</v>
      </c>
      <c r="O2400" t="s">
        <v>45</v>
      </c>
      <c r="P2400" t="s">
        <v>45</v>
      </c>
      <c r="Q2400" t="s">
        <v>45</v>
      </c>
      <c r="R2400" t="s">
        <v>10981</v>
      </c>
      <c r="U2400" t="s">
        <v>10982</v>
      </c>
    </row>
    <row r="2401" spans="1:21" x14ac:dyDescent="0.25">
      <c r="A2401" t="s">
        <v>10983</v>
      </c>
      <c r="B2401" t="s">
        <v>22</v>
      </c>
      <c r="C2401" t="s">
        <v>10984</v>
      </c>
      <c r="D2401">
        <f t="shared" si="65"/>
        <v>-1106</v>
      </c>
      <c r="E2401" t="s">
        <v>10985</v>
      </c>
      <c r="F2401" t="s">
        <v>10949</v>
      </c>
      <c r="G2401" t="s">
        <v>10950</v>
      </c>
      <c r="H2401">
        <v>139.9901595</v>
      </c>
      <c r="I2401">
        <v>35.685670600000002</v>
      </c>
      <c r="J2401">
        <v>235</v>
      </c>
      <c r="K2401" t="s">
        <v>45</v>
      </c>
      <c r="L2401" t="s">
        <v>45</v>
      </c>
      <c r="M2401" t="s">
        <v>45</v>
      </c>
      <c r="N2401" t="s">
        <v>45</v>
      </c>
      <c r="O2401" t="s">
        <v>45</v>
      </c>
      <c r="P2401" t="s">
        <v>536</v>
      </c>
      <c r="Q2401" t="s">
        <v>536</v>
      </c>
      <c r="R2401" t="s">
        <v>10986</v>
      </c>
      <c r="U2401" t="s">
        <v>10987</v>
      </c>
    </row>
    <row r="2402" spans="1:21" x14ac:dyDescent="0.25">
      <c r="A2402" t="s">
        <v>10988</v>
      </c>
      <c r="B2402" t="s">
        <v>22</v>
      </c>
      <c r="C2402" t="s">
        <v>10989</v>
      </c>
      <c r="D2402">
        <f t="shared" si="65"/>
        <v>-1106</v>
      </c>
      <c r="E2402" t="s">
        <v>10990</v>
      </c>
      <c r="F2402" t="s">
        <v>10949</v>
      </c>
      <c r="G2402" t="s">
        <v>10950</v>
      </c>
      <c r="H2402">
        <v>135.36448001861501</v>
      </c>
      <c r="I2402">
        <v>34.717946401723303</v>
      </c>
      <c r="J2402">
        <v>235</v>
      </c>
      <c r="K2402" t="s">
        <v>45</v>
      </c>
      <c r="L2402" t="s">
        <v>45</v>
      </c>
      <c r="M2402" t="s">
        <v>45</v>
      </c>
      <c r="N2402" t="s">
        <v>45</v>
      </c>
      <c r="O2402" t="s">
        <v>45</v>
      </c>
      <c r="P2402" t="s">
        <v>45</v>
      </c>
      <c r="Q2402" t="s">
        <v>45</v>
      </c>
      <c r="R2402" t="s">
        <v>10991</v>
      </c>
      <c r="U2402" t="s">
        <v>10992</v>
      </c>
    </row>
    <row r="2403" spans="1:21" x14ac:dyDescent="0.25">
      <c r="A2403" t="s">
        <v>10993</v>
      </c>
      <c r="B2403" t="s">
        <v>22</v>
      </c>
      <c r="C2403" t="s">
        <v>10994</v>
      </c>
      <c r="D2403">
        <f t="shared" si="65"/>
        <v>-1106</v>
      </c>
      <c r="E2403" t="s">
        <v>10995</v>
      </c>
      <c r="F2403" t="s">
        <v>10949</v>
      </c>
      <c r="G2403" t="s">
        <v>10950</v>
      </c>
      <c r="H2403">
        <v>130.41219949722199</v>
      </c>
      <c r="I2403">
        <v>33.590125635581401</v>
      </c>
      <c r="J2403">
        <v>235</v>
      </c>
      <c r="K2403" t="s">
        <v>536</v>
      </c>
      <c r="L2403" t="s">
        <v>536</v>
      </c>
      <c r="M2403" t="s">
        <v>536</v>
      </c>
      <c r="N2403" t="s">
        <v>536</v>
      </c>
      <c r="O2403" t="s">
        <v>536</v>
      </c>
      <c r="P2403" t="s">
        <v>536</v>
      </c>
      <c r="Q2403" t="s">
        <v>536</v>
      </c>
      <c r="R2403" t="s">
        <v>10996</v>
      </c>
      <c r="U2403" t="s">
        <v>10997</v>
      </c>
    </row>
    <row r="2404" spans="1:21" x14ac:dyDescent="0.25">
      <c r="A2404" t="s">
        <v>10998</v>
      </c>
      <c r="B2404" t="s">
        <v>22</v>
      </c>
      <c r="C2404" t="s">
        <v>10999</v>
      </c>
      <c r="D2404">
        <f t="shared" si="65"/>
        <v>-1106</v>
      </c>
      <c r="E2404" t="s">
        <v>11000</v>
      </c>
      <c r="F2404" t="s">
        <v>10949</v>
      </c>
      <c r="G2404" t="s">
        <v>10950</v>
      </c>
      <c r="H2404">
        <v>139.446051120758</v>
      </c>
      <c r="I2404">
        <v>35.338198942942903</v>
      </c>
      <c r="J2404">
        <v>235</v>
      </c>
      <c r="K2404" t="s">
        <v>536</v>
      </c>
      <c r="L2404" t="s">
        <v>536</v>
      </c>
      <c r="M2404" t="s">
        <v>536</v>
      </c>
      <c r="N2404" t="s">
        <v>536</v>
      </c>
      <c r="O2404" t="s">
        <v>536</v>
      </c>
      <c r="P2404" t="s">
        <v>536</v>
      </c>
      <c r="Q2404" t="s">
        <v>536</v>
      </c>
      <c r="R2404" t="s">
        <v>11001</v>
      </c>
      <c r="U2404" t="s">
        <v>11002</v>
      </c>
    </row>
    <row r="2405" spans="1:21" x14ac:dyDescent="0.25">
      <c r="A2405" t="s">
        <v>11003</v>
      </c>
      <c r="B2405" t="s">
        <v>22</v>
      </c>
      <c r="C2405" t="s">
        <v>11004</v>
      </c>
      <c r="D2405">
        <f t="shared" si="65"/>
        <v>-1106</v>
      </c>
      <c r="E2405" t="s">
        <v>10995</v>
      </c>
      <c r="F2405" t="s">
        <v>10949</v>
      </c>
      <c r="G2405" t="s">
        <v>10950</v>
      </c>
      <c r="H2405">
        <v>130.39697799999999</v>
      </c>
      <c r="I2405">
        <v>33.587243999999998</v>
      </c>
      <c r="J2405">
        <v>235</v>
      </c>
      <c r="K2405" t="s">
        <v>27</v>
      </c>
      <c r="L2405" t="s">
        <v>27</v>
      </c>
      <c r="M2405" t="s">
        <v>27</v>
      </c>
      <c r="N2405" t="s">
        <v>27</v>
      </c>
      <c r="O2405" t="s">
        <v>27</v>
      </c>
      <c r="P2405" t="s">
        <v>27</v>
      </c>
      <c r="Q2405" t="s">
        <v>27</v>
      </c>
      <c r="R2405" t="s">
        <v>11005</v>
      </c>
      <c r="U2405" t="s">
        <v>11006</v>
      </c>
    </row>
    <row r="2406" spans="1:21" x14ac:dyDescent="0.25">
      <c r="A2406" t="s">
        <v>11007</v>
      </c>
      <c r="B2406" t="s">
        <v>22</v>
      </c>
      <c r="C2406" t="s">
        <v>11008</v>
      </c>
      <c r="D2406">
        <f t="shared" si="65"/>
        <v>-1106</v>
      </c>
      <c r="E2406" t="s">
        <v>10948</v>
      </c>
      <c r="F2406" t="s">
        <v>10949</v>
      </c>
      <c r="G2406" t="s">
        <v>10950</v>
      </c>
      <c r="H2406">
        <v>139.852180480957</v>
      </c>
      <c r="I2406">
        <v>35.765457798225398</v>
      </c>
      <c r="J2406">
        <v>235</v>
      </c>
      <c r="K2406" t="s">
        <v>536</v>
      </c>
      <c r="L2406" t="s">
        <v>536</v>
      </c>
      <c r="M2406" t="s">
        <v>536</v>
      </c>
      <c r="N2406" t="s">
        <v>536</v>
      </c>
      <c r="O2406" t="s">
        <v>536</v>
      </c>
      <c r="P2406" t="s">
        <v>536</v>
      </c>
      <c r="Q2406" t="s">
        <v>536</v>
      </c>
      <c r="R2406" t="s">
        <v>11009</v>
      </c>
      <c r="U2406" t="s">
        <v>11010</v>
      </c>
    </row>
    <row r="2407" spans="1:21" x14ac:dyDescent="0.25">
      <c r="A2407" t="s">
        <v>11011</v>
      </c>
      <c r="B2407" t="s">
        <v>22</v>
      </c>
      <c r="C2407" t="s">
        <v>11012</v>
      </c>
      <c r="D2407">
        <f t="shared" si="65"/>
        <v>-1106</v>
      </c>
      <c r="E2407" t="s">
        <v>10948</v>
      </c>
      <c r="F2407" t="s">
        <v>10949</v>
      </c>
      <c r="G2407" t="s">
        <v>10950</v>
      </c>
      <c r="H2407">
        <v>139.77618813514701</v>
      </c>
      <c r="I2407">
        <v>35.625829046044302</v>
      </c>
      <c r="J2407">
        <v>235</v>
      </c>
      <c r="K2407" t="s">
        <v>1035</v>
      </c>
      <c r="L2407" t="s">
        <v>1035</v>
      </c>
      <c r="M2407" t="s">
        <v>1035</v>
      </c>
      <c r="N2407" t="s">
        <v>1035</v>
      </c>
      <c r="O2407" t="s">
        <v>1035</v>
      </c>
      <c r="P2407" t="s">
        <v>45</v>
      </c>
      <c r="Q2407" t="s">
        <v>45</v>
      </c>
      <c r="R2407" t="s">
        <v>11013</v>
      </c>
      <c r="U2407" t="s">
        <v>11014</v>
      </c>
    </row>
    <row r="2408" spans="1:21" x14ac:dyDescent="0.25">
      <c r="A2408" t="s">
        <v>11015</v>
      </c>
      <c r="B2408" t="s">
        <v>22</v>
      </c>
      <c r="C2408" t="s">
        <v>11016</v>
      </c>
      <c r="D2408">
        <f t="shared" si="65"/>
        <v>-1106</v>
      </c>
      <c r="E2408" t="s">
        <v>11017</v>
      </c>
      <c r="F2408" t="s">
        <v>10949</v>
      </c>
      <c r="G2408" t="s">
        <v>10950</v>
      </c>
      <c r="H2408">
        <v>136.90738320350599</v>
      </c>
      <c r="I2408">
        <v>35.164419662433197</v>
      </c>
      <c r="J2408">
        <v>235</v>
      </c>
      <c r="K2408" t="s">
        <v>45</v>
      </c>
      <c r="L2408" t="s">
        <v>45</v>
      </c>
      <c r="M2408" t="s">
        <v>45</v>
      </c>
      <c r="N2408" t="s">
        <v>45</v>
      </c>
      <c r="O2408" t="s">
        <v>45</v>
      </c>
      <c r="P2408" t="s">
        <v>45</v>
      </c>
      <c r="Q2408" t="s">
        <v>45</v>
      </c>
      <c r="R2408" t="s">
        <v>11018</v>
      </c>
      <c r="U2408" t="s">
        <v>11019</v>
      </c>
    </row>
    <row r="2409" spans="1:21" x14ac:dyDescent="0.25">
      <c r="A2409" t="s">
        <v>11020</v>
      </c>
      <c r="B2409" t="s">
        <v>38</v>
      </c>
      <c r="C2409" t="s">
        <v>11021</v>
      </c>
      <c r="D2409">
        <f t="shared" si="65"/>
        <v>-1106</v>
      </c>
      <c r="E2409" t="s">
        <v>11022</v>
      </c>
      <c r="F2409" t="s">
        <v>10949</v>
      </c>
      <c r="G2409" t="s">
        <v>10950</v>
      </c>
      <c r="H2409">
        <v>136.67301177978501</v>
      </c>
      <c r="I2409">
        <v>35.453573743842902</v>
      </c>
      <c r="J2409">
        <v>235</v>
      </c>
      <c r="K2409" t="s">
        <v>536</v>
      </c>
      <c r="L2409" t="s">
        <v>536</v>
      </c>
      <c r="M2409" t="s">
        <v>536</v>
      </c>
      <c r="N2409" t="s">
        <v>536</v>
      </c>
      <c r="O2409" t="s">
        <v>536</v>
      </c>
      <c r="P2409" t="s">
        <v>536</v>
      </c>
      <c r="Q2409" t="s">
        <v>536</v>
      </c>
      <c r="R2409" t="s">
        <v>11023</v>
      </c>
      <c r="U2409" t="s">
        <v>11024</v>
      </c>
    </row>
    <row r="2410" spans="1:21" x14ac:dyDescent="0.25">
      <c r="A2410" t="s">
        <v>11025</v>
      </c>
      <c r="B2410" t="s">
        <v>22</v>
      </c>
      <c r="C2410" t="s">
        <v>11026</v>
      </c>
      <c r="D2410">
        <f t="shared" si="65"/>
        <v>-1106</v>
      </c>
      <c r="E2410" t="s">
        <v>11017</v>
      </c>
      <c r="F2410" t="s">
        <v>10949</v>
      </c>
      <c r="G2410" t="s">
        <v>10950</v>
      </c>
      <c r="H2410">
        <v>136.90887451171801</v>
      </c>
      <c r="I2410">
        <v>35.137633455278198</v>
      </c>
      <c r="J2410">
        <v>235</v>
      </c>
      <c r="K2410" t="s">
        <v>536</v>
      </c>
      <c r="L2410" t="s">
        <v>536</v>
      </c>
      <c r="M2410" t="s">
        <v>536</v>
      </c>
      <c r="N2410" t="s">
        <v>536</v>
      </c>
      <c r="O2410" t="s">
        <v>536</v>
      </c>
      <c r="P2410" t="s">
        <v>536</v>
      </c>
      <c r="Q2410" t="s">
        <v>536</v>
      </c>
      <c r="R2410" t="s">
        <v>11027</v>
      </c>
      <c r="U2410" t="s">
        <v>11028</v>
      </c>
    </row>
    <row r="2411" spans="1:21" x14ac:dyDescent="0.25">
      <c r="A2411" t="s">
        <v>11029</v>
      </c>
      <c r="B2411" t="s">
        <v>38</v>
      </c>
      <c r="C2411" t="s">
        <v>11030</v>
      </c>
      <c r="D2411">
        <f t="shared" si="65"/>
        <v>-1106</v>
      </c>
      <c r="E2411" t="s">
        <v>11031</v>
      </c>
      <c r="F2411" t="s">
        <v>10949</v>
      </c>
      <c r="G2411" t="s">
        <v>10950</v>
      </c>
      <c r="H2411">
        <v>140.35995483398401</v>
      </c>
      <c r="I2411">
        <v>36.375374749669902</v>
      </c>
      <c r="J2411">
        <v>235</v>
      </c>
      <c r="K2411" t="s">
        <v>536</v>
      </c>
      <c r="L2411" t="s">
        <v>536</v>
      </c>
      <c r="M2411" t="s">
        <v>536</v>
      </c>
      <c r="N2411" t="s">
        <v>536</v>
      </c>
      <c r="O2411" t="s">
        <v>536</v>
      </c>
      <c r="P2411" t="s">
        <v>536</v>
      </c>
      <c r="Q2411" t="s">
        <v>536</v>
      </c>
      <c r="R2411" t="s">
        <v>11032</v>
      </c>
      <c r="U2411" t="s">
        <v>11033</v>
      </c>
    </row>
    <row r="2412" spans="1:21" x14ac:dyDescent="0.25">
      <c r="A2412" t="s">
        <v>11034</v>
      </c>
      <c r="B2412" t="s">
        <v>22</v>
      </c>
      <c r="C2412" t="s">
        <v>11035</v>
      </c>
      <c r="D2412">
        <f t="shared" si="65"/>
        <v>-1106</v>
      </c>
      <c r="E2412" t="s">
        <v>11036</v>
      </c>
      <c r="F2412" t="s">
        <v>10949</v>
      </c>
      <c r="G2412" t="s">
        <v>10950</v>
      </c>
      <c r="H2412">
        <v>132.46199727058399</v>
      </c>
      <c r="I2412">
        <v>34.392391483746501</v>
      </c>
      <c r="J2412">
        <v>235</v>
      </c>
      <c r="K2412" t="s">
        <v>536</v>
      </c>
      <c r="L2412" t="s">
        <v>536</v>
      </c>
      <c r="M2412" t="s">
        <v>536</v>
      </c>
      <c r="N2412" t="s">
        <v>536</v>
      </c>
      <c r="O2412" t="s">
        <v>536</v>
      </c>
      <c r="P2412" t="s">
        <v>536</v>
      </c>
      <c r="Q2412" t="s">
        <v>536</v>
      </c>
      <c r="R2412" t="s">
        <v>11037</v>
      </c>
      <c r="U2412" t="s">
        <v>11038</v>
      </c>
    </row>
    <row r="2413" spans="1:21" x14ac:dyDescent="0.25">
      <c r="A2413" t="s">
        <v>11039</v>
      </c>
      <c r="B2413" t="s">
        <v>38</v>
      </c>
      <c r="C2413" t="s">
        <v>11040</v>
      </c>
      <c r="D2413">
        <f t="shared" si="65"/>
        <v>-1106</v>
      </c>
      <c r="E2413" t="s">
        <v>10968</v>
      </c>
      <c r="F2413" t="s">
        <v>10949</v>
      </c>
      <c r="G2413" t="s">
        <v>10950</v>
      </c>
      <c r="H2413">
        <v>139.78969573974601</v>
      </c>
      <c r="I2413">
        <v>35.988736688552002</v>
      </c>
      <c r="J2413">
        <v>235</v>
      </c>
      <c r="K2413" t="s">
        <v>536</v>
      </c>
      <c r="L2413" t="s">
        <v>536</v>
      </c>
      <c r="M2413" t="s">
        <v>536</v>
      </c>
      <c r="N2413" t="s">
        <v>536</v>
      </c>
      <c r="O2413" t="s">
        <v>536</v>
      </c>
      <c r="P2413" t="s">
        <v>536</v>
      </c>
      <c r="Q2413" t="s">
        <v>536</v>
      </c>
      <c r="R2413" t="s">
        <v>11041</v>
      </c>
      <c r="U2413" t="s">
        <v>11042</v>
      </c>
    </row>
    <row r="2414" spans="1:21" x14ac:dyDescent="0.25">
      <c r="A2414" t="s">
        <v>11043</v>
      </c>
      <c r="B2414" t="s">
        <v>32</v>
      </c>
      <c r="C2414" t="s">
        <v>11044</v>
      </c>
      <c r="D2414">
        <f t="shared" si="65"/>
        <v>-1106</v>
      </c>
      <c r="E2414" t="s">
        <v>11045</v>
      </c>
      <c r="F2414" t="s">
        <v>10949</v>
      </c>
      <c r="G2414" t="s">
        <v>10950</v>
      </c>
      <c r="H2414">
        <v>135.50103240000001</v>
      </c>
      <c r="I2414">
        <v>34.674514799999997</v>
      </c>
      <c r="J2414">
        <v>235</v>
      </c>
      <c r="K2414" t="s">
        <v>27</v>
      </c>
      <c r="L2414" t="s">
        <v>27</v>
      </c>
      <c r="M2414" t="s">
        <v>27</v>
      </c>
      <c r="N2414" t="s">
        <v>27</v>
      </c>
      <c r="O2414" t="s">
        <v>27</v>
      </c>
      <c r="P2414" t="s">
        <v>27</v>
      </c>
      <c r="Q2414" t="s">
        <v>27</v>
      </c>
      <c r="R2414" t="s">
        <v>11046</v>
      </c>
      <c r="S2414" t="s">
        <v>11046</v>
      </c>
      <c r="U2414" t="s">
        <v>11047</v>
      </c>
    </row>
    <row r="2415" spans="1:21" x14ac:dyDescent="0.25">
      <c r="A2415" t="s">
        <v>11048</v>
      </c>
      <c r="B2415" t="s">
        <v>38</v>
      </c>
      <c r="C2415" t="s">
        <v>11049</v>
      </c>
      <c r="D2415">
        <f t="shared" si="65"/>
        <v>-1106</v>
      </c>
      <c r="E2415" t="s">
        <v>11050</v>
      </c>
      <c r="F2415" t="s">
        <v>10949</v>
      </c>
      <c r="G2415" t="s">
        <v>10950</v>
      </c>
      <c r="H2415">
        <v>138.40958118438701</v>
      </c>
      <c r="I2415">
        <v>34.984299914477702</v>
      </c>
      <c r="J2415">
        <v>235</v>
      </c>
      <c r="K2415" t="s">
        <v>45</v>
      </c>
      <c r="L2415" t="s">
        <v>45</v>
      </c>
      <c r="M2415" t="s">
        <v>45</v>
      </c>
      <c r="N2415" t="s">
        <v>45</v>
      </c>
      <c r="O2415" t="s">
        <v>45</v>
      </c>
      <c r="P2415" t="s">
        <v>45</v>
      </c>
      <c r="Q2415" t="s">
        <v>45</v>
      </c>
      <c r="R2415" t="s">
        <v>11051</v>
      </c>
      <c r="U2415" t="s">
        <v>11052</v>
      </c>
    </row>
    <row r="2416" spans="1:21" x14ac:dyDescent="0.25">
      <c r="A2416" t="s">
        <v>11053</v>
      </c>
      <c r="B2416" t="s">
        <v>38</v>
      </c>
      <c r="C2416" t="s">
        <v>11054</v>
      </c>
      <c r="D2416">
        <f t="shared" si="65"/>
        <v>-1106</v>
      </c>
      <c r="E2416" t="s">
        <v>11055</v>
      </c>
      <c r="F2416" t="s">
        <v>10949</v>
      </c>
      <c r="G2416" t="s">
        <v>10950</v>
      </c>
      <c r="H2416">
        <v>140.132728815078</v>
      </c>
      <c r="I2416">
        <v>36.034862976053901</v>
      </c>
      <c r="J2416">
        <v>235</v>
      </c>
      <c r="K2416" t="s">
        <v>536</v>
      </c>
      <c r="L2416" t="s">
        <v>536</v>
      </c>
      <c r="M2416" t="s">
        <v>536</v>
      </c>
      <c r="N2416" t="s">
        <v>536</v>
      </c>
      <c r="O2416" t="s">
        <v>536</v>
      </c>
      <c r="P2416" t="s">
        <v>536</v>
      </c>
      <c r="Q2416" t="s">
        <v>536</v>
      </c>
      <c r="R2416" t="s">
        <v>11056</v>
      </c>
      <c r="U2416" t="s">
        <v>11057</v>
      </c>
    </row>
    <row r="2417" spans="1:21" x14ac:dyDescent="0.25">
      <c r="A2417" t="s">
        <v>11058</v>
      </c>
      <c r="B2417" t="s">
        <v>22</v>
      </c>
      <c r="C2417" t="s">
        <v>11059</v>
      </c>
      <c r="D2417">
        <f t="shared" si="65"/>
        <v>-1106</v>
      </c>
      <c r="E2417" t="s">
        <v>11060</v>
      </c>
      <c r="F2417" t="s">
        <v>10949</v>
      </c>
      <c r="G2417" t="s">
        <v>10950</v>
      </c>
      <c r="H2417">
        <v>135.182486772537</v>
      </c>
      <c r="I2417">
        <v>34.679840691476002</v>
      </c>
      <c r="J2417">
        <v>235</v>
      </c>
      <c r="K2417" t="s">
        <v>45</v>
      </c>
      <c r="L2417" t="s">
        <v>45</v>
      </c>
      <c r="M2417" t="s">
        <v>45</v>
      </c>
      <c r="N2417" t="s">
        <v>45</v>
      </c>
      <c r="O2417" t="s">
        <v>45</v>
      </c>
      <c r="P2417" t="s">
        <v>45</v>
      </c>
      <c r="Q2417" t="s">
        <v>45</v>
      </c>
      <c r="R2417" t="s">
        <v>11061</v>
      </c>
      <c r="U2417" t="s">
        <v>11062</v>
      </c>
    </row>
    <row r="2418" spans="1:21" x14ac:dyDescent="0.25">
      <c r="A2418" t="s">
        <v>11063</v>
      </c>
      <c r="B2418" t="s">
        <v>22</v>
      </c>
      <c r="C2418" t="s">
        <v>11064</v>
      </c>
      <c r="D2418">
        <f t="shared" si="65"/>
        <v>-1106</v>
      </c>
      <c r="E2418" t="s">
        <v>11045</v>
      </c>
      <c r="F2418" t="s">
        <v>10949</v>
      </c>
      <c r="G2418" t="s">
        <v>10950</v>
      </c>
      <c r="H2418">
        <v>135.49962043762201</v>
      </c>
      <c r="I2418">
        <v>34.7046113992239</v>
      </c>
      <c r="J2418">
        <v>235</v>
      </c>
      <c r="K2418" t="s">
        <v>27</v>
      </c>
      <c r="L2418" t="s">
        <v>27</v>
      </c>
      <c r="M2418" t="s">
        <v>27</v>
      </c>
      <c r="N2418" t="s">
        <v>27</v>
      </c>
      <c r="O2418" t="s">
        <v>27</v>
      </c>
      <c r="P2418" t="s">
        <v>27</v>
      </c>
      <c r="Q2418" t="s">
        <v>27</v>
      </c>
      <c r="R2418" t="s">
        <v>11065</v>
      </c>
      <c r="U2418" t="s">
        <v>11066</v>
      </c>
    </row>
    <row r="2419" spans="1:21" x14ac:dyDescent="0.25">
      <c r="A2419" t="s">
        <v>11067</v>
      </c>
      <c r="B2419" t="s">
        <v>22</v>
      </c>
      <c r="C2419" t="s">
        <v>11068</v>
      </c>
      <c r="D2419">
        <f t="shared" si="65"/>
        <v>-1106</v>
      </c>
      <c r="E2419" t="s">
        <v>11069</v>
      </c>
      <c r="F2419" t="s">
        <v>10949</v>
      </c>
      <c r="G2419" t="s">
        <v>10950</v>
      </c>
      <c r="H2419">
        <v>141.353874206542</v>
      </c>
      <c r="I2419">
        <v>43.058909479785797</v>
      </c>
      <c r="J2419">
        <v>235</v>
      </c>
      <c r="K2419" t="s">
        <v>45</v>
      </c>
      <c r="L2419" t="s">
        <v>45</v>
      </c>
      <c r="M2419" t="s">
        <v>45</v>
      </c>
      <c r="N2419" t="s">
        <v>45</v>
      </c>
      <c r="O2419" t="s">
        <v>45</v>
      </c>
      <c r="P2419" t="s">
        <v>45</v>
      </c>
      <c r="Q2419" t="s">
        <v>45</v>
      </c>
      <c r="R2419" t="s">
        <v>11070</v>
      </c>
      <c r="U2419" t="s">
        <v>11071</v>
      </c>
    </row>
    <row r="2420" spans="1:21" x14ac:dyDescent="0.25">
      <c r="A2420" t="s">
        <v>11072</v>
      </c>
      <c r="B2420" t="s">
        <v>22</v>
      </c>
      <c r="C2420" t="s">
        <v>11073</v>
      </c>
      <c r="D2420">
        <f t="shared" si="65"/>
        <v>-1106</v>
      </c>
      <c r="E2420" t="s">
        <v>11074</v>
      </c>
      <c r="F2420" t="s">
        <v>10949</v>
      </c>
      <c r="G2420" t="s">
        <v>10950</v>
      </c>
      <c r="H2420">
        <v>139.90908622741699</v>
      </c>
      <c r="I2420">
        <v>36.493664019254901</v>
      </c>
      <c r="J2420">
        <v>235</v>
      </c>
      <c r="K2420" t="s">
        <v>45</v>
      </c>
      <c r="L2420" t="s">
        <v>45</v>
      </c>
      <c r="M2420" t="s">
        <v>45</v>
      </c>
      <c r="N2420" t="s">
        <v>45</v>
      </c>
      <c r="O2420" t="s">
        <v>45</v>
      </c>
      <c r="P2420" t="s">
        <v>45</v>
      </c>
      <c r="Q2420" t="s">
        <v>45</v>
      </c>
      <c r="R2420" t="s">
        <v>11075</v>
      </c>
      <c r="U2420" t="s">
        <v>11076</v>
      </c>
    </row>
    <row r="2421" spans="1:21" x14ac:dyDescent="0.25">
      <c r="A2421" t="s">
        <v>11077</v>
      </c>
      <c r="B2421" t="s">
        <v>38</v>
      </c>
      <c r="C2421" t="s">
        <v>11078</v>
      </c>
      <c r="D2421">
        <f t="shared" si="65"/>
        <v>-1106</v>
      </c>
      <c r="E2421" t="s">
        <v>11079</v>
      </c>
      <c r="F2421" t="s">
        <v>10949</v>
      </c>
      <c r="G2421" t="s">
        <v>10950</v>
      </c>
      <c r="H2421">
        <v>139.05650317668901</v>
      </c>
      <c r="I2421">
        <v>37.916626825008201</v>
      </c>
      <c r="J2421">
        <v>235</v>
      </c>
      <c r="K2421" t="s">
        <v>45</v>
      </c>
      <c r="L2421" t="s">
        <v>45</v>
      </c>
      <c r="M2421" t="s">
        <v>45</v>
      </c>
      <c r="N2421" t="s">
        <v>45</v>
      </c>
      <c r="O2421" t="s">
        <v>45</v>
      </c>
      <c r="P2421" t="s">
        <v>45</v>
      </c>
      <c r="Q2421" t="s">
        <v>45</v>
      </c>
      <c r="R2421" t="s">
        <v>11080</v>
      </c>
      <c r="U2421" t="s">
        <v>11081</v>
      </c>
    </row>
    <row r="2422" spans="1:21" x14ac:dyDescent="0.25">
      <c r="A2422" t="s">
        <v>11082</v>
      </c>
      <c r="B2422" t="s">
        <v>38</v>
      </c>
      <c r="C2422" t="s">
        <v>11083</v>
      </c>
      <c r="D2422">
        <f t="shared" si="65"/>
        <v>-1106</v>
      </c>
      <c r="E2422" t="s">
        <v>11084</v>
      </c>
      <c r="F2422" t="s">
        <v>10949</v>
      </c>
      <c r="G2422" t="s">
        <v>10950</v>
      </c>
      <c r="H2422">
        <v>130.53710990376501</v>
      </c>
      <c r="I2422">
        <v>31.527391836763101</v>
      </c>
      <c r="J2422">
        <v>235</v>
      </c>
      <c r="K2422" t="s">
        <v>536</v>
      </c>
      <c r="L2422" t="s">
        <v>536</v>
      </c>
      <c r="M2422" t="s">
        <v>536</v>
      </c>
      <c r="N2422" t="s">
        <v>536</v>
      </c>
      <c r="O2422" t="s">
        <v>536</v>
      </c>
      <c r="P2422" t="s">
        <v>536</v>
      </c>
      <c r="Q2422" t="s">
        <v>536</v>
      </c>
      <c r="R2422" t="s">
        <v>11085</v>
      </c>
      <c r="U2422" t="s">
        <v>11086</v>
      </c>
    </row>
    <row r="2423" spans="1:21" x14ac:dyDescent="0.25">
      <c r="A2423" t="s">
        <v>11087</v>
      </c>
      <c r="B2423" t="s">
        <v>22</v>
      </c>
      <c r="C2423" t="s">
        <v>11088</v>
      </c>
      <c r="D2423">
        <f t="shared" si="65"/>
        <v>-1106</v>
      </c>
      <c r="E2423" t="s">
        <v>11089</v>
      </c>
      <c r="F2423" t="s">
        <v>10949</v>
      </c>
      <c r="G2423" t="s">
        <v>10950</v>
      </c>
      <c r="H2423">
        <v>133.918005442327</v>
      </c>
      <c r="I2423">
        <v>34.661909804572602</v>
      </c>
      <c r="J2423">
        <v>235</v>
      </c>
      <c r="K2423" t="s">
        <v>536</v>
      </c>
      <c r="L2423" t="s">
        <v>536</v>
      </c>
      <c r="M2423" t="s">
        <v>536</v>
      </c>
      <c r="N2423" t="s">
        <v>536</v>
      </c>
      <c r="O2423" t="s">
        <v>536</v>
      </c>
      <c r="P2423" t="s">
        <v>536</v>
      </c>
      <c r="Q2423" t="s">
        <v>536</v>
      </c>
      <c r="R2423" t="s">
        <v>11090</v>
      </c>
      <c r="U2423" t="s">
        <v>11091</v>
      </c>
    </row>
    <row r="2424" spans="1:21" x14ac:dyDescent="0.25">
      <c r="A2424" t="s">
        <v>11092</v>
      </c>
      <c r="B2424" t="s">
        <v>38</v>
      </c>
      <c r="C2424" t="s">
        <v>11093</v>
      </c>
      <c r="D2424">
        <f t="shared" si="65"/>
        <v>-1106</v>
      </c>
      <c r="E2424" t="s">
        <v>11094</v>
      </c>
      <c r="F2424" t="s">
        <v>10949</v>
      </c>
      <c r="G2424" t="s">
        <v>10950</v>
      </c>
      <c r="H2424">
        <v>136.58058285713099</v>
      </c>
      <c r="I2424">
        <v>35.0606953120909</v>
      </c>
      <c r="J2424">
        <v>235</v>
      </c>
      <c r="K2424" t="s">
        <v>536</v>
      </c>
      <c r="L2424" t="s">
        <v>536</v>
      </c>
      <c r="M2424" t="s">
        <v>536</v>
      </c>
      <c r="N2424" t="s">
        <v>536</v>
      </c>
      <c r="O2424" t="s">
        <v>536</v>
      </c>
      <c r="P2424" t="s">
        <v>536</v>
      </c>
      <c r="Q2424" t="s">
        <v>536</v>
      </c>
      <c r="R2424" t="s">
        <v>11095</v>
      </c>
      <c r="U2424" t="s">
        <v>11096</v>
      </c>
    </row>
    <row r="2425" spans="1:21" x14ac:dyDescent="0.25">
      <c r="A2425" t="s">
        <v>11097</v>
      </c>
      <c r="B2425" t="s">
        <v>38</v>
      </c>
      <c r="C2425" t="s">
        <v>11098</v>
      </c>
      <c r="D2425">
        <f t="shared" ref="D2425:D2456" si="66">81-120-866-201</f>
        <v>-1106</v>
      </c>
      <c r="E2425" t="s">
        <v>11099</v>
      </c>
      <c r="F2425" t="s">
        <v>10949</v>
      </c>
      <c r="G2425" t="s">
        <v>10950</v>
      </c>
      <c r="H2425">
        <v>140.17258644104001</v>
      </c>
      <c r="I2425">
        <v>35.5275462718363</v>
      </c>
      <c r="J2425">
        <v>235</v>
      </c>
      <c r="K2425" t="s">
        <v>536</v>
      </c>
      <c r="L2425" t="s">
        <v>536</v>
      </c>
      <c r="M2425" t="s">
        <v>536</v>
      </c>
      <c r="N2425" t="s">
        <v>536</v>
      </c>
      <c r="O2425" t="s">
        <v>536</v>
      </c>
      <c r="P2425" t="s">
        <v>536</v>
      </c>
      <c r="Q2425" t="s">
        <v>536</v>
      </c>
      <c r="R2425" t="s">
        <v>11100</v>
      </c>
      <c r="U2425" t="s">
        <v>11101</v>
      </c>
    </row>
    <row r="2426" spans="1:21" x14ac:dyDescent="0.25">
      <c r="A2426" t="s">
        <v>11102</v>
      </c>
      <c r="B2426" t="s">
        <v>22</v>
      </c>
      <c r="C2426" t="s">
        <v>11103</v>
      </c>
      <c r="D2426">
        <f t="shared" si="66"/>
        <v>-1106</v>
      </c>
      <c r="E2426" t="s">
        <v>11104</v>
      </c>
      <c r="F2426" t="s">
        <v>10949</v>
      </c>
      <c r="G2426" t="s">
        <v>10950</v>
      </c>
      <c r="H2426">
        <v>137.73224830627399</v>
      </c>
      <c r="I2426">
        <v>34.703852862241902</v>
      </c>
      <c r="J2426">
        <v>235</v>
      </c>
      <c r="K2426" t="s">
        <v>536</v>
      </c>
      <c r="L2426" t="s">
        <v>536</v>
      </c>
      <c r="M2426" t="s">
        <v>536</v>
      </c>
      <c r="N2426" t="s">
        <v>536</v>
      </c>
      <c r="O2426" t="s">
        <v>536</v>
      </c>
      <c r="P2426" t="s">
        <v>536</v>
      </c>
      <c r="Q2426" t="s">
        <v>536</v>
      </c>
      <c r="R2426" t="s">
        <v>11105</v>
      </c>
      <c r="U2426" t="s">
        <v>11106</v>
      </c>
    </row>
    <row r="2427" spans="1:21" x14ac:dyDescent="0.25">
      <c r="A2427" t="s">
        <v>11107</v>
      </c>
      <c r="B2427" t="s">
        <v>22</v>
      </c>
      <c r="C2427" t="s">
        <v>11108</v>
      </c>
      <c r="D2427">
        <f t="shared" si="66"/>
        <v>-1106</v>
      </c>
      <c r="E2427" t="s">
        <v>10985</v>
      </c>
      <c r="F2427" t="s">
        <v>10949</v>
      </c>
      <c r="G2427" t="s">
        <v>10950</v>
      </c>
      <c r="H2427">
        <v>140.03257513046199</v>
      </c>
      <c r="I2427">
        <v>35.652048216014599</v>
      </c>
      <c r="J2427">
        <v>235</v>
      </c>
      <c r="K2427" t="s">
        <v>536</v>
      </c>
      <c r="L2427" t="s">
        <v>536</v>
      </c>
      <c r="M2427" t="s">
        <v>536</v>
      </c>
      <c r="N2427" t="s">
        <v>536</v>
      </c>
      <c r="O2427" t="s">
        <v>536</v>
      </c>
      <c r="P2427" t="s">
        <v>536</v>
      </c>
      <c r="Q2427" t="s">
        <v>536</v>
      </c>
      <c r="R2427" t="s">
        <v>11109</v>
      </c>
      <c r="U2427" t="s">
        <v>11110</v>
      </c>
    </row>
    <row r="2428" spans="1:21" x14ac:dyDescent="0.25">
      <c r="A2428" t="s">
        <v>11111</v>
      </c>
      <c r="B2428" t="s">
        <v>38</v>
      </c>
      <c r="C2428" t="s">
        <v>11112</v>
      </c>
      <c r="D2428">
        <f t="shared" si="66"/>
        <v>-1106</v>
      </c>
      <c r="E2428" t="s">
        <v>11113</v>
      </c>
      <c r="F2428" t="s">
        <v>10949</v>
      </c>
      <c r="G2428" t="s">
        <v>10950</v>
      </c>
      <c r="H2428">
        <v>131.65750569363999</v>
      </c>
      <c r="I2428">
        <v>33.195260291637602</v>
      </c>
      <c r="J2428">
        <v>235</v>
      </c>
      <c r="K2428" t="s">
        <v>536</v>
      </c>
      <c r="L2428" t="s">
        <v>536</v>
      </c>
      <c r="M2428" t="s">
        <v>536</v>
      </c>
      <c r="N2428" t="s">
        <v>536</v>
      </c>
      <c r="O2428" t="s">
        <v>536</v>
      </c>
      <c r="P2428" t="s">
        <v>536</v>
      </c>
      <c r="Q2428" t="s">
        <v>536</v>
      </c>
      <c r="R2428" t="s">
        <v>11114</v>
      </c>
      <c r="U2428" t="s">
        <v>11115</v>
      </c>
    </row>
    <row r="2429" spans="1:21" x14ac:dyDescent="0.25">
      <c r="A2429" t="s">
        <v>11116</v>
      </c>
      <c r="B2429" t="s">
        <v>38</v>
      </c>
      <c r="C2429" t="s">
        <v>11117</v>
      </c>
      <c r="D2429">
        <f t="shared" si="66"/>
        <v>-1106</v>
      </c>
      <c r="E2429" t="s">
        <v>11118</v>
      </c>
      <c r="F2429" t="s">
        <v>10949</v>
      </c>
      <c r="G2429" t="s">
        <v>10950</v>
      </c>
      <c r="H2429">
        <v>140.36241372156499</v>
      </c>
      <c r="I2429">
        <v>38.3429314271498</v>
      </c>
      <c r="J2429">
        <v>235</v>
      </c>
      <c r="K2429" t="s">
        <v>536</v>
      </c>
      <c r="L2429" t="s">
        <v>536</v>
      </c>
      <c r="M2429" t="s">
        <v>536</v>
      </c>
      <c r="N2429" t="s">
        <v>536</v>
      </c>
      <c r="O2429" t="s">
        <v>536</v>
      </c>
      <c r="P2429" t="s">
        <v>536</v>
      </c>
      <c r="Q2429" t="s">
        <v>536</v>
      </c>
      <c r="R2429" t="s">
        <v>11119</v>
      </c>
      <c r="U2429" t="s">
        <v>11120</v>
      </c>
    </row>
    <row r="2430" spans="1:21" x14ac:dyDescent="0.25">
      <c r="A2430" t="s">
        <v>11121</v>
      </c>
      <c r="B2430" t="s">
        <v>38</v>
      </c>
      <c r="C2430" t="s">
        <v>11122</v>
      </c>
      <c r="D2430">
        <f t="shared" si="66"/>
        <v>-1106</v>
      </c>
      <c r="E2430" t="s">
        <v>11123</v>
      </c>
      <c r="F2430" t="s">
        <v>10949</v>
      </c>
      <c r="G2430" t="s">
        <v>10950</v>
      </c>
      <c r="H2430">
        <v>135.14916876909399</v>
      </c>
      <c r="I2430">
        <v>34.277204847098801</v>
      </c>
      <c r="J2430">
        <v>235</v>
      </c>
      <c r="K2430" t="s">
        <v>536</v>
      </c>
      <c r="L2430" t="s">
        <v>536</v>
      </c>
      <c r="M2430" t="s">
        <v>536</v>
      </c>
      <c r="N2430" t="s">
        <v>536</v>
      </c>
      <c r="O2430" t="s">
        <v>536</v>
      </c>
      <c r="P2430" t="s">
        <v>536</v>
      </c>
      <c r="Q2430" t="s">
        <v>536</v>
      </c>
      <c r="R2430" t="s">
        <v>11124</v>
      </c>
      <c r="U2430" t="s">
        <v>11125</v>
      </c>
    </row>
    <row r="2431" spans="1:21" x14ac:dyDescent="0.25">
      <c r="A2431" t="s">
        <v>11126</v>
      </c>
      <c r="B2431" t="s">
        <v>38</v>
      </c>
      <c r="C2431" t="s">
        <v>11127</v>
      </c>
      <c r="D2431">
        <f t="shared" si="66"/>
        <v>-1106</v>
      </c>
      <c r="E2431" t="s">
        <v>11079</v>
      </c>
      <c r="F2431" t="s">
        <v>10949</v>
      </c>
      <c r="G2431" t="s">
        <v>10950</v>
      </c>
      <c r="H2431">
        <v>139.08192574550699</v>
      </c>
      <c r="I2431">
        <v>37.876134849616598</v>
      </c>
      <c r="J2431">
        <v>235</v>
      </c>
      <c r="K2431" t="s">
        <v>312</v>
      </c>
      <c r="L2431" t="s">
        <v>312</v>
      </c>
      <c r="M2431" t="s">
        <v>312</v>
      </c>
      <c r="N2431" t="s">
        <v>312</v>
      </c>
      <c r="O2431" t="s">
        <v>312</v>
      </c>
      <c r="P2431" t="s">
        <v>312</v>
      </c>
      <c r="Q2431" t="s">
        <v>312</v>
      </c>
      <c r="R2431" t="s">
        <v>11128</v>
      </c>
      <c r="U2431" t="s">
        <v>11129</v>
      </c>
    </row>
    <row r="2432" spans="1:21" x14ac:dyDescent="0.25">
      <c r="A2432" t="s">
        <v>11130</v>
      </c>
      <c r="B2432" t="s">
        <v>22</v>
      </c>
      <c r="C2432" t="s">
        <v>11131</v>
      </c>
      <c r="D2432">
        <f t="shared" si="66"/>
        <v>-1106</v>
      </c>
      <c r="E2432" t="s">
        <v>11017</v>
      </c>
      <c r="F2432" t="s">
        <v>10949</v>
      </c>
      <c r="G2432" t="s">
        <v>10950</v>
      </c>
      <c r="H2432">
        <v>136.82618922161799</v>
      </c>
      <c r="I2432">
        <v>35.104163443848897</v>
      </c>
      <c r="J2432">
        <v>235</v>
      </c>
      <c r="K2432" t="s">
        <v>536</v>
      </c>
      <c r="L2432" t="s">
        <v>536</v>
      </c>
      <c r="M2432" t="s">
        <v>536</v>
      </c>
      <c r="N2432" t="s">
        <v>536</v>
      </c>
      <c r="O2432" t="s">
        <v>536</v>
      </c>
      <c r="P2432" t="s">
        <v>536</v>
      </c>
      <c r="Q2432" t="s">
        <v>536</v>
      </c>
      <c r="R2432" t="s">
        <v>11132</v>
      </c>
      <c r="U2432" t="s">
        <v>11133</v>
      </c>
    </row>
    <row r="2433" spans="1:21" x14ac:dyDescent="0.25">
      <c r="A2433" t="s">
        <v>11134</v>
      </c>
      <c r="B2433" t="s">
        <v>22</v>
      </c>
      <c r="C2433" t="s">
        <v>11135</v>
      </c>
      <c r="D2433">
        <f t="shared" si="66"/>
        <v>-1106</v>
      </c>
      <c r="E2433" t="s">
        <v>11022</v>
      </c>
      <c r="F2433" t="s">
        <v>10949</v>
      </c>
      <c r="G2433" t="s">
        <v>10950</v>
      </c>
      <c r="H2433">
        <v>136.82331199892499</v>
      </c>
      <c r="I2433">
        <v>35.392493680255399</v>
      </c>
      <c r="J2433">
        <v>235</v>
      </c>
      <c r="K2433" t="s">
        <v>312</v>
      </c>
      <c r="L2433" t="s">
        <v>312</v>
      </c>
      <c r="M2433" t="s">
        <v>312</v>
      </c>
      <c r="N2433" t="s">
        <v>312</v>
      </c>
      <c r="O2433" t="s">
        <v>312</v>
      </c>
      <c r="P2433" t="s">
        <v>312</v>
      </c>
      <c r="Q2433" t="s">
        <v>312</v>
      </c>
      <c r="R2433" t="s">
        <v>11136</v>
      </c>
      <c r="U2433" t="s">
        <v>11137</v>
      </c>
    </row>
    <row r="2434" spans="1:21" x14ac:dyDescent="0.25">
      <c r="A2434" t="s">
        <v>11138</v>
      </c>
      <c r="B2434" t="s">
        <v>22</v>
      </c>
      <c r="C2434" t="s">
        <v>11139</v>
      </c>
      <c r="D2434">
        <f t="shared" si="66"/>
        <v>-1106</v>
      </c>
      <c r="E2434" t="s">
        <v>11140</v>
      </c>
      <c r="F2434" t="s">
        <v>10949</v>
      </c>
      <c r="G2434" t="s">
        <v>10950</v>
      </c>
      <c r="H2434">
        <v>135.94498994157999</v>
      </c>
      <c r="I2434">
        <v>35.122135626193703</v>
      </c>
      <c r="J2434">
        <v>235</v>
      </c>
      <c r="K2434" t="s">
        <v>45</v>
      </c>
      <c r="L2434" t="s">
        <v>45</v>
      </c>
      <c r="M2434" t="s">
        <v>45</v>
      </c>
      <c r="N2434" t="s">
        <v>45</v>
      </c>
      <c r="O2434" t="s">
        <v>45</v>
      </c>
      <c r="P2434" t="s">
        <v>45</v>
      </c>
      <c r="Q2434" t="s">
        <v>45</v>
      </c>
      <c r="R2434" t="s">
        <v>11141</v>
      </c>
      <c r="U2434" t="s">
        <v>11142</v>
      </c>
    </row>
    <row r="2435" spans="1:21" x14ac:dyDescent="0.25">
      <c r="A2435" t="s">
        <v>11143</v>
      </c>
      <c r="B2435" t="s">
        <v>22</v>
      </c>
      <c r="C2435" t="s">
        <v>11144</v>
      </c>
      <c r="D2435">
        <f t="shared" si="66"/>
        <v>-1106</v>
      </c>
      <c r="E2435" t="s">
        <v>11145</v>
      </c>
      <c r="F2435" t="s">
        <v>10949</v>
      </c>
      <c r="G2435" t="s">
        <v>10950</v>
      </c>
      <c r="H2435">
        <v>135.76952703968601</v>
      </c>
      <c r="I2435">
        <v>35.004827416748803</v>
      </c>
      <c r="J2435">
        <v>235</v>
      </c>
      <c r="K2435" t="s">
        <v>27</v>
      </c>
      <c r="L2435" t="s">
        <v>27</v>
      </c>
      <c r="M2435" t="s">
        <v>27</v>
      </c>
      <c r="N2435" t="s">
        <v>27</v>
      </c>
      <c r="O2435" t="s">
        <v>27</v>
      </c>
      <c r="P2435" t="s">
        <v>27</v>
      </c>
      <c r="Q2435" t="s">
        <v>27</v>
      </c>
      <c r="R2435" t="s">
        <v>11146</v>
      </c>
      <c r="S2435" t="s">
        <v>11147</v>
      </c>
      <c r="U2435" t="s">
        <v>11148</v>
      </c>
    </row>
    <row r="2436" spans="1:21" x14ac:dyDescent="0.25">
      <c r="A2436" t="s">
        <v>11149</v>
      </c>
      <c r="B2436" t="s">
        <v>22</v>
      </c>
      <c r="C2436" t="s">
        <v>11150</v>
      </c>
      <c r="D2436">
        <f t="shared" si="66"/>
        <v>-1106</v>
      </c>
      <c r="E2436" t="s">
        <v>11151</v>
      </c>
      <c r="F2436" t="s">
        <v>10949</v>
      </c>
      <c r="G2436" t="s">
        <v>10950</v>
      </c>
      <c r="H2436">
        <v>135.44821247804799</v>
      </c>
      <c r="I2436">
        <v>34.435804496568601</v>
      </c>
      <c r="J2436">
        <v>235</v>
      </c>
      <c r="K2436" t="s">
        <v>45</v>
      </c>
      <c r="L2436" t="s">
        <v>45</v>
      </c>
      <c r="M2436" t="s">
        <v>45</v>
      </c>
      <c r="N2436" t="s">
        <v>45</v>
      </c>
      <c r="O2436" t="s">
        <v>45</v>
      </c>
      <c r="P2436" t="s">
        <v>45</v>
      </c>
      <c r="Q2436" t="s">
        <v>45</v>
      </c>
      <c r="R2436" t="s">
        <v>11152</v>
      </c>
      <c r="U2436" t="s">
        <v>11153</v>
      </c>
    </row>
    <row r="2437" spans="1:21" x14ac:dyDescent="0.25">
      <c r="A2437" t="s">
        <v>11154</v>
      </c>
      <c r="B2437" t="s">
        <v>22</v>
      </c>
      <c r="C2437" t="s">
        <v>11155</v>
      </c>
      <c r="D2437">
        <f t="shared" si="66"/>
        <v>-1106</v>
      </c>
      <c r="E2437" t="s">
        <v>11113</v>
      </c>
      <c r="F2437" t="s">
        <v>10949</v>
      </c>
      <c r="G2437" t="s">
        <v>10950</v>
      </c>
      <c r="H2437">
        <v>131.60573781904901</v>
      </c>
      <c r="I2437">
        <v>33.233477086167603</v>
      </c>
      <c r="J2437">
        <v>235</v>
      </c>
      <c r="K2437" t="s">
        <v>45</v>
      </c>
      <c r="L2437" t="s">
        <v>45</v>
      </c>
      <c r="M2437" t="s">
        <v>45</v>
      </c>
      <c r="N2437" t="s">
        <v>45</v>
      </c>
      <c r="O2437" t="s">
        <v>45</v>
      </c>
      <c r="P2437" t="s">
        <v>45</v>
      </c>
      <c r="Q2437" t="s">
        <v>45</v>
      </c>
      <c r="R2437" t="s">
        <v>11156</v>
      </c>
      <c r="U2437" t="s">
        <v>11157</v>
      </c>
    </row>
    <row r="2438" spans="1:21" x14ac:dyDescent="0.25">
      <c r="A2438" t="s">
        <v>11158</v>
      </c>
      <c r="B2438" t="s">
        <v>22</v>
      </c>
      <c r="C2438" t="s">
        <v>11159</v>
      </c>
      <c r="D2438">
        <f t="shared" si="66"/>
        <v>-1106</v>
      </c>
      <c r="E2438" t="s">
        <v>10968</v>
      </c>
      <c r="F2438" t="s">
        <v>10949</v>
      </c>
      <c r="G2438" t="s">
        <v>10950</v>
      </c>
      <c r="H2438">
        <v>139.635357329714</v>
      </c>
      <c r="I2438">
        <v>35.897261724004302</v>
      </c>
      <c r="J2438">
        <v>235</v>
      </c>
      <c r="K2438" t="s">
        <v>536</v>
      </c>
      <c r="L2438" t="s">
        <v>536</v>
      </c>
      <c r="M2438" t="s">
        <v>536</v>
      </c>
      <c r="N2438" t="s">
        <v>536</v>
      </c>
      <c r="O2438" t="s">
        <v>536</v>
      </c>
      <c r="P2438" t="s">
        <v>536</v>
      </c>
      <c r="Q2438" t="s">
        <v>536</v>
      </c>
      <c r="R2438" t="s">
        <v>11160</v>
      </c>
      <c r="U2438" t="s">
        <v>11161</v>
      </c>
    </row>
    <row r="2439" spans="1:21" x14ac:dyDescent="0.25">
      <c r="A2439" t="s">
        <v>11162</v>
      </c>
      <c r="B2439" t="s">
        <v>38</v>
      </c>
      <c r="C2439" t="s">
        <v>11163</v>
      </c>
      <c r="D2439">
        <f t="shared" si="66"/>
        <v>-1106</v>
      </c>
      <c r="E2439" t="s">
        <v>11104</v>
      </c>
      <c r="F2439" t="s">
        <v>10949</v>
      </c>
      <c r="G2439" t="s">
        <v>10950</v>
      </c>
      <c r="H2439">
        <v>137.651420792529</v>
      </c>
      <c r="I2439">
        <v>34.6970393276018</v>
      </c>
      <c r="J2439">
        <v>235</v>
      </c>
      <c r="K2439" t="s">
        <v>536</v>
      </c>
      <c r="L2439" t="s">
        <v>536</v>
      </c>
      <c r="M2439" t="s">
        <v>536</v>
      </c>
      <c r="N2439" t="s">
        <v>536</v>
      </c>
      <c r="O2439" t="s">
        <v>536</v>
      </c>
      <c r="P2439" t="s">
        <v>536</v>
      </c>
      <c r="Q2439" t="s">
        <v>536</v>
      </c>
      <c r="R2439" t="s">
        <v>11164</v>
      </c>
      <c r="U2439" t="s">
        <v>11165</v>
      </c>
    </row>
    <row r="2440" spans="1:21" x14ac:dyDescent="0.25">
      <c r="A2440" t="s">
        <v>11166</v>
      </c>
      <c r="B2440" t="s">
        <v>22</v>
      </c>
      <c r="C2440" t="s">
        <v>11167</v>
      </c>
      <c r="D2440">
        <f t="shared" si="66"/>
        <v>-1106</v>
      </c>
      <c r="E2440" t="s">
        <v>11168</v>
      </c>
      <c r="F2440" t="s">
        <v>10949</v>
      </c>
      <c r="G2440" t="s">
        <v>10950</v>
      </c>
      <c r="H2440">
        <v>136.65286968678501</v>
      </c>
      <c r="I2440">
        <v>36.560835506456698</v>
      </c>
      <c r="J2440">
        <v>235</v>
      </c>
      <c r="K2440" t="s">
        <v>45</v>
      </c>
      <c r="L2440" t="s">
        <v>45</v>
      </c>
      <c r="M2440" t="s">
        <v>45</v>
      </c>
      <c r="N2440" t="s">
        <v>45</v>
      </c>
      <c r="O2440" t="s">
        <v>45</v>
      </c>
      <c r="P2440" t="s">
        <v>45</v>
      </c>
      <c r="Q2440" t="s">
        <v>45</v>
      </c>
      <c r="R2440" t="s">
        <v>11169</v>
      </c>
      <c r="U2440" t="s">
        <v>11170</v>
      </c>
    </row>
    <row r="2441" spans="1:21" x14ac:dyDescent="0.25">
      <c r="A2441" t="s">
        <v>11171</v>
      </c>
      <c r="B2441" t="s">
        <v>38</v>
      </c>
      <c r="C2441" t="s">
        <v>11172</v>
      </c>
      <c r="D2441">
        <f t="shared" si="66"/>
        <v>-1106</v>
      </c>
      <c r="E2441" t="s">
        <v>10995</v>
      </c>
      <c r="F2441" t="s">
        <v>10949</v>
      </c>
      <c r="G2441" t="s">
        <v>10950</v>
      </c>
      <c r="H2441">
        <v>130.526703</v>
      </c>
      <c r="I2441">
        <v>33.480707700000004</v>
      </c>
      <c r="J2441">
        <v>235</v>
      </c>
      <c r="K2441" t="s">
        <v>536</v>
      </c>
      <c r="L2441" t="s">
        <v>536</v>
      </c>
      <c r="M2441" t="s">
        <v>536</v>
      </c>
      <c r="N2441" t="s">
        <v>536</v>
      </c>
      <c r="O2441" t="s">
        <v>536</v>
      </c>
      <c r="P2441" t="s">
        <v>536</v>
      </c>
      <c r="Q2441" t="s">
        <v>536</v>
      </c>
      <c r="R2441" t="s">
        <v>11173</v>
      </c>
      <c r="U2441" t="s">
        <v>11174</v>
      </c>
    </row>
    <row r="2442" spans="1:21" x14ac:dyDescent="0.25">
      <c r="A2442" t="s">
        <v>11175</v>
      </c>
      <c r="B2442" t="s">
        <v>22</v>
      </c>
      <c r="C2442" t="s">
        <v>11176</v>
      </c>
      <c r="D2442">
        <f t="shared" si="66"/>
        <v>-1106</v>
      </c>
      <c r="E2442" t="s">
        <v>11177</v>
      </c>
      <c r="F2442" t="s">
        <v>10949</v>
      </c>
      <c r="G2442" t="s">
        <v>10950</v>
      </c>
      <c r="H2442">
        <v>135.76231680000001</v>
      </c>
      <c r="I2442">
        <v>34.5061617</v>
      </c>
      <c r="J2442">
        <v>235</v>
      </c>
      <c r="K2442" t="s">
        <v>536</v>
      </c>
      <c r="L2442" t="s">
        <v>536</v>
      </c>
      <c r="M2442" t="s">
        <v>536</v>
      </c>
      <c r="N2442" t="s">
        <v>536</v>
      </c>
      <c r="O2442" t="s">
        <v>536</v>
      </c>
      <c r="P2442" t="s">
        <v>536</v>
      </c>
      <c r="Q2442" t="s">
        <v>536</v>
      </c>
      <c r="R2442" t="s">
        <v>11178</v>
      </c>
      <c r="U2442" t="s">
        <v>11179</v>
      </c>
    </row>
    <row r="2443" spans="1:21" x14ac:dyDescent="0.25">
      <c r="A2443" t="s">
        <v>11180</v>
      </c>
      <c r="B2443" t="s">
        <v>22</v>
      </c>
      <c r="C2443" t="s">
        <v>11181</v>
      </c>
      <c r="D2443">
        <f t="shared" si="66"/>
        <v>-1106</v>
      </c>
      <c r="E2443" t="s">
        <v>11182</v>
      </c>
      <c r="F2443" t="s">
        <v>10949</v>
      </c>
      <c r="G2443" t="s">
        <v>10950</v>
      </c>
      <c r="H2443">
        <v>136.826864451837</v>
      </c>
      <c r="I2443">
        <v>34.880703859093799</v>
      </c>
      <c r="J2443">
        <v>235</v>
      </c>
      <c r="K2443" t="s">
        <v>536</v>
      </c>
      <c r="L2443" t="s">
        <v>536</v>
      </c>
      <c r="M2443" t="s">
        <v>536</v>
      </c>
      <c r="N2443" t="s">
        <v>536</v>
      </c>
      <c r="O2443" t="s">
        <v>536</v>
      </c>
      <c r="P2443" t="s">
        <v>536</v>
      </c>
      <c r="Q2443" t="s">
        <v>536</v>
      </c>
      <c r="R2443" t="s">
        <v>11183</v>
      </c>
      <c r="U2443" t="s">
        <v>11184</v>
      </c>
    </row>
    <row r="2444" spans="1:21" x14ac:dyDescent="0.25">
      <c r="A2444" t="s">
        <v>11185</v>
      </c>
      <c r="B2444" t="s">
        <v>22</v>
      </c>
      <c r="C2444" t="s">
        <v>11186</v>
      </c>
      <c r="D2444">
        <f t="shared" si="66"/>
        <v>-1106</v>
      </c>
      <c r="E2444" t="s">
        <v>11045</v>
      </c>
      <c r="F2444" t="s">
        <v>10949</v>
      </c>
      <c r="G2444" t="s">
        <v>10950</v>
      </c>
      <c r="H2444">
        <v>135.63076119999999</v>
      </c>
      <c r="I2444">
        <v>34.746650799999998</v>
      </c>
      <c r="J2444">
        <v>235</v>
      </c>
      <c r="K2444" t="s">
        <v>27</v>
      </c>
      <c r="L2444" t="s">
        <v>27</v>
      </c>
      <c r="M2444" t="s">
        <v>27</v>
      </c>
      <c r="N2444" t="s">
        <v>27</v>
      </c>
      <c r="O2444" t="s">
        <v>27</v>
      </c>
      <c r="P2444" t="s">
        <v>27</v>
      </c>
      <c r="Q2444" t="s">
        <v>27</v>
      </c>
      <c r="R2444" t="s">
        <v>11187</v>
      </c>
      <c r="U2444" t="s">
        <v>11188</v>
      </c>
    </row>
    <row r="2445" spans="1:21" x14ac:dyDescent="0.25">
      <c r="A2445" t="s">
        <v>11189</v>
      </c>
      <c r="B2445" t="s">
        <v>22</v>
      </c>
      <c r="C2445" t="s">
        <v>11190</v>
      </c>
      <c r="D2445">
        <f t="shared" si="66"/>
        <v>-1106</v>
      </c>
      <c r="E2445" t="s">
        <v>11045</v>
      </c>
      <c r="F2445" t="s">
        <v>10949</v>
      </c>
      <c r="G2445" t="s">
        <v>10950</v>
      </c>
      <c r="H2445">
        <v>135.499957951976</v>
      </c>
      <c r="I2445">
        <v>34.669252659693399</v>
      </c>
      <c r="J2445">
        <v>235</v>
      </c>
      <c r="K2445" t="s">
        <v>27</v>
      </c>
      <c r="L2445" t="s">
        <v>27</v>
      </c>
      <c r="M2445" t="s">
        <v>27</v>
      </c>
      <c r="N2445" t="s">
        <v>27</v>
      </c>
      <c r="O2445" t="s">
        <v>27</v>
      </c>
      <c r="P2445" t="s">
        <v>27</v>
      </c>
      <c r="Q2445" t="s">
        <v>27</v>
      </c>
      <c r="R2445" t="s">
        <v>11191</v>
      </c>
      <c r="U2445" t="s">
        <v>11192</v>
      </c>
    </row>
    <row r="2446" spans="1:21" x14ac:dyDescent="0.25">
      <c r="A2446" t="s">
        <v>11193</v>
      </c>
      <c r="B2446" t="s">
        <v>22</v>
      </c>
      <c r="C2446" t="s">
        <v>11194</v>
      </c>
      <c r="D2446">
        <f t="shared" si="66"/>
        <v>-1106</v>
      </c>
      <c r="E2446" t="s">
        <v>11045</v>
      </c>
      <c r="F2446" t="s">
        <v>10949</v>
      </c>
      <c r="G2446" t="s">
        <v>10950</v>
      </c>
      <c r="H2446">
        <v>135.48184554921201</v>
      </c>
      <c r="I2446">
        <v>34.595028159586697</v>
      </c>
      <c r="J2446">
        <v>235</v>
      </c>
      <c r="K2446" t="s">
        <v>536</v>
      </c>
      <c r="L2446" t="s">
        <v>536</v>
      </c>
      <c r="M2446" t="s">
        <v>536</v>
      </c>
      <c r="N2446" t="s">
        <v>536</v>
      </c>
      <c r="O2446" t="s">
        <v>536</v>
      </c>
      <c r="P2446" t="s">
        <v>536</v>
      </c>
      <c r="Q2446" t="s">
        <v>536</v>
      </c>
      <c r="R2446" t="s">
        <v>11195</v>
      </c>
      <c r="U2446" t="s">
        <v>11196</v>
      </c>
    </row>
    <row r="2447" spans="1:21" x14ac:dyDescent="0.25">
      <c r="A2447" t="s">
        <v>11197</v>
      </c>
      <c r="B2447" t="s">
        <v>38</v>
      </c>
      <c r="C2447" t="s">
        <v>11198</v>
      </c>
      <c r="D2447">
        <f t="shared" si="66"/>
        <v>-1106</v>
      </c>
      <c r="E2447" t="s">
        <v>11199</v>
      </c>
      <c r="F2447" t="s">
        <v>10949</v>
      </c>
      <c r="G2447" t="s">
        <v>10950</v>
      </c>
      <c r="H2447">
        <v>141.129291104732</v>
      </c>
      <c r="I2447">
        <v>39.684425422113101</v>
      </c>
      <c r="J2447">
        <v>235</v>
      </c>
      <c r="K2447" t="s">
        <v>536</v>
      </c>
      <c r="L2447" t="s">
        <v>536</v>
      </c>
      <c r="M2447" t="s">
        <v>536</v>
      </c>
      <c r="N2447" t="s">
        <v>536</v>
      </c>
      <c r="O2447" t="s">
        <v>536</v>
      </c>
      <c r="P2447" t="s">
        <v>536</v>
      </c>
      <c r="Q2447" t="s">
        <v>536</v>
      </c>
      <c r="R2447" t="s">
        <v>11200</v>
      </c>
      <c r="U2447" t="s">
        <v>11201</v>
      </c>
    </row>
    <row r="2448" spans="1:21" x14ac:dyDescent="0.25">
      <c r="A2448" t="s">
        <v>11202</v>
      </c>
      <c r="B2448" t="s">
        <v>38</v>
      </c>
      <c r="C2448" t="s">
        <v>11203</v>
      </c>
      <c r="D2448">
        <f t="shared" si="66"/>
        <v>-1106</v>
      </c>
      <c r="E2448" t="s">
        <v>11204</v>
      </c>
      <c r="F2448" t="s">
        <v>10949</v>
      </c>
      <c r="G2448" t="s">
        <v>10950</v>
      </c>
      <c r="H2448">
        <v>132.96156977144099</v>
      </c>
      <c r="I2448">
        <v>34.042820126873501</v>
      </c>
      <c r="J2448">
        <v>235</v>
      </c>
      <c r="K2448" t="s">
        <v>536</v>
      </c>
      <c r="L2448" t="s">
        <v>536</v>
      </c>
      <c r="M2448" t="s">
        <v>536</v>
      </c>
      <c r="N2448" t="s">
        <v>536</v>
      </c>
      <c r="O2448" t="s">
        <v>536</v>
      </c>
      <c r="P2448" t="s">
        <v>536</v>
      </c>
      <c r="Q2448" t="s">
        <v>536</v>
      </c>
      <c r="R2448" t="s">
        <v>11205</v>
      </c>
      <c r="U2448" t="s">
        <v>11206</v>
      </c>
    </row>
    <row r="2449" spans="1:21" x14ac:dyDescent="0.25">
      <c r="A2449" t="s">
        <v>11207</v>
      </c>
      <c r="B2449" t="s">
        <v>38</v>
      </c>
      <c r="C2449" t="s">
        <v>11208</v>
      </c>
      <c r="D2449">
        <f t="shared" si="66"/>
        <v>-1106</v>
      </c>
      <c r="E2449" t="s">
        <v>11209</v>
      </c>
      <c r="F2449" t="s">
        <v>10949</v>
      </c>
      <c r="G2449" t="s">
        <v>10950</v>
      </c>
      <c r="H2449">
        <v>132.73841602933001</v>
      </c>
      <c r="I2449">
        <v>35.368404519152797</v>
      </c>
      <c r="J2449">
        <v>235</v>
      </c>
      <c r="K2449" t="s">
        <v>536</v>
      </c>
      <c r="L2449" t="s">
        <v>536</v>
      </c>
      <c r="M2449" t="s">
        <v>536</v>
      </c>
      <c r="N2449" t="s">
        <v>536</v>
      </c>
      <c r="O2449" t="s">
        <v>536</v>
      </c>
      <c r="P2449" t="s">
        <v>536</v>
      </c>
      <c r="Q2449" t="s">
        <v>536</v>
      </c>
      <c r="R2449" t="s">
        <v>11210</v>
      </c>
      <c r="U2449" t="s">
        <v>11211</v>
      </c>
    </row>
    <row r="2450" spans="1:21" x14ac:dyDescent="0.25">
      <c r="A2450" t="s">
        <v>11212</v>
      </c>
      <c r="B2450" t="s">
        <v>22</v>
      </c>
      <c r="C2450" t="s">
        <v>11213</v>
      </c>
      <c r="D2450">
        <f t="shared" si="66"/>
        <v>-1106</v>
      </c>
      <c r="E2450" t="s">
        <v>10985</v>
      </c>
      <c r="F2450" t="s">
        <v>10949</v>
      </c>
      <c r="G2450" t="s">
        <v>10950</v>
      </c>
      <c r="H2450">
        <v>140.01345208367499</v>
      </c>
      <c r="I2450">
        <v>35.832153419969899</v>
      </c>
      <c r="J2450">
        <v>235</v>
      </c>
      <c r="K2450" t="s">
        <v>536</v>
      </c>
      <c r="L2450" t="s">
        <v>536</v>
      </c>
      <c r="M2450" t="s">
        <v>536</v>
      </c>
      <c r="N2450" t="s">
        <v>536</v>
      </c>
      <c r="O2450" t="s">
        <v>536</v>
      </c>
      <c r="P2450" t="s">
        <v>536</v>
      </c>
      <c r="Q2450" t="s">
        <v>536</v>
      </c>
      <c r="R2450" t="s">
        <v>11214</v>
      </c>
      <c r="U2450" t="s">
        <v>11215</v>
      </c>
    </row>
    <row r="2451" spans="1:21" x14ac:dyDescent="0.25">
      <c r="A2451" t="s">
        <v>11216</v>
      </c>
      <c r="B2451" t="s">
        <v>38</v>
      </c>
      <c r="C2451" t="s">
        <v>11217</v>
      </c>
      <c r="D2451">
        <f t="shared" si="66"/>
        <v>-1106</v>
      </c>
      <c r="E2451" t="s">
        <v>10985</v>
      </c>
      <c r="F2451" t="s">
        <v>10949</v>
      </c>
      <c r="G2451" t="s">
        <v>10950</v>
      </c>
      <c r="H2451">
        <v>140.15236247511501</v>
      </c>
      <c r="I2451">
        <v>35.727190081073402</v>
      </c>
      <c r="J2451">
        <v>235</v>
      </c>
      <c r="K2451" t="s">
        <v>45</v>
      </c>
      <c r="L2451" t="s">
        <v>45</v>
      </c>
      <c r="M2451" t="s">
        <v>45</v>
      </c>
      <c r="N2451" t="s">
        <v>45</v>
      </c>
      <c r="O2451" t="s">
        <v>45</v>
      </c>
      <c r="P2451" t="s">
        <v>45</v>
      </c>
      <c r="Q2451" t="s">
        <v>45</v>
      </c>
      <c r="R2451" t="s">
        <v>11218</v>
      </c>
      <c r="U2451" t="s">
        <v>11219</v>
      </c>
    </row>
    <row r="2452" spans="1:21" x14ac:dyDescent="0.25">
      <c r="A2452" t="s">
        <v>11220</v>
      </c>
      <c r="B2452" t="s">
        <v>22</v>
      </c>
      <c r="C2452" t="s">
        <v>11221</v>
      </c>
      <c r="D2452">
        <f t="shared" si="66"/>
        <v>-1106</v>
      </c>
      <c r="E2452" t="s">
        <v>11222</v>
      </c>
      <c r="F2452" t="s">
        <v>10949</v>
      </c>
      <c r="G2452" t="s">
        <v>10950</v>
      </c>
      <c r="H2452">
        <v>139.355615375393</v>
      </c>
      <c r="I2452">
        <v>35.336522426703297</v>
      </c>
      <c r="J2452">
        <v>235</v>
      </c>
      <c r="K2452" t="s">
        <v>45</v>
      </c>
      <c r="L2452" t="s">
        <v>45</v>
      </c>
      <c r="M2452" t="s">
        <v>45</v>
      </c>
      <c r="N2452" t="s">
        <v>45</v>
      </c>
      <c r="O2452" t="s">
        <v>45</v>
      </c>
      <c r="P2452" t="s">
        <v>45</v>
      </c>
      <c r="Q2452" t="s">
        <v>45</v>
      </c>
      <c r="R2452" t="s">
        <v>11223</v>
      </c>
      <c r="U2452" t="s">
        <v>11224</v>
      </c>
    </row>
    <row r="2453" spans="1:21" x14ac:dyDescent="0.25">
      <c r="A2453" t="s">
        <v>11225</v>
      </c>
      <c r="B2453" t="s">
        <v>38</v>
      </c>
      <c r="C2453" t="s">
        <v>11226</v>
      </c>
      <c r="D2453">
        <f t="shared" si="66"/>
        <v>-1106</v>
      </c>
      <c r="E2453" t="s">
        <v>11227</v>
      </c>
      <c r="F2453" t="s">
        <v>10949</v>
      </c>
      <c r="G2453" t="s">
        <v>10950</v>
      </c>
      <c r="H2453">
        <v>135.38133329999999</v>
      </c>
      <c r="I2453">
        <v>34.784467999999997</v>
      </c>
      <c r="J2453">
        <v>235</v>
      </c>
      <c r="K2453" t="s">
        <v>536</v>
      </c>
      <c r="L2453" t="s">
        <v>536</v>
      </c>
      <c r="M2453" t="s">
        <v>536</v>
      </c>
      <c r="N2453" t="s">
        <v>536</v>
      </c>
      <c r="O2453" t="s">
        <v>536</v>
      </c>
      <c r="P2453" t="s">
        <v>536</v>
      </c>
      <c r="Q2453" t="s">
        <v>536</v>
      </c>
      <c r="R2453" t="s">
        <v>11228</v>
      </c>
      <c r="U2453" t="s">
        <v>11229</v>
      </c>
    </row>
    <row r="2454" spans="1:21" x14ac:dyDescent="0.25">
      <c r="A2454" t="s">
        <v>11230</v>
      </c>
      <c r="B2454" t="s">
        <v>38</v>
      </c>
      <c r="C2454" t="s">
        <v>11231</v>
      </c>
      <c r="D2454">
        <f t="shared" si="66"/>
        <v>-1106</v>
      </c>
      <c r="E2454" t="s">
        <v>11232</v>
      </c>
      <c r="F2454" t="s">
        <v>10949</v>
      </c>
      <c r="G2454" t="s">
        <v>10950</v>
      </c>
      <c r="H2454">
        <v>136.46709304513499</v>
      </c>
      <c r="I2454">
        <v>36.3952385844375</v>
      </c>
      <c r="J2454">
        <v>235</v>
      </c>
      <c r="K2454" t="s">
        <v>536</v>
      </c>
      <c r="L2454" t="s">
        <v>536</v>
      </c>
      <c r="M2454" t="s">
        <v>536</v>
      </c>
      <c r="N2454" t="s">
        <v>536</v>
      </c>
      <c r="O2454" t="s">
        <v>536</v>
      </c>
      <c r="P2454" t="s">
        <v>536</v>
      </c>
      <c r="Q2454" t="s">
        <v>536</v>
      </c>
      <c r="R2454" t="s">
        <v>11233</v>
      </c>
      <c r="U2454" t="s">
        <v>11234</v>
      </c>
    </row>
    <row r="2455" spans="1:21" x14ac:dyDescent="0.25">
      <c r="A2455" t="s">
        <v>11235</v>
      </c>
      <c r="B2455" t="s">
        <v>22</v>
      </c>
      <c r="C2455" t="s">
        <v>11236</v>
      </c>
      <c r="D2455">
        <f t="shared" si="66"/>
        <v>-1106</v>
      </c>
      <c r="E2455" t="s">
        <v>11237</v>
      </c>
      <c r="F2455" t="s">
        <v>10949</v>
      </c>
      <c r="G2455" t="s">
        <v>10950</v>
      </c>
      <c r="H2455">
        <v>138.527323</v>
      </c>
      <c r="I2455">
        <v>35.622905000000003</v>
      </c>
      <c r="J2455">
        <v>235</v>
      </c>
      <c r="K2455" t="s">
        <v>536</v>
      </c>
      <c r="L2455" t="s">
        <v>536</v>
      </c>
      <c r="M2455" t="s">
        <v>536</v>
      </c>
      <c r="N2455" t="s">
        <v>536</v>
      </c>
      <c r="O2455" t="s">
        <v>536</v>
      </c>
      <c r="P2455" t="s">
        <v>536</v>
      </c>
      <c r="Q2455" t="s">
        <v>536</v>
      </c>
      <c r="R2455" t="s">
        <v>11238</v>
      </c>
      <c r="U2455" t="s">
        <v>11239</v>
      </c>
    </row>
    <row r="2456" spans="1:21" x14ac:dyDescent="0.25">
      <c r="A2456" t="s">
        <v>11240</v>
      </c>
      <c r="B2456" t="s">
        <v>38</v>
      </c>
      <c r="C2456" t="s">
        <v>11241</v>
      </c>
      <c r="D2456">
        <f t="shared" si="66"/>
        <v>-1106</v>
      </c>
      <c r="E2456" t="s">
        <v>11242</v>
      </c>
      <c r="F2456" t="s">
        <v>10949</v>
      </c>
      <c r="G2456" t="s">
        <v>10950</v>
      </c>
      <c r="H2456">
        <v>134.57294602864101</v>
      </c>
      <c r="I2456">
        <v>34.061682565822899</v>
      </c>
      <c r="J2456">
        <v>235</v>
      </c>
      <c r="K2456" t="s">
        <v>536</v>
      </c>
      <c r="L2456" t="s">
        <v>536</v>
      </c>
      <c r="M2456" t="s">
        <v>536</v>
      </c>
      <c r="N2456" t="s">
        <v>536</v>
      </c>
      <c r="O2456" t="s">
        <v>536</v>
      </c>
      <c r="P2456" t="s">
        <v>536</v>
      </c>
      <c r="Q2456" t="s">
        <v>536</v>
      </c>
      <c r="R2456" t="s">
        <v>11243</v>
      </c>
      <c r="U2456" t="s">
        <v>11244</v>
      </c>
    </row>
    <row r="2457" spans="1:21" x14ac:dyDescent="0.25">
      <c r="A2457" t="s">
        <v>11245</v>
      </c>
      <c r="B2457" t="s">
        <v>38</v>
      </c>
      <c r="C2457" t="s">
        <v>11246</v>
      </c>
      <c r="D2457">
        <f t="shared" ref="D2457:D2493" si="67">81-120-866-201</f>
        <v>-1106</v>
      </c>
      <c r="E2457" t="s">
        <v>10990</v>
      </c>
      <c r="F2457" t="s">
        <v>10949</v>
      </c>
      <c r="G2457" t="s">
        <v>10950</v>
      </c>
      <c r="H2457">
        <v>134.689393</v>
      </c>
      <c r="I2457">
        <v>34.826511000000004</v>
      </c>
      <c r="J2457">
        <v>235</v>
      </c>
      <c r="K2457" t="s">
        <v>45</v>
      </c>
      <c r="L2457" t="s">
        <v>45</v>
      </c>
      <c r="M2457" t="s">
        <v>45</v>
      </c>
      <c r="N2457" t="s">
        <v>45</v>
      </c>
      <c r="O2457" t="s">
        <v>45</v>
      </c>
      <c r="P2457" t="s">
        <v>45</v>
      </c>
      <c r="Q2457" t="s">
        <v>45</v>
      </c>
      <c r="R2457" t="s">
        <v>11247</v>
      </c>
      <c r="U2457" t="s">
        <v>11248</v>
      </c>
    </row>
    <row r="2458" spans="1:21" x14ac:dyDescent="0.25">
      <c r="A2458" t="s">
        <v>11249</v>
      </c>
      <c r="B2458" t="s">
        <v>22</v>
      </c>
      <c r="C2458" t="s">
        <v>11250</v>
      </c>
      <c r="D2458">
        <f t="shared" si="67"/>
        <v>-1106</v>
      </c>
      <c r="E2458" t="s">
        <v>11251</v>
      </c>
      <c r="F2458" t="s">
        <v>10949</v>
      </c>
      <c r="G2458" t="s">
        <v>10950</v>
      </c>
      <c r="H2458">
        <v>127.795495</v>
      </c>
      <c r="I2458">
        <v>26.314530000000001</v>
      </c>
      <c r="J2458">
        <v>235</v>
      </c>
      <c r="K2458" t="s">
        <v>27</v>
      </c>
      <c r="L2458" t="s">
        <v>27</v>
      </c>
      <c r="M2458" t="s">
        <v>27</v>
      </c>
      <c r="N2458" t="s">
        <v>27</v>
      </c>
      <c r="O2458" t="s">
        <v>27</v>
      </c>
      <c r="P2458" t="s">
        <v>27</v>
      </c>
      <c r="Q2458" t="s">
        <v>27</v>
      </c>
      <c r="R2458" t="s">
        <v>11252</v>
      </c>
      <c r="S2458" t="s">
        <v>11253</v>
      </c>
      <c r="U2458" t="s">
        <v>11254</v>
      </c>
    </row>
    <row r="2459" spans="1:21" x14ac:dyDescent="0.25">
      <c r="A2459" t="s">
        <v>11255</v>
      </c>
      <c r="B2459" t="s">
        <v>38</v>
      </c>
      <c r="C2459" t="s">
        <v>11256</v>
      </c>
      <c r="D2459">
        <f t="shared" si="67"/>
        <v>-1106</v>
      </c>
      <c r="E2459" t="s">
        <v>10985</v>
      </c>
      <c r="F2459" t="s">
        <v>10949</v>
      </c>
      <c r="G2459" t="s">
        <v>10950</v>
      </c>
      <c r="H2459">
        <v>139.90847769999999</v>
      </c>
      <c r="I2459">
        <v>35.366013000000002</v>
      </c>
      <c r="J2459">
        <v>235</v>
      </c>
      <c r="K2459" t="s">
        <v>536</v>
      </c>
      <c r="L2459" t="s">
        <v>536</v>
      </c>
      <c r="M2459" t="s">
        <v>536</v>
      </c>
      <c r="N2459" t="s">
        <v>536</v>
      </c>
      <c r="O2459" t="s">
        <v>536</v>
      </c>
      <c r="P2459" t="s">
        <v>536</v>
      </c>
      <c r="Q2459" t="s">
        <v>536</v>
      </c>
      <c r="R2459" t="s">
        <v>11257</v>
      </c>
      <c r="U2459" t="s">
        <v>11258</v>
      </c>
    </row>
    <row r="2460" spans="1:21" x14ac:dyDescent="0.25">
      <c r="A2460" t="s">
        <v>11259</v>
      </c>
      <c r="B2460" t="s">
        <v>38</v>
      </c>
      <c r="C2460" t="s">
        <v>11260</v>
      </c>
      <c r="D2460">
        <f t="shared" si="67"/>
        <v>-1106</v>
      </c>
      <c r="E2460" t="s">
        <v>11261</v>
      </c>
      <c r="F2460" t="s">
        <v>10949</v>
      </c>
      <c r="G2460" t="s">
        <v>10950</v>
      </c>
      <c r="H2460">
        <v>133.93098599999999</v>
      </c>
      <c r="I2460">
        <v>34.251887000000004</v>
      </c>
      <c r="J2460">
        <v>235</v>
      </c>
      <c r="K2460" t="s">
        <v>536</v>
      </c>
      <c r="L2460" t="s">
        <v>536</v>
      </c>
      <c r="M2460" t="s">
        <v>536</v>
      </c>
      <c r="N2460" t="s">
        <v>536</v>
      </c>
      <c r="O2460" t="s">
        <v>536</v>
      </c>
      <c r="P2460" t="s">
        <v>536</v>
      </c>
      <c r="Q2460" t="s">
        <v>536</v>
      </c>
      <c r="R2460" t="s">
        <v>11262</v>
      </c>
      <c r="U2460" t="s">
        <v>11263</v>
      </c>
    </row>
    <row r="2461" spans="1:21" x14ac:dyDescent="0.25">
      <c r="A2461" t="s">
        <v>11264</v>
      </c>
      <c r="B2461" t="s">
        <v>38</v>
      </c>
      <c r="C2461" t="s">
        <v>11265</v>
      </c>
      <c r="D2461">
        <f t="shared" si="67"/>
        <v>-1106</v>
      </c>
      <c r="E2461" t="s">
        <v>11266</v>
      </c>
      <c r="F2461" t="s">
        <v>10949</v>
      </c>
      <c r="G2461" t="s">
        <v>10950</v>
      </c>
      <c r="H2461">
        <v>136.531589</v>
      </c>
      <c r="I2461">
        <v>34.871737000000003</v>
      </c>
      <c r="J2461">
        <v>235</v>
      </c>
      <c r="K2461" t="s">
        <v>536</v>
      </c>
      <c r="L2461" t="s">
        <v>536</v>
      </c>
      <c r="M2461" t="s">
        <v>536</v>
      </c>
      <c r="N2461" t="s">
        <v>536</v>
      </c>
      <c r="O2461" t="s">
        <v>536</v>
      </c>
      <c r="P2461" t="s">
        <v>536</v>
      </c>
      <c r="Q2461" t="s">
        <v>536</v>
      </c>
      <c r="R2461" t="s">
        <v>11267</v>
      </c>
      <c r="U2461" t="s">
        <v>11268</v>
      </c>
    </row>
    <row r="2462" spans="1:21" x14ac:dyDescent="0.25">
      <c r="A2462" t="s">
        <v>11269</v>
      </c>
      <c r="B2462" t="s">
        <v>38</v>
      </c>
      <c r="C2462" t="s">
        <v>11270</v>
      </c>
      <c r="D2462">
        <f t="shared" si="67"/>
        <v>-1106</v>
      </c>
      <c r="E2462" t="s">
        <v>10968</v>
      </c>
      <c r="F2462" t="s">
        <v>10949</v>
      </c>
      <c r="G2462" t="s">
        <v>10950</v>
      </c>
      <c r="H2462">
        <v>139.611963</v>
      </c>
      <c r="I2462">
        <v>36.075406999999998</v>
      </c>
      <c r="J2462">
        <v>235</v>
      </c>
      <c r="K2462" t="s">
        <v>536</v>
      </c>
      <c r="L2462" t="s">
        <v>536</v>
      </c>
      <c r="M2462" t="s">
        <v>536</v>
      </c>
      <c r="N2462" t="s">
        <v>536</v>
      </c>
      <c r="O2462" t="s">
        <v>536</v>
      </c>
      <c r="P2462" t="s">
        <v>536</v>
      </c>
      <c r="Q2462" t="s">
        <v>536</v>
      </c>
      <c r="R2462" t="s">
        <v>11271</v>
      </c>
      <c r="U2462" t="s">
        <v>11272</v>
      </c>
    </row>
    <row r="2463" spans="1:21" x14ac:dyDescent="0.25">
      <c r="A2463" t="s">
        <v>11273</v>
      </c>
      <c r="B2463" t="s">
        <v>38</v>
      </c>
      <c r="C2463" t="s">
        <v>11274</v>
      </c>
      <c r="D2463">
        <f t="shared" si="67"/>
        <v>-1106</v>
      </c>
      <c r="E2463" t="s">
        <v>11275</v>
      </c>
      <c r="F2463" t="s">
        <v>10949</v>
      </c>
      <c r="G2463" t="s">
        <v>10950</v>
      </c>
      <c r="H2463">
        <v>137.841943178234</v>
      </c>
      <c r="I2463">
        <v>34.750314831763397</v>
      </c>
      <c r="J2463">
        <v>235</v>
      </c>
      <c r="K2463" t="s">
        <v>45</v>
      </c>
      <c r="L2463" t="s">
        <v>45</v>
      </c>
      <c r="M2463" t="s">
        <v>45</v>
      </c>
      <c r="N2463" t="s">
        <v>45</v>
      </c>
      <c r="O2463" t="s">
        <v>45</v>
      </c>
      <c r="P2463" t="s">
        <v>45</v>
      </c>
      <c r="Q2463" t="s">
        <v>45</v>
      </c>
      <c r="R2463" t="s">
        <v>11276</v>
      </c>
      <c r="U2463" t="s">
        <v>11277</v>
      </c>
    </row>
    <row r="2464" spans="1:21" x14ac:dyDescent="0.25">
      <c r="A2464" t="s">
        <v>11278</v>
      </c>
      <c r="B2464" t="s">
        <v>22</v>
      </c>
      <c r="C2464" t="s">
        <v>11279</v>
      </c>
      <c r="D2464">
        <f t="shared" si="67"/>
        <v>-1106</v>
      </c>
      <c r="E2464" t="s">
        <v>11280</v>
      </c>
      <c r="F2464" t="s">
        <v>10949</v>
      </c>
      <c r="G2464" t="s">
        <v>10950</v>
      </c>
      <c r="H2464">
        <v>139.38909699999999</v>
      </c>
      <c r="I2464">
        <v>35.456218</v>
      </c>
      <c r="J2464">
        <v>235</v>
      </c>
      <c r="K2464" t="s">
        <v>45</v>
      </c>
      <c r="L2464" t="s">
        <v>45</v>
      </c>
      <c r="M2464" t="s">
        <v>45</v>
      </c>
      <c r="N2464" t="s">
        <v>45</v>
      </c>
      <c r="O2464" t="s">
        <v>45</v>
      </c>
      <c r="P2464" t="s">
        <v>45</v>
      </c>
      <c r="Q2464" t="s">
        <v>45</v>
      </c>
      <c r="R2464" t="s">
        <v>11281</v>
      </c>
      <c r="U2464" t="s">
        <v>11282</v>
      </c>
    </row>
    <row r="2465" spans="1:21" x14ac:dyDescent="0.25">
      <c r="A2465" t="s">
        <v>11283</v>
      </c>
      <c r="B2465" t="s">
        <v>38</v>
      </c>
      <c r="C2465" t="s">
        <v>11284</v>
      </c>
      <c r="D2465">
        <f t="shared" si="67"/>
        <v>-1106</v>
      </c>
      <c r="E2465" t="s">
        <v>11285</v>
      </c>
      <c r="F2465" t="s">
        <v>10949</v>
      </c>
      <c r="G2465" t="s">
        <v>10950</v>
      </c>
      <c r="H2465">
        <v>137.977251</v>
      </c>
      <c r="I2465">
        <v>36.234143000000003</v>
      </c>
      <c r="J2465">
        <v>235</v>
      </c>
      <c r="K2465" t="s">
        <v>536</v>
      </c>
      <c r="L2465" t="s">
        <v>536</v>
      </c>
      <c r="M2465" t="s">
        <v>536</v>
      </c>
      <c r="N2465" t="s">
        <v>536</v>
      </c>
      <c r="O2465" t="s">
        <v>536</v>
      </c>
      <c r="P2465" t="s">
        <v>536</v>
      </c>
      <c r="Q2465" t="s">
        <v>536</v>
      </c>
      <c r="R2465" t="s">
        <v>11286</v>
      </c>
      <c r="U2465" t="s">
        <v>11287</v>
      </c>
    </row>
    <row r="2466" spans="1:21" x14ac:dyDescent="0.25">
      <c r="A2466" t="s">
        <v>11288</v>
      </c>
      <c r="B2466" t="s">
        <v>22</v>
      </c>
      <c r="C2466" t="s">
        <v>11289</v>
      </c>
      <c r="D2466">
        <f t="shared" si="67"/>
        <v>-1106</v>
      </c>
      <c r="E2466" t="s">
        <v>11290</v>
      </c>
      <c r="F2466" t="s">
        <v>10949</v>
      </c>
      <c r="G2466" t="s">
        <v>10950</v>
      </c>
      <c r="H2466">
        <v>139.425633</v>
      </c>
      <c r="I2466">
        <v>35.501508000000001</v>
      </c>
      <c r="J2466">
        <v>235</v>
      </c>
      <c r="K2466" t="s">
        <v>536</v>
      </c>
      <c r="L2466" t="s">
        <v>536</v>
      </c>
      <c r="M2466" t="s">
        <v>536</v>
      </c>
      <c r="N2466" t="s">
        <v>536</v>
      </c>
      <c r="O2466" t="s">
        <v>536</v>
      </c>
      <c r="P2466" t="s">
        <v>536</v>
      </c>
      <c r="Q2466" t="s">
        <v>536</v>
      </c>
      <c r="R2466" t="s">
        <v>11291</v>
      </c>
      <c r="U2466" t="s">
        <v>11292</v>
      </c>
    </row>
    <row r="2467" spans="1:21" x14ac:dyDescent="0.25">
      <c r="A2467" t="s">
        <v>11293</v>
      </c>
      <c r="B2467" t="s">
        <v>38</v>
      </c>
      <c r="C2467" t="s">
        <v>11294</v>
      </c>
      <c r="D2467">
        <f t="shared" si="67"/>
        <v>-1106</v>
      </c>
      <c r="E2467" t="s">
        <v>11295</v>
      </c>
      <c r="F2467" t="s">
        <v>10949</v>
      </c>
      <c r="G2467" t="s">
        <v>10950</v>
      </c>
      <c r="H2467">
        <v>140.90392299999999</v>
      </c>
      <c r="I2467">
        <v>36.946865000000003</v>
      </c>
      <c r="J2467">
        <v>235</v>
      </c>
      <c r="K2467" t="s">
        <v>536</v>
      </c>
      <c r="L2467" t="s">
        <v>536</v>
      </c>
      <c r="M2467" t="s">
        <v>536</v>
      </c>
      <c r="N2467" t="s">
        <v>536</v>
      </c>
      <c r="O2467" t="s">
        <v>536</v>
      </c>
      <c r="P2467" t="s">
        <v>536</v>
      </c>
      <c r="Q2467" t="s">
        <v>536</v>
      </c>
      <c r="R2467" t="s">
        <v>11296</v>
      </c>
      <c r="U2467" t="s">
        <v>11297</v>
      </c>
    </row>
    <row r="2468" spans="1:21" x14ac:dyDescent="0.25">
      <c r="A2468" t="s">
        <v>11298</v>
      </c>
      <c r="B2468" t="s">
        <v>22</v>
      </c>
      <c r="C2468" t="s">
        <v>11299</v>
      </c>
      <c r="D2468">
        <f t="shared" si="67"/>
        <v>-1106</v>
      </c>
      <c r="E2468" t="s">
        <v>10948</v>
      </c>
      <c r="F2468" t="s">
        <v>10949</v>
      </c>
      <c r="G2468" t="s">
        <v>10950</v>
      </c>
      <c r="H2468">
        <v>139.418002</v>
      </c>
      <c r="I2468">
        <v>35.713014999999999</v>
      </c>
      <c r="J2468">
        <v>235</v>
      </c>
      <c r="K2468" t="s">
        <v>45</v>
      </c>
      <c r="L2468" t="s">
        <v>45</v>
      </c>
      <c r="M2468" t="s">
        <v>45</v>
      </c>
      <c r="N2468" t="s">
        <v>45</v>
      </c>
      <c r="O2468" t="s">
        <v>45</v>
      </c>
      <c r="P2468" t="s">
        <v>45</v>
      </c>
      <c r="Q2468" t="s">
        <v>45</v>
      </c>
      <c r="R2468" t="s">
        <v>11300</v>
      </c>
      <c r="U2468" t="s">
        <v>11301</v>
      </c>
    </row>
    <row r="2469" spans="1:21" x14ac:dyDescent="0.25">
      <c r="A2469" t="s">
        <v>11302</v>
      </c>
      <c r="B2469" t="s">
        <v>38</v>
      </c>
      <c r="C2469" t="s">
        <v>11303</v>
      </c>
      <c r="D2469">
        <f t="shared" si="67"/>
        <v>-1106</v>
      </c>
      <c r="E2469" t="s">
        <v>11304</v>
      </c>
      <c r="F2469" t="s">
        <v>10949</v>
      </c>
      <c r="G2469" t="s">
        <v>10950</v>
      </c>
      <c r="H2469">
        <v>140.87659400000001</v>
      </c>
      <c r="I2469">
        <v>38.226461999999998</v>
      </c>
      <c r="J2469">
        <v>235</v>
      </c>
      <c r="K2469" t="s">
        <v>536</v>
      </c>
      <c r="L2469" t="s">
        <v>536</v>
      </c>
      <c r="M2469" t="s">
        <v>536</v>
      </c>
      <c r="N2469" t="s">
        <v>536</v>
      </c>
      <c r="O2469" t="s">
        <v>536</v>
      </c>
      <c r="P2469" t="s">
        <v>536</v>
      </c>
      <c r="Q2469" t="s">
        <v>536</v>
      </c>
      <c r="R2469" t="s">
        <v>11305</v>
      </c>
      <c r="U2469" t="s">
        <v>11306</v>
      </c>
    </row>
    <row r="2470" spans="1:21" x14ac:dyDescent="0.25">
      <c r="A2470" t="s">
        <v>11307</v>
      </c>
      <c r="B2470" t="s">
        <v>22</v>
      </c>
      <c r="C2470" t="s">
        <v>11308</v>
      </c>
      <c r="D2470">
        <f t="shared" si="67"/>
        <v>-1106</v>
      </c>
      <c r="E2470" t="s">
        <v>11309</v>
      </c>
      <c r="F2470" t="s">
        <v>10949</v>
      </c>
      <c r="G2470" t="s">
        <v>10950</v>
      </c>
      <c r="H2470">
        <v>131.456343</v>
      </c>
      <c r="I2470">
        <v>31.923020999999999</v>
      </c>
      <c r="J2470">
        <v>235</v>
      </c>
      <c r="K2470" t="s">
        <v>536</v>
      </c>
      <c r="L2470" t="s">
        <v>536</v>
      </c>
      <c r="M2470" t="s">
        <v>536</v>
      </c>
      <c r="N2470" t="s">
        <v>536</v>
      </c>
      <c r="O2470" t="s">
        <v>536</v>
      </c>
      <c r="P2470" t="s">
        <v>536</v>
      </c>
      <c r="Q2470" t="s">
        <v>536</v>
      </c>
      <c r="R2470" t="s">
        <v>11310</v>
      </c>
      <c r="U2470" t="s">
        <v>11311</v>
      </c>
    </row>
    <row r="2471" spans="1:21" x14ac:dyDescent="0.25">
      <c r="A2471" t="s">
        <v>11312</v>
      </c>
      <c r="B2471" t="s">
        <v>38</v>
      </c>
      <c r="C2471" t="s">
        <v>11313</v>
      </c>
      <c r="D2471">
        <f t="shared" si="67"/>
        <v>-1106</v>
      </c>
      <c r="E2471" t="s">
        <v>11314</v>
      </c>
      <c r="F2471" t="s">
        <v>10949</v>
      </c>
      <c r="G2471" t="s">
        <v>10950</v>
      </c>
      <c r="H2471">
        <v>136.517663</v>
      </c>
      <c r="I2471">
        <v>34.670242000000002</v>
      </c>
      <c r="J2471">
        <v>235</v>
      </c>
      <c r="K2471" t="s">
        <v>536</v>
      </c>
      <c r="L2471" t="s">
        <v>536</v>
      </c>
      <c r="M2471" t="s">
        <v>536</v>
      </c>
      <c r="N2471" t="s">
        <v>536</v>
      </c>
      <c r="O2471" t="s">
        <v>536</v>
      </c>
      <c r="P2471" t="s">
        <v>536</v>
      </c>
      <c r="Q2471" t="s">
        <v>536</v>
      </c>
      <c r="R2471" t="s">
        <v>11315</v>
      </c>
      <c r="U2471" t="s">
        <v>11316</v>
      </c>
    </row>
    <row r="2472" spans="1:21" x14ac:dyDescent="0.25">
      <c r="A2472" t="s">
        <v>11317</v>
      </c>
      <c r="B2472" t="s">
        <v>38</v>
      </c>
      <c r="C2472" t="s">
        <v>11318</v>
      </c>
      <c r="D2472">
        <f t="shared" si="67"/>
        <v>-1106</v>
      </c>
      <c r="E2472" t="s">
        <v>11319</v>
      </c>
      <c r="F2472" t="s">
        <v>10949</v>
      </c>
      <c r="G2472" t="s">
        <v>10950</v>
      </c>
      <c r="H2472">
        <v>139.97897900000001</v>
      </c>
      <c r="I2472">
        <v>35.712342999999997</v>
      </c>
      <c r="J2472">
        <v>235</v>
      </c>
      <c r="K2472" t="s">
        <v>536</v>
      </c>
      <c r="L2472" t="s">
        <v>536</v>
      </c>
      <c r="M2472" t="s">
        <v>536</v>
      </c>
      <c r="N2472" t="s">
        <v>536</v>
      </c>
      <c r="O2472" t="s">
        <v>536</v>
      </c>
      <c r="P2472" t="s">
        <v>536</v>
      </c>
      <c r="Q2472" t="s">
        <v>536</v>
      </c>
      <c r="R2472" t="s">
        <v>11320</v>
      </c>
      <c r="U2472" t="s">
        <v>11321</v>
      </c>
    </row>
    <row r="2473" spans="1:21" x14ac:dyDescent="0.25">
      <c r="A2473" t="s">
        <v>11322</v>
      </c>
      <c r="B2473" t="s">
        <v>22</v>
      </c>
      <c r="C2473" t="s">
        <v>11323</v>
      </c>
      <c r="D2473">
        <f t="shared" si="67"/>
        <v>-1106</v>
      </c>
      <c r="E2473" t="s">
        <v>11324</v>
      </c>
      <c r="F2473" t="s">
        <v>10949</v>
      </c>
      <c r="G2473" t="s">
        <v>10950</v>
      </c>
      <c r="H2473">
        <v>130.743607</v>
      </c>
      <c r="I2473">
        <v>32.738255000000002</v>
      </c>
      <c r="J2473">
        <v>235</v>
      </c>
      <c r="K2473" t="s">
        <v>536</v>
      </c>
      <c r="L2473" t="s">
        <v>536</v>
      </c>
      <c r="M2473" t="s">
        <v>536</v>
      </c>
      <c r="N2473" t="s">
        <v>536</v>
      </c>
      <c r="O2473" t="s">
        <v>536</v>
      </c>
      <c r="P2473" t="s">
        <v>536</v>
      </c>
      <c r="Q2473" t="s">
        <v>536</v>
      </c>
      <c r="R2473" t="s">
        <v>11325</v>
      </c>
      <c r="U2473" t="s">
        <v>11326</v>
      </c>
    </row>
    <row r="2474" spans="1:21" x14ac:dyDescent="0.25">
      <c r="A2474" t="s">
        <v>11327</v>
      </c>
      <c r="B2474" t="s">
        <v>22</v>
      </c>
      <c r="C2474" t="s">
        <v>11328</v>
      </c>
      <c r="D2474">
        <f t="shared" si="67"/>
        <v>-1106</v>
      </c>
      <c r="E2474" t="s">
        <v>11045</v>
      </c>
      <c r="F2474" t="s">
        <v>10949</v>
      </c>
      <c r="G2474" t="s">
        <v>10950</v>
      </c>
      <c r="H2474">
        <v>135.60545300000001</v>
      </c>
      <c r="I2474">
        <v>34.630043000000001</v>
      </c>
      <c r="J2474">
        <v>235</v>
      </c>
      <c r="K2474" t="s">
        <v>45</v>
      </c>
      <c r="L2474" t="s">
        <v>45</v>
      </c>
      <c r="M2474" t="s">
        <v>45</v>
      </c>
      <c r="N2474" t="s">
        <v>45</v>
      </c>
      <c r="O2474" t="s">
        <v>45</v>
      </c>
      <c r="P2474" t="s">
        <v>45</v>
      </c>
      <c r="Q2474" t="s">
        <v>45</v>
      </c>
      <c r="R2474" t="s">
        <v>11329</v>
      </c>
      <c r="U2474" t="s">
        <v>11330</v>
      </c>
    </row>
    <row r="2475" spans="1:21" x14ac:dyDescent="0.25">
      <c r="A2475" t="s">
        <v>11331</v>
      </c>
      <c r="B2475" t="s">
        <v>22</v>
      </c>
      <c r="C2475" t="s">
        <v>11332</v>
      </c>
      <c r="D2475">
        <f t="shared" si="67"/>
        <v>-1106</v>
      </c>
      <c r="E2475" t="s">
        <v>10948</v>
      </c>
      <c r="F2475" t="s">
        <v>10949</v>
      </c>
      <c r="G2475" t="s">
        <v>10950</v>
      </c>
      <c r="H2475">
        <v>139.817194</v>
      </c>
      <c r="I2475">
        <v>35.700750999999997</v>
      </c>
      <c r="J2475">
        <v>235</v>
      </c>
      <c r="K2475" t="s">
        <v>536</v>
      </c>
      <c r="L2475" t="s">
        <v>536</v>
      </c>
      <c r="M2475" t="s">
        <v>536</v>
      </c>
      <c r="N2475" t="s">
        <v>536</v>
      </c>
      <c r="O2475" t="s">
        <v>536</v>
      </c>
      <c r="P2475" t="s">
        <v>536</v>
      </c>
      <c r="Q2475" t="s">
        <v>536</v>
      </c>
      <c r="R2475" t="s">
        <v>11333</v>
      </c>
      <c r="U2475" t="s">
        <v>11334</v>
      </c>
    </row>
    <row r="2476" spans="1:21" x14ac:dyDescent="0.25">
      <c r="A2476" t="s">
        <v>11335</v>
      </c>
      <c r="B2476" t="s">
        <v>22</v>
      </c>
      <c r="C2476" t="s">
        <v>11336</v>
      </c>
      <c r="D2476">
        <f t="shared" si="67"/>
        <v>-1106</v>
      </c>
      <c r="E2476" t="s">
        <v>11017</v>
      </c>
      <c r="F2476" t="s">
        <v>10949</v>
      </c>
      <c r="G2476" t="s">
        <v>10950</v>
      </c>
      <c r="H2476">
        <v>136.88281000000001</v>
      </c>
      <c r="I2476">
        <v>35.109780000000001</v>
      </c>
      <c r="J2476">
        <v>235</v>
      </c>
      <c r="K2476" t="s">
        <v>45</v>
      </c>
      <c r="L2476" t="s">
        <v>45</v>
      </c>
      <c r="M2476" t="s">
        <v>45</v>
      </c>
      <c r="N2476" t="s">
        <v>45</v>
      </c>
      <c r="O2476" t="s">
        <v>45</v>
      </c>
      <c r="P2476" t="s">
        <v>45</v>
      </c>
      <c r="Q2476" t="s">
        <v>45</v>
      </c>
      <c r="R2476" t="s">
        <v>11337</v>
      </c>
      <c r="U2476" t="s">
        <v>11338</v>
      </c>
    </row>
    <row r="2477" spans="1:21" x14ac:dyDescent="0.25">
      <c r="A2477" t="s">
        <v>11339</v>
      </c>
      <c r="B2477" t="s">
        <v>38</v>
      </c>
      <c r="C2477" t="s">
        <v>11340</v>
      </c>
      <c r="D2477">
        <f t="shared" si="67"/>
        <v>-1106</v>
      </c>
      <c r="E2477" t="s">
        <v>11036</v>
      </c>
      <c r="F2477" t="s">
        <v>10949</v>
      </c>
      <c r="G2477" t="s">
        <v>10950</v>
      </c>
      <c r="H2477">
        <v>132.397513</v>
      </c>
      <c r="I2477">
        <v>34.410775000000001</v>
      </c>
      <c r="J2477">
        <v>235</v>
      </c>
      <c r="K2477" t="s">
        <v>45</v>
      </c>
      <c r="L2477" t="s">
        <v>45</v>
      </c>
      <c r="M2477" t="s">
        <v>45</v>
      </c>
      <c r="N2477" t="s">
        <v>45</v>
      </c>
      <c r="O2477" t="s">
        <v>45</v>
      </c>
      <c r="P2477" t="s">
        <v>45</v>
      </c>
      <c r="Q2477" t="s">
        <v>45</v>
      </c>
      <c r="R2477" t="s">
        <v>11341</v>
      </c>
      <c r="U2477" t="s">
        <v>11342</v>
      </c>
    </row>
    <row r="2478" spans="1:21" x14ac:dyDescent="0.25">
      <c r="A2478" t="s">
        <v>11343</v>
      </c>
      <c r="B2478" t="s">
        <v>38</v>
      </c>
      <c r="C2478" t="s">
        <v>11344</v>
      </c>
      <c r="D2478">
        <f t="shared" si="67"/>
        <v>-1106</v>
      </c>
      <c r="E2478" t="s">
        <v>11345</v>
      </c>
      <c r="F2478" t="s">
        <v>10949</v>
      </c>
      <c r="G2478" t="s">
        <v>10950</v>
      </c>
      <c r="H2478">
        <v>130.923439</v>
      </c>
      <c r="I2478">
        <v>33.948892000000001</v>
      </c>
      <c r="J2478">
        <v>235</v>
      </c>
      <c r="K2478" t="s">
        <v>774</v>
      </c>
      <c r="L2478" t="s">
        <v>774</v>
      </c>
      <c r="M2478" t="s">
        <v>774</v>
      </c>
      <c r="N2478" t="s">
        <v>774</v>
      </c>
      <c r="O2478" t="s">
        <v>774</v>
      </c>
      <c r="P2478" t="s">
        <v>774</v>
      </c>
      <c r="Q2478" t="s">
        <v>774</v>
      </c>
      <c r="R2478" t="s">
        <v>11346</v>
      </c>
      <c r="U2478" t="s">
        <v>11347</v>
      </c>
    </row>
    <row r="2479" spans="1:21" x14ac:dyDescent="0.25">
      <c r="A2479" t="s">
        <v>11348</v>
      </c>
      <c r="B2479" t="s">
        <v>22</v>
      </c>
      <c r="C2479" t="s">
        <v>11349</v>
      </c>
      <c r="D2479">
        <f t="shared" si="67"/>
        <v>-1106</v>
      </c>
      <c r="E2479" t="s">
        <v>11350</v>
      </c>
      <c r="F2479" t="s">
        <v>10949</v>
      </c>
      <c r="G2479" t="s">
        <v>10950</v>
      </c>
      <c r="H2479">
        <v>139.185518</v>
      </c>
      <c r="I2479">
        <v>35.283859999999997</v>
      </c>
      <c r="J2479">
        <v>235</v>
      </c>
      <c r="K2479" t="s">
        <v>45</v>
      </c>
      <c r="L2479" t="s">
        <v>45</v>
      </c>
      <c r="M2479" t="s">
        <v>45</v>
      </c>
      <c r="N2479" t="s">
        <v>45</v>
      </c>
      <c r="O2479" t="s">
        <v>45</v>
      </c>
      <c r="P2479" t="s">
        <v>45</v>
      </c>
      <c r="Q2479" t="s">
        <v>45</v>
      </c>
      <c r="R2479" t="s">
        <v>11351</v>
      </c>
      <c r="U2479" t="s">
        <v>11352</v>
      </c>
    </row>
    <row r="2480" spans="1:21" x14ac:dyDescent="0.25">
      <c r="A2480" t="s">
        <v>11353</v>
      </c>
      <c r="B2480" t="s">
        <v>22</v>
      </c>
      <c r="C2480" t="s">
        <v>11354</v>
      </c>
      <c r="D2480">
        <f t="shared" si="67"/>
        <v>-1106</v>
      </c>
      <c r="E2480" t="s">
        <v>11251</v>
      </c>
      <c r="F2480" t="s">
        <v>10949</v>
      </c>
      <c r="G2480" t="s">
        <v>10950</v>
      </c>
      <c r="H2480">
        <v>127.695071</v>
      </c>
      <c r="I2480">
        <v>26.259637000000001</v>
      </c>
      <c r="J2480">
        <v>235</v>
      </c>
      <c r="K2480" t="s">
        <v>27</v>
      </c>
      <c r="L2480" t="s">
        <v>27</v>
      </c>
      <c r="M2480" t="s">
        <v>27</v>
      </c>
      <c r="N2480" t="s">
        <v>27</v>
      </c>
      <c r="O2480" t="s">
        <v>27</v>
      </c>
      <c r="P2480" t="s">
        <v>27</v>
      </c>
      <c r="Q2480" t="s">
        <v>27</v>
      </c>
      <c r="R2480" t="s">
        <v>11355</v>
      </c>
      <c r="U2480" t="s">
        <v>11356</v>
      </c>
    </row>
    <row r="2481" spans="1:21" x14ac:dyDescent="0.25">
      <c r="A2481" t="s">
        <v>11357</v>
      </c>
      <c r="B2481" t="s">
        <v>22</v>
      </c>
      <c r="C2481" t="s">
        <v>11358</v>
      </c>
      <c r="D2481">
        <f t="shared" si="67"/>
        <v>-1106</v>
      </c>
      <c r="E2481" t="s">
        <v>11324</v>
      </c>
      <c r="F2481" t="s">
        <v>10949</v>
      </c>
      <c r="G2481" t="s">
        <v>10950</v>
      </c>
      <c r="H2481">
        <v>130.704002</v>
      </c>
      <c r="I2481">
        <v>32.800482000000002</v>
      </c>
      <c r="J2481">
        <v>235</v>
      </c>
      <c r="K2481" t="s">
        <v>45</v>
      </c>
      <c r="L2481" t="s">
        <v>45</v>
      </c>
      <c r="M2481" t="s">
        <v>45</v>
      </c>
      <c r="N2481" t="s">
        <v>45</v>
      </c>
      <c r="O2481" t="s">
        <v>45</v>
      </c>
      <c r="P2481" t="s">
        <v>45</v>
      </c>
      <c r="Q2481" t="s">
        <v>45</v>
      </c>
      <c r="R2481" t="s">
        <v>11359</v>
      </c>
      <c r="U2481" t="s">
        <v>11360</v>
      </c>
    </row>
    <row r="2482" spans="1:21" x14ac:dyDescent="0.25">
      <c r="A2482" t="s">
        <v>11361</v>
      </c>
      <c r="B2482" t="s">
        <v>38</v>
      </c>
      <c r="C2482" t="s">
        <v>11362</v>
      </c>
      <c r="D2482">
        <f t="shared" si="67"/>
        <v>-1106</v>
      </c>
      <c r="E2482" t="s">
        <v>11363</v>
      </c>
      <c r="F2482" t="s">
        <v>10949</v>
      </c>
      <c r="G2482" t="s">
        <v>10950</v>
      </c>
      <c r="H2482">
        <v>139.69841600000001</v>
      </c>
      <c r="I2482">
        <v>35.805098000000001</v>
      </c>
      <c r="J2482">
        <v>235</v>
      </c>
      <c r="K2482" t="s">
        <v>45</v>
      </c>
      <c r="L2482" t="s">
        <v>45</v>
      </c>
      <c r="M2482" t="s">
        <v>45</v>
      </c>
      <c r="N2482" t="s">
        <v>45</v>
      </c>
      <c r="O2482" t="s">
        <v>45</v>
      </c>
      <c r="P2482" t="s">
        <v>45</v>
      </c>
      <c r="Q2482" t="s">
        <v>45</v>
      </c>
      <c r="R2482" t="s">
        <v>11364</v>
      </c>
      <c r="U2482" t="s">
        <v>11365</v>
      </c>
    </row>
    <row r="2483" spans="1:21" x14ac:dyDescent="0.25">
      <c r="A2483" t="s">
        <v>11366</v>
      </c>
      <c r="B2483" t="s">
        <v>22</v>
      </c>
      <c r="C2483" t="s">
        <v>11367</v>
      </c>
      <c r="D2483">
        <f t="shared" si="67"/>
        <v>-1106</v>
      </c>
      <c r="E2483" t="s">
        <v>11368</v>
      </c>
      <c r="F2483" t="s">
        <v>10949</v>
      </c>
      <c r="G2483" t="s">
        <v>10950</v>
      </c>
      <c r="H2483">
        <v>139.43513899999999</v>
      </c>
      <c r="I2483">
        <v>35.531243000000003</v>
      </c>
      <c r="J2483">
        <v>235</v>
      </c>
      <c r="K2483" t="s">
        <v>536</v>
      </c>
      <c r="L2483" t="s">
        <v>536</v>
      </c>
      <c r="M2483" t="s">
        <v>536</v>
      </c>
      <c r="N2483" t="s">
        <v>536</v>
      </c>
      <c r="O2483" t="s">
        <v>536</v>
      </c>
      <c r="P2483" t="s">
        <v>536</v>
      </c>
      <c r="Q2483" t="s">
        <v>536</v>
      </c>
      <c r="R2483" t="s">
        <v>11369</v>
      </c>
      <c r="U2483" t="s">
        <v>11370</v>
      </c>
    </row>
    <row r="2484" spans="1:21" x14ac:dyDescent="0.25">
      <c r="A2484" t="s">
        <v>11371</v>
      </c>
      <c r="B2484" t="s">
        <v>22</v>
      </c>
      <c r="C2484" t="s">
        <v>11372</v>
      </c>
      <c r="D2484">
        <f t="shared" si="67"/>
        <v>-1106</v>
      </c>
      <c r="E2484" t="s">
        <v>11373</v>
      </c>
      <c r="F2484" t="s">
        <v>10949</v>
      </c>
      <c r="G2484" t="s">
        <v>10950</v>
      </c>
      <c r="H2484">
        <v>138.84030000000001</v>
      </c>
      <c r="I2484">
        <v>35.117305000000002</v>
      </c>
      <c r="J2484">
        <v>235</v>
      </c>
      <c r="K2484" t="s">
        <v>1035</v>
      </c>
      <c r="L2484" t="s">
        <v>1035</v>
      </c>
      <c r="M2484" t="s">
        <v>1035</v>
      </c>
      <c r="N2484" t="s">
        <v>1035</v>
      </c>
      <c r="O2484" t="s">
        <v>1035</v>
      </c>
      <c r="P2484" t="s">
        <v>1035</v>
      </c>
      <c r="Q2484" t="s">
        <v>1035</v>
      </c>
      <c r="R2484" t="s">
        <v>11374</v>
      </c>
      <c r="U2484" t="s">
        <v>11375</v>
      </c>
    </row>
    <row r="2485" spans="1:21" x14ac:dyDescent="0.25">
      <c r="A2485" t="s">
        <v>11376</v>
      </c>
      <c r="B2485" t="s">
        <v>22</v>
      </c>
      <c r="C2485" t="s">
        <v>11377</v>
      </c>
      <c r="D2485">
        <f t="shared" si="67"/>
        <v>-1106</v>
      </c>
      <c r="E2485" t="s">
        <v>11378</v>
      </c>
      <c r="F2485" t="s">
        <v>10949</v>
      </c>
      <c r="G2485" t="s">
        <v>10950</v>
      </c>
      <c r="H2485">
        <v>135.53424999999999</v>
      </c>
      <c r="I2485">
        <v>34.805259999999997</v>
      </c>
      <c r="J2485">
        <v>235</v>
      </c>
      <c r="K2485" t="s">
        <v>45</v>
      </c>
      <c r="L2485" t="s">
        <v>45</v>
      </c>
      <c r="M2485" t="s">
        <v>45</v>
      </c>
      <c r="N2485" t="s">
        <v>45</v>
      </c>
      <c r="O2485" t="s">
        <v>45</v>
      </c>
      <c r="P2485" t="s">
        <v>45</v>
      </c>
      <c r="Q2485" t="s">
        <v>45</v>
      </c>
      <c r="R2485" t="s">
        <v>11379</v>
      </c>
      <c r="U2485" t="s">
        <v>11380</v>
      </c>
    </row>
    <row r="2486" spans="1:21" x14ac:dyDescent="0.25">
      <c r="A2486" t="s">
        <v>11381</v>
      </c>
      <c r="B2486" t="s">
        <v>22</v>
      </c>
      <c r="C2486" t="s">
        <v>11382</v>
      </c>
      <c r="D2486">
        <f t="shared" si="67"/>
        <v>-1106</v>
      </c>
      <c r="E2486" t="s">
        <v>11251</v>
      </c>
      <c r="F2486" t="s">
        <v>10949</v>
      </c>
      <c r="G2486" t="s">
        <v>10950</v>
      </c>
      <c r="H2486">
        <v>127.650741</v>
      </c>
      <c r="I2486">
        <v>26.156513</v>
      </c>
      <c r="J2486">
        <v>235</v>
      </c>
      <c r="K2486" t="s">
        <v>536</v>
      </c>
      <c r="L2486" t="s">
        <v>536</v>
      </c>
      <c r="M2486" t="s">
        <v>536</v>
      </c>
      <c r="N2486" t="s">
        <v>536</v>
      </c>
      <c r="O2486" t="s">
        <v>536</v>
      </c>
      <c r="P2486" t="s">
        <v>536</v>
      </c>
      <c r="Q2486" t="s">
        <v>536</v>
      </c>
      <c r="R2486" t="s">
        <v>11383</v>
      </c>
      <c r="S2486" t="s">
        <v>11384</v>
      </c>
      <c r="U2486" t="s">
        <v>11385</v>
      </c>
    </row>
    <row r="2487" spans="1:21" x14ac:dyDescent="0.25">
      <c r="A2487" t="s">
        <v>11386</v>
      </c>
      <c r="B2487" t="s">
        <v>22</v>
      </c>
      <c r="C2487" t="s">
        <v>11387</v>
      </c>
      <c r="D2487">
        <f t="shared" si="67"/>
        <v>-1106</v>
      </c>
      <c r="E2487" t="s">
        <v>11388</v>
      </c>
      <c r="F2487" t="s">
        <v>10949</v>
      </c>
      <c r="G2487" t="s">
        <v>10950</v>
      </c>
      <c r="H2487">
        <v>139.933357</v>
      </c>
      <c r="I2487">
        <v>35.817819999999998</v>
      </c>
      <c r="J2487">
        <v>235</v>
      </c>
      <c r="K2487" t="s">
        <v>45</v>
      </c>
      <c r="L2487" t="s">
        <v>45</v>
      </c>
      <c r="M2487" t="s">
        <v>45</v>
      </c>
      <c r="N2487" t="s">
        <v>45</v>
      </c>
      <c r="O2487" t="s">
        <v>45</v>
      </c>
      <c r="P2487" t="s">
        <v>45</v>
      </c>
      <c r="Q2487" t="s">
        <v>45</v>
      </c>
      <c r="R2487" t="s">
        <v>11389</v>
      </c>
      <c r="U2487" t="s">
        <v>11390</v>
      </c>
    </row>
    <row r="2488" spans="1:21" x14ac:dyDescent="0.25">
      <c r="A2488" t="s">
        <v>11391</v>
      </c>
      <c r="B2488" t="s">
        <v>22</v>
      </c>
      <c r="C2488" t="s">
        <v>11392</v>
      </c>
      <c r="D2488">
        <f t="shared" si="67"/>
        <v>-1106</v>
      </c>
      <c r="E2488" t="s">
        <v>11393</v>
      </c>
      <c r="F2488" t="s">
        <v>10949</v>
      </c>
      <c r="G2488" t="s">
        <v>10950</v>
      </c>
      <c r="H2488">
        <v>137.17136600000001</v>
      </c>
      <c r="I2488">
        <v>36.663204999999998</v>
      </c>
      <c r="J2488">
        <v>235</v>
      </c>
      <c r="K2488" t="s">
        <v>536</v>
      </c>
      <c r="L2488" t="s">
        <v>536</v>
      </c>
      <c r="M2488" t="s">
        <v>536</v>
      </c>
      <c r="N2488" t="s">
        <v>536</v>
      </c>
      <c r="O2488" t="s">
        <v>536</v>
      </c>
      <c r="P2488" t="s">
        <v>536</v>
      </c>
      <c r="Q2488" t="s">
        <v>536</v>
      </c>
      <c r="R2488" t="s">
        <v>11394</v>
      </c>
      <c r="U2488" t="s">
        <v>11395</v>
      </c>
    </row>
    <row r="2489" spans="1:21" x14ac:dyDescent="0.25">
      <c r="A2489" t="s">
        <v>11396</v>
      </c>
      <c r="B2489" t="s">
        <v>22</v>
      </c>
      <c r="C2489" t="s">
        <v>11397</v>
      </c>
      <c r="D2489">
        <f t="shared" si="67"/>
        <v>-1106</v>
      </c>
      <c r="E2489" t="s">
        <v>10968</v>
      </c>
      <c r="F2489" t="s">
        <v>10949</v>
      </c>
      <c r="G2489" t="s">
        <v>10950</v>
      </c>
      <c r="H2489">
        <v>139.828394</v>
      </c>
      <c r="I2489">
        <v>35.881354000000002</v>
      </c>
      <c r="J2489">
        <v>235</v>
      </c>
      <c r="K2489" t="s">
        <v>536</v>
      </c>
      <c r="L2489" t="s">
        <v>536</v>
      </c>
      <c r="M2489" t="s">
        <v>536</v>
      </c>
      <c r="N2489" t="s">
        <v>536</v>
      </c>
      <c r="O2489" t="s">
        <v>536</v>
      </c>
      <c r="P2489" t="s">
        <v>536</v>
      </c>
      <c r="Q2489" t="s">
        <v>536</v>
      </c>
      <c r="R2489" t="s">
        <v>11398</v>
      </c>
      <c r="U2489" t="s">
        <v>11399</v>
      </c>
    </row>
    <row r="2490" spans="1:21" x14ac:dyDescent="0.25">
      <c r="A2490" t="s">
        <v>11400</v>
      </c>
      <c r="B2490" t="s">
        <v>22</v>
      </c>
      <c r="C2490" t="s">
        <v>11401</v>
      </c>
      <c r="D2490">
        <f t="shared" si="67"/>
        <v>-1106</v>
      </c>
      <c r="E2490" t="s">
        <v>11402</v>
      </c>
      <c r="F2490" t="s">
        <v>10949</v>
      </c>
      <c r="G2490" t="s">
        <v>10950</v>
      </c>
      <c r="H2490">
        <v>139.00647000000001</v>
      </c>
      <c r="I2490">
        <v>36.390757000000001</v>
      </c>
      <c r="J2490">
        <v>235</v>
      </c>
      <c r="K2490" t="s">
        <v>536</v>
      </c>
      <c r="L2490" t="s">
        <v>536</v>
      </c>
      <c r="M2490" t="s">
        <v>536</v>
      </c>
      <c r="N2490" t="s">
        <v>536</v>
      </c>
      <c r="O2490" t="s">
        <v>536</v>
      </c>
      <c r="P2490" t="s">
        <v>536</v>
      </c>
      <c r="Q2490" t="s">
        <v>536</v>
      </c>
      <c r="R2490" t="s">
        <v>11403</v>
      </c>
      <c r="U2490" t="s">
        <v>11404</v>
      </c>
    </row>
    <row r="2491" spans="1:21" x14ac:dyDescent="0.25">
      <c r="A2491" t="s">
        <v>11405</v>
      </c>
      <c r="B2491" t="s">
        <v>22</v>
      </c>
      <c r="C2491" t="s">
        <v>11406</v>
      </c>
      <c r="D2491">
        <f t="shared" si="67"/>
        <v>-1106</v>
      </c>
      <c r="E2491" t="s">
        <v>11407</v>
      </c>
      <c r="F2491" t="s">
        <v>10949</v>
      </c>
      <c r="G2491" t="s">
        <v>10950</v>
      </c>
      <c r="H2491">
        <v>137.01673299999999</v>
      </c>
      <c r="I2491">
        <v>36.723849999999999</v>
      </c>
      <c r="J2491">
        <v>235</v>
      </c>
      <c r="K2491" t="s">
        <v>536</v>
      </c>
      <c r="L2491" t="s">
        <v>536</v>
      </c>
      <c r="M2491" t="s">
        <v>536</v>
      </c>
      <c r="N2491" t="s">
        <v>536</v>
      </c>
      <c r="O2491" t="s">
        <v>536</v>
      </c>
      <c r="P2491" t="s">
        <v>536</v>
      </c>
      <c r="Q2491" t="s">
        <v>536</v>
      </c>
      <c r="R2491" t="s">
        <v>11408</v>
      </c>
      <c r="U2491" t="s">
        <v>11409</v>
      </c>
    </row>
    <row r="2492" spans="1:21" x14ac:dyDescent="0.25">
      <c r="A2492" t="s">
        <v>11410</v>
      </c>
      <c r="B2492" t="s">
        <v>38</v>
      </c>
      <c r="C2492" t="s">
        <v>11411</v>
      </c>
      <c r="D2492">
        <f t="shared" si="67"/>
        <v>-1106</v>
      </c>
      <c r="E2492" t="s">
        <v>10948</v>
      </c>
      <c r="F2492" t="s">
        <v>10949</v>
      </c>
      <c r="G2492" t="s">
        <v>10950</v>
      </c>
      <c r="H2492">
        <v>139.505517</v>
      </c>
      <c r="I2492">
        <v>35.699860000000001</v>
      </c>
      <c r="J2492">
        <v>235</v>
      </c>
      <c r="K2492" t="s">
        <v>536</v>
      </c>
      <c r="L2492" t="s">
        <v>536</v>
      </c>
      <c r="M2492" t="s">
        <v>536</v>
      </c>
      <c r="N2492" t="s">
        <v>536</v>
      </c>
      <c r="O2492" t="s">
        <v>536</v>
      </c>
      <c r="P2492" t="s">
        <v>536</v>
      </c>
      <c r="Q2492" t="s">
        <v>536</v>
      </c>
      <c r="R2492" t="s">
        <v>11412</v>
      </c>
      <c r="U2492" t="s">
        <v>11413</v>
      </c>
    </row>
    <row r="2493" spans="1:21" x14ac:dyDescent="0.25">
      <c r="A2493" t="s">
        <v>11414</v>
      </c>
      <c r="B2493" t="s">
        <v>38</v>
      </c>
      <c r="C2493" t="s">
        <v>11415</v>
      </c>
      <c r="D2493">
        <f t="shared" si="67"/>
        <v>-1106</v>
      </c>
      <c r="E2493" t="s">
        <v>11069</v>
      </c>
      <c r="F2493" t="s">
        <v>10949</v>
      </c>
      <c r="G2493" t="s">
        <v>10950</v>
      </c>
      <c r="H2493">
        <v>141.383296</v>
      </c>
      <c r="I2493">
        <v>43.054228999999999</v>
      </c>
      <c r="J2493">
        <v>235</v>
      </c>
      <c r="K2493" t="s">
        <v>45</v>
      </c>
      <c r="L2493" t="s">
        <v>45</v>
      </c>
      <c r="M2493" t="s">
        <v>45</v>
      </c>
      <c r="N2493" t="s">
        <v>45</v>
      </c>
      <c r="O2493" t="s">
        <v>45</v>
      </c>
      <c r="P2493" t="s">
        <v>45</v>
      </c>
      <c r="Q2493" t="s">
        <v>45</v>
      </c>
      <c r="R2493" t="s">
        <v>11416</v>
      </c>
      <c r="U2493" t="s">
        <v>11417</v>
      </c>
    </row>
    <row r="2494" spans="1:21" x14ac:dyDescent="0.25">
      <c r="A2494" t="s">
        <v>11418</v>
      </c>
      <c r="B2494" t="s">
        <v>38</v>
      </c>
      <c r="C2494" t="s">
        <v>11419</v>
      </c>
      <c r="D2494">
        <f>81-120866201</f>
        <v>-120866120</v>
      </c>
      <c r="E2494" t="s">
        <v>11420</v>
      </c>
      <c r="F2494" t="s">
        <v>10949</v>
      </c>
      <c r="G2494" t="s">
        <v>10950</v>
      </c>
      <c r="H2494">
        <v>134.20119099999999</v>
      </c>
      <c r="I2494">
        <v>35.524056999999999</v>
      </c>
      <c r="J2494">
        <v>235</v>
      </c>
      <c r="K2494" t="s">
        <v>312</v>
      </c>
      <c r="L2494" t="s">
        <v>312</v>
      </c>
      <c r="M2494" t="s">
        <v>312</v>
      </c>
      <c r="N2494" t="s">
        <v>312</v>
      </c>
      <c r="O2494" t="s">
        <v>312</v>
      </c>
      <c r="P2494" t="s">
        <v>312</v>
      </c>
      <c r="Q2494" t="s">
        <v>312</v>
      </c>
      <c r="R2494" t="s">
        <v>11421</v>
      </c>
      <c r="U2494" t="s">
        <v>11422</v>
      </c>
    </row>
    <row r="2495" spans="1:21" x14ac:dyDescent="0.25">
      <c r="A2495" t="s">
        <v>11423</v>
      </c>
      <c r="B2495" t="s">
        <v>22</v>
      </c>
      <c r="C2495" t="s">
        <v>11424</v>
      </c>
      <c r="D2495">
        <f t="shared" ref="D2495:D2503" si="68">81-120-866-201</f>
        <v>-1106</v>
      </c>
      <c r="E2495" t="s">
        <v>10948</v>
      </c>
      <c r="F2495" t="s">
        <v>10949</v>
      </c>
      <c r="G2495" t="s">
        <v>10950</v>
      </c>
      <c r="H2495">
        <v>139.792554</v>
      </c>
      <c r="I2495">
        <v>35.637644000000002</v>
      </c>
      <c r="J2495">
        <v>235</v>
      </c>
      <c r="K2495" t="s">
        <v>536</v>
      </c>
      <c r="L2495" t="s">
        <v>536</v>
      </c>
      <c r="M2495" t="s">
        <v>536</v>
      </c>
      <c r="N2495" t="s">
        <v>536</v>
      </c>
      <c r="O2495" t="s">
        <v>536</v>
      </c>
      <c r="P2495" t="s">
        <v>536</v>
      </c>
      <c r="Q2495" t="s">
        <v>536</v>
      </c>
      <c r="R2495" t="s">
        <v>11425</v>
      </c>
      <c r="U2495" t="s">
        <v>11426</v>
      </c>
    </row>
    <row r="2496" spans="1:21" x14ac:dyDescent="0.25">
      <c r="A2496" t="s">
        <v>11427</v>
      </c>
      <c r="B2496" t="s">
        <v>22</v>
      </c>
      <c r="C2496" t="s">
        <v>11428</v>
      </c>
      <c r="D2496">
        <f t="shared" si="68"/>
        <v>-1106</v>
      </c>
      <c r="E2496" t="s">
        <v>11429</v>
      </c>
      <c r="F2496" t="s">
        <v>10949</v>
      </c>
      <c r="G2496" t="s">
        <v>10950</v>
      </c>
      <c r="H2496">
        <v>133.54252299999999</v>
      </c>
      <c r="I2496">
        <v>33.576312000000001</v>
      </c>
      <c r="J2496">
        <v>235</v>
      </c>
      <c r="K2496" t="s">
        <v>536</v>
      </c>
      <c r="L2496" t="s">
        <v>536</v>
      </c>
      <c r="M2496" t="s">
        <v>536</v>
      </c>
      <c r="N2496" t="s">
        <v>536</v>
      </c>
      <c r="O2496" t="s">
        <v>536</v>
      </c>
      <c r="P2496" t="s">
        <v>536</v>
      </c>
      <c r="Q2496" t="s">
        <v>536</v>
      </c>
      <c r="R2496" t="s">
        <v>11430</v>
      </c>
      <c r="U2496" t="s">
        <v>11431</v>
      </c>
    </row>
    <row r="2497" spans="1:21" x14ac:dyDescent="0.25">
      <c r="A2497" t="s">
        <v>11432</v>
      </c>
      <c r="B2497" t="s">
        <v>38</v>
      </c>
      <c r="C2497" t="s">
        <v>11433</v>
      </c>
      <c r="D2497">
        <f t="shared" si="68"/>
        <v>-1106</v>
      </c>
      <c r="E2497" t="s">
        <v>11434</v>
      </c>
      <c r="F2497" t="s">
        <v>10949</v>
      </c>
      <c r="G2497" t="s">
        <v>10950</v>
      </c>
      <c r="H2497">
        <v>140.12853000000001</v>
      </c>
      <c r="I2497">
        <v>39.717706999999997</v>
      </c>
      <c r="J2497">
        <v>235</v>
      </c>
      <c r="K2497" t="s">
        <v>45</v>
      </c>
      <c r="L2497" t="s">
        <v>45</v>
      </c>
      <c r="M2497" t="s">
        <v>45</v>
      </c>
      <c r="N2497" t="s">
        <v>45</v>
      </c>
      <c r="O2497" t="s">
        <v>45</v>
      </c>
      <c r="P2497" t="s">
        <v>45</v>
      </c>
      <c r="Q2497" t="s">
        <v>45</v>
      </c>
      <c r="R2497" t="s">
        <v>11435</v>
      </c>
      <c r="U2497" t="s">
        <v>11436</v>
      </c>
    </row>
    <row r="2498" spans="1:21" x14ac:dyDescent="0.25">
      <c r="A2498" t="s">
        <v>11437</v>
      </c>
      <c r="B2498" t="s">
        <v>38</v>
      </c>
      <c r="C2498" t="s">
        <v>11438</v>
      </c>
      <c r="D2498">
        <f t="shared" si="68"/>
        <v>-1106</v>
      </c>
      <c r="E2498" t="s">
        <v>10985</v>
      </c>
      <c r="F2498" t="s">
        <v>10949</v>
      </c>
      <c r="G2498" t="s">
        <v>10950</v>
      </c>
      <c r="H2498">
        <v>139.91467499999999</v>
      </c>
      <c r="I2498">
        <v>35.649040999999997</v>
      </c>
      <c r="J2498">
        <v>235</v>
      </c>
      <c r="K2498" t="s">
        <v>312</v>
      </c>
      <c r="L2498" t="s">
        <v>312</v>
      </c>
      <c r="M2498" t="s">
        <v>312</v>
      </c>
      <c r="N2498" t="s">
        <v>312</v>
      </c>
      <c r="O2498" t="s">
        <v>312</v>
      </c>
      <c r="P2498" t="s">
        <v>312</v>
      </c>
      <c r="Q2498" t="s">
        <v>312</v>
      </c>
      <c r="R2498" t="s">
        <v>11439</v>
      </c>
      <c r="U2498" t="s">
        <v>11440</v>
      </c>
    </row>
    <row r="2499" spans="1:21" x14ac:dyDescent="0.25">
      <c r="A2499" t="s">
        <v>11441</v>
      </c>
      <c r="B2499" t="s">
        <v>38</v>
      </c>
      <c r="C2499" t="s">
        <v>11442</v>
      </c>
      <c r="D2499">
        <f t="shared" si="68"/>
        <v>-1106</v>
      </c>
      <c r="E2499" t="s">
        <v>11304</v>
      </c>
      <c r="F2499" t="s">
        <v>10949</v>
      </c>
      <c r="G2499" t="s">
        <v>10950</v>
      </c>
      <c r="H2499">
        <v>140.87956800000001</v>
      </c>
      <c r="I2499">
        <v>38.259062999999998</v>
      </c>
      <c r="J2499">
        <v>235</v>
      </c>
      <c r="K2499" t="s">
        <v>45</v>
      </c>
      <c r="L2499" t="s">
        <v>45</v>
      </c>
      <c r="M2499" t="s">
        <v>45</v>
      </c>
      <c r="N2499" t="s">
        <v>45</v>
      </c>
      <c r="O2499" t="s">
        <v>45</v>
      </c>
      <c r="P2499" t="s">
        <v>45</v>
      </c>
      <c r="Q2499" t="s">
        <v>45</v>
      </c>
      <c r="R2499" t="s">
        <v>11443</v>
      </c>
      <c r="U2499" t="s">
        <v>11444</v>
      </c>
    </row>
    <row r="2500" spans="1:21" x14ac:dyDescent="0.25">
      <c r="A2500" t="s">
        <v>11445</v>
      </c>
      <c r="B2500" t="s">
        <v>22</v>
      </c>
      <c r="C2500" t="s">
        <v>11446</v>
      </c>
      <c r="D2500">
        <f t="shared" si="68"/>
        <v>-1106</v>
      </c>
      <c r="E2500" t="s">
        <v>11447</v>
      </c>
      <c r="F2500" t="s">
        <v>10949</v>
      </c>
      <c r="G2500" t="s">
        <v>10950</v>
      </c>
      <c r="H2500">
        <v>139.66274999999999</v>
      </c>
      <c r="I2500">
        <v>35.283259999999999</v>
      </c>
      <c r="J2500">
        <v>235</v>
      </c>
      <c r="K2500" t="s">
        <v>45</v>
      </c>
      <c r="L2500" t="s">
        <v>45</v>
      </c>
      <c r="M2500" t="s">
        <v>45</v>
      </c>
      <c r="N2500" t="s">
        <v>45</v>
      </c>
      <c r="O2500" t="s">
        <v>45</v>
      </c>
      <c r="P2500" t="s">
        <v>45</v>
      </c>
      <c r="Q2500" t="s">
        <v>45</v>
      </c>
      <c r="R2500" t="s">
        <v>11448</v>
      </c>
      <c r="U2500" t="s">
        <v>11449</v>
      </c>
    </row>
    <row r="2501" spans="1:21" x14ac:dyDescent="0.25">
      <c r="A2501" t="s">
        <v>11450</v>
      </c>
      <c r="B2501" t="s">
        <v>38</v>
      </c>
      <c r="C2501" t="s">
        <v>11451</v>
      </c>
      <c r="D2501">
        <f t="shared" si="68"/>
        <v>-1106</v>
      </c>
      <c r="E2501" t="s">
        <v>11452</v>
      </c>
      <c r="F2501" t="s">
        <v>10949</v>
      </c>
      <c r="G2501" t="s">
        <v>10950</v>
      </c>
      <c r="H2501">
        <v>135.370679</v>
      </c>
      <c r="I2501">
        <v>34.467263000000003</v>
      </c>
      <c r="J2501">
        <v>235</v>
      </c>
      <c r="K2501" t="s">
        <v>45</v>
      </c>
      <c r="L2501" t="s">
        <v>45</v>
      </c>
      <c r="M2501" t="s">
        <v>45</v>
      </c>
      <c r="N2501" t="s">
        <v>45</v>
      </c>
      <c r="O2501" t="s">
        <v>45</v>
      </c>
      <c r="P2501" t="s">
        <v>45</v>
      </c>
      <c r="Q2501" t="s">
        <v>45</v>
      </c>
      <c r="R2501" t="s">
        <v>11453</v>
      </c>
      <c r="U2501" t="s">
        <v>11454</v>
      </c>
    </row>
    <row r="2502" spans="1:21" x14ac:dyDescent="0.25">
      <c r="A2502" t="s">
        <v>11455</v>
      </c>
      <c r="B2502" t="s">
        <v>22</v>
      </c>
      <c r="C2502" t="s">
        <v>11456</v>
      </c>
      <c r="D2502">
        <f t="shared" si="68"/>
        <v>-1106</v>
      </c>
      <c r="E2502" t="s">
        <v>11457</v>
      </c>
      <c r="F2502" t="s">
        <v>10949</v>
      </c>
      <c r="G2502" t="s">
        <v>10950</v>
      </c>
      <c r="H2502">
        <v>137.046897</v>
      </c>
      <c r="I2502">
        <v>35.099376999999997</v>
      </c>
      <c r="J2502">
        <v>235</v>
      </c>
      <c r="K2502" t="s">
        <v>45</v>
      </c>
      <c r="L2502" t="s">
        <v>45</v>
      </c>
      <c r="M2502" t="s">
        <v>45</v>
      </c>
      <c r="N2502" t="s">
        <v>45</v>
      </c>
      <c r="O2502" t="s">
        <v>45</v>
      </c>
      <c r="P2502" t="s">
        <v>45</v>
      </c>
      <c r="Q2502" t="s">
        <v>45</v>
      </c>
      <c r="R2502" t="s">
        <v>11458</v>
      </c>
      <c r="U2502" t="s">
        <v>11459</v>
      </c>
    </row>
    <row r="2503" spans="1:21" x14ac:dyDescent="0.25">
      <c r="A2503" t="s">
        <v>11460</v>
      </c>
      <c r="B2503" t="s">
        <v>38</v>
      </c>
      <c r="C2503" t="s">
        <v>11461</v>
      </c>
      <c r="D2503">
        <f t="shared" si="68"/>
        <v>-1106</v>
      </c>
      <c r="E2503" t="s">
        <v>11462</v>
      </c>
      <c r="F2503" t="s">
        <v>10949</v>
      </c>
      <c r="G2503" t="s">
        <v>10950</v>
      </c>
      <c r="H2503">
        <v>130.70784889999999</v>
      </c>
      <c r="I2503">
        <v>32.5965658</v>
      </c>
      <c r="J2503">
        <v>235</v>
      </c>
      <c r="K2503" t="s">
        <v>536</v>
      </c>
      <c r="L2503" t="s">
        <v>536</v>
      </c>
      <c r="M2503" t="s">
        <v>536</v>
      </c>
      <c r="N2503" t="s">
        <v>536</v>
      </c>
      <c r="O2503" t="s">
        <v>536</v>
      </c>
      <c r="P2503" t="s">
        <v>536</v>
      </c>
      <c r="Q2503" t="s">
        <v>536</v>
      </c>
      <c r="R2503" t="s">
        <v>11463</v>
      </c>
      <c r="U2503" t="s">
        <v>11464</v>
      </c>
    </row>
    <row r="2504" spans="1:21" x14ac:dyDescent="0.25">
      <c r="A2504" t="s">
        <v>11465</v>
      </c>
      <c r="B2504" t="s">
        <v>22</v>
      </c>
      <c r="C2504" t="s">
        <v>11466</v>
      </c>
      <c r="E2504" t="s">
        <v>10963</v>
      </c>
      <c r="F2504" t="s">
        <v>10949</v>
      </c>
      <c r="G2504" t="s">
        <v>10950</v>
      </c>
      <c r="H2504">
        <v>139.57796300000001</v>
      </c>
      <c r="I2504">
        <v>35.555242</v>
      </c>
      <c r="J2504">
        <v>235</v>
      </c>
      <c r="K2504" t="s">
        <v>45</v>
      </c>
      <c r="L2504" t="s">
        <v>45</v>
      </c>
      <c r="M2504" t="s">
        <v>45</v>
      </c>
      <c r="N2504" t="s">
        <v>45</v>
      </c>
      <c r="O2504" t="s">
        <v>45</v>
      </c>
      <c r="P2504" t="s">
        <v>45</v>
      </c>
      <c r="Q2504" t="s">
        <v>45</v>
      </c>
      <c r="R2504" t="s">
        <v>11467</v>
      </c>
      <c r="U2504" t="s">
        <v>11468</v>
      </c>
    </row>
    <row r="2505" spans="1:21" x14ac:dyDescent="0.25">
      <c r="A2505" t="s">
        <v>11469</v>
      </c>
      <c r="B2505" t="s">
        <v>22</v>
      </c>
      <c r="C2505" t="s">
        <v>11470</v>
      </c>
      <c r="E2505" t="s">
        <v>11304</v>
      </c>
      <c r="F2505" t="s">
        <v>10949</v>
      </c>
      <c r="G2505" t="s">
        <v>10950</v>
      </c>
      <c r="H2505">
        <v>140.972554</v>
      </c>
      <c r="I2505">
        <v>38.323304999999998</v>
      </c>
      <c r="J2505">
        <v>235</v>
      </c>
      <c r="K2505" t="s">
        <v>536</v>
      </c>
      <c r="L2505" t="s">
        <v>536</v>
      </c>
      <c r="M2505" t="s">
        <v>536</v>
      </c>
      <c r="N2505" t="s">
        <v>536</v>
      </c>
      <c r="O2505" t="s">
        <v>536</v>
      </c>
      <c r="P2505" t="s">
        <v>536</v>
      </c>
      <c r="Q2505" t="s">
        <v>536</v>
      </c>
      <c r="R2505" t="s">
        <v>11471</v>
      </c>
      <c r="U2505" t="s">
        <v>11472</v>
      </c>
    </row>
    <row r="2506" spans="1:21" x14ac:dyDescent="0.25">
      <c r="A2506" t="s">
        <v>11473</v>
      </c>
      <c r="B2506" t="s">
        <v>38</v>
      </c>
      <c r="C2506" t="s">
        <v>11474</v>
      </c>
      <c r="D2506">
        <f>81-120-866-201</f>
        <v>-1106</v>
      </c>
      <c r="E2506" t="s">
        <v>11036</v>
      </c>
      <c r="F2506" t="s">
        <v>10949</v>
      </c>
      <c r="G2506" t="s">
        <v>10950</v>
      </c>
      <c r="H2506">
        <v>132.4994801</v>
      </c>
      <c r="I2506">
        <v>34.394503499999999</v>
      </c>
      <c r="J2506">
        <v>235</v>
      </c>
      <c r="K2506" t="s">
        <v>27</v>
      </c>
      <c r="L2506" t="s">
        <v>27</v>
      </c>
      <c r="M2506" t="s">
        <v>27</v>
      </c>
      <c r="N2506" t="s">
        <v>27</v>
      </c>
      <c r="O2506" t="s">
        <v>27</v>
      </c>
      <c r="P2506" t="s">
        <v>27</v>
      </c>
      <c r="Q2506" t="s">
        <v>27</v>
      </c>
      <c r="R2506" t="s">
        <v>11475</v>
      </c>
      <c r="U2506" t="s">
        <v>11476</v>
      </c>
    </row>
    <row r="2507" spans="1:21" x14ac:dyDescent="0.25">
      <c r="A2507" t="s">
        <v>11477</v>
      </c>
      <c r="B2507" t="s">
        <v>38</v>
      </c>
      <c r="C2507" t="s">
        <v>11478</v>
      </c>
      <c r="E2507" t="s">
        <v>11457</v>
      </c>
      <c r="F2507" t="s">
        <v>10949</v>
      </c>
      <c r="G2507" t="s">
        <v>10950</v>
      </c>
      <c r="H2507">
        <v>136.98255</v>
      </c>
      <c r="I2507">
        <v>35.258969</v>
      </c>
      <c r="J2507">
        <v>235</v>
      </c>
      <c r="K2507" t="s">
        <v>45</v>
      </c>
      <c r="L2507" t="s">
        <v>45</v>
      </c>
      <c r="M2507" t="s">
        <v>45</v>
      </c>
      <c r="N2507" t="s">
        <v>45</v>
      </c>
      <c r="O2507" t="s">
        <v>45</v>
      </c>
      <c r="P2507" t="s">
        <v>45</v>
      </c>
      <c r="Q2507" t="s">
        <v>45</v>
      </c>
      <c r="R2507" t="s">
        <v>11479</v>
      </c>
      <c r="U2507" t="s">
        <v>11480</v>
      </c>
    </row>
    <row r="2508" spans="1:21" x14ac:dyDescent="0.25">
      <c r="A2508" t="s">
        <v>11481</v>
      </c>
      <c r="B2508" t="s">
        <v>38</v>
      </c>
      <c r="C2508" t="s">
        <v>11482</v>
      </c>
      <c r="D2508">
        <f>81-120-866-201</f>
        <v>-1106</v>
      </c>
      <c r="E2508" t="s">
        <v>11036</v>
      </c>
      <c r="F2508" t="s">
        <v>10949</v>
      </c>
      <c r="G2508" t="s">
        <v>10950</v>
      </c>
      <c r="H2508">
        <v>132.39397205767099</v>
      </c>
      <c r="I2508">
        <v>34.373356190673903</v>
      </c>
      <c r="J2508">
        <v>235</v>
      </c>
      <c r="K2508" t="s">
        <v>45</v>
      </c>
      <c r="L2508" t="s">
        <v>45</v>
      </c>
      <c r="M2508" t="s">
        <v>45</v>
      </c>
      <c r="N2508" t="s">
        <v>45</v>
      </c>
      <c r="O2508" t="s">
        <v>45</v>
      </c>
      <c r="P2508" t="s">
        <v>45</v>
      </c>
      <c r="Q2508" t="s">
        <v>45</v>
      </c>
      <c r="R2508" t="s">
        <v>11483</v>
      </c>
      <c r="U2508" t="s">
        <v>11484</v>
      </c>
    </row>
    <row r="2509" spans="1:21" x14ac:dyDescent="0.25">
      <c r="A2509" t="s">
        <v>11485</v>
      </c>
      <c r="B2509" t="s">
        <v>22</v>
      </c>
      <c r="C2509" t="s">
        <v>11486</v>
      </c>
      <c r="D2509">
        <f t="shared" ref="D2509:D2522" si="69">82-1577-6347</f>
        <v>-7842</v>
      </c>
      <c r="E2509" t="s">
        <v>11487</v>
      </c>
      <c r="F2509" t="s">
        <v>11488</v>
      </c>
      <c r="G2509" t="s">
        <v>11489</v>
      </c>
      <c r="H2509">
        <v>126.984644830226</v>
      </c>
      <c r="I2509">
        <v>37.563408717600502</v>
      </c>
      <c r="J2509">
        <v>230</v>
      </c>
      <c r="K2509" t="s">
        <v>2229</v>
      </c>
      <c r="L2509" t="s">
        <v>2229</v>
      </c>
      <c r="M2509" t="s">
        <v>2229</v>
      </c>
      <c r="N2509" t="s">
        <v>2229</v>
      </c>
      <c r="O2509" t="s">
        <v>2229</v>
      </c>
      <c r="P2509" t="s">
        <v>2229</v>
      </c>
      <c r="Q2509" t="s">
        <v>2229</v>
      </c>
      <c r="R2509" t="s">
        <v>11490</v>
      </c>
      <c r="U2509" t="s">
        <v>11491</v>
      </c>
    </row>
    <row r="2510" spans="1:21" x14ac:dyDescent="0.25">
      <c r="A2510" t="s">
        <v>11492</v>
      </c>
      <c r="B2510" t="s">
        <v>22</v>
      </c>
      <c r="C2510" t="s">
        <v>11493</v>
      </c>
      <c r="D2510">
        <f t="shared" si="69"/>
        <v>-7842</v>
      </c>
      <c r="E2510" t="s">
        <v>11494</v>
      </c>
      <c r="F2510" t="s">
        <v>11488</v>
      </c>
      <c r="G2510" t="s">
        <v>11489</v>
      </c>
      <c r="H2510">
        <v>127.155756354331</v>
      </c>
      <c r="I2510">
        <v>36.819158125530201</v>
      </c>
      <c r="J2510">
        <v>230</v>
      </c>
      <c r="K2510" t="s">
        <v>11495</v>
      </c>
      <c r="L2510" t="s">
        <v>11495</v>
      </c>
      <c r="M2510" t="s">
        <v>11495</v>
      </c>
      <c r="N2510" t="s">
        <v>11495</v>
      </c>
      <c r="O2510" t="s">
        <v>11495</v>
      </c>
      <c r="P2510" t="s">
        <v>11495</v>
      </c>
      <c r="Q2510" t="s">
        <v>11495</v>
      </c>
      <c r="R2510" t="s">
        <v>11496</v>
      </c>
      <c r="U2510" t="s">
        <v>11497</v>
      </c>
    </row>
    <row r="2511" spans="1:21" x14ac:dyDescent="0.25">
      <c r="A2511" t="s">
        <v>11498</v>
      </c>
      <c r="B2511" t="s">
        <v>22</v>
      </c>
      <c r="C2511" t="s">
        <v>11499</v>
      </c>
      <c r="D2511">
        <f t="shared" si="69"/>
        <v>-7842</v>
      </c>
      <c r="E2511" t="s">
        <v>11487</v>
      </c>
      <c r="F2511" t="s">
        <v>11488</v>
      </c>
      <c r="G2511" t="s">
        <v>11489</v>
      </c>
      <c r="H2511">
        <v>126.888018250465</v>
      </c>
      <c r="I2511">
        <v>37.5082768908605</v>
      </c>
      <c r="J2511">
        <v>230</v>
      </c>
      <c r="K2511" t="s">
        <v>1501</v>
      </c>
      <c r="L2511" t="s">
        <v>1501</v>
      </c>
      <c r="M2511" t="s">
        <v>1501</v>
      </c>
      <c r="N2511" t="s">
        <v>1501</v>
      </c>
      <c r="O2511" t="s">
        <v>1501</v>
      </c>
      <c r="P2511" t="s">
        <v>1501</v>
      </c>
      <c r="Q2511" t="s">
        <v>1501</v>
      </c>
      <c r="R2511" t="s">
        <v>11500</v>
      </c>
      <c r="U2511" t="s">
        <v>11501</v>
      </c>
    </row>
    <row r="2512" spans="1:21" x14ac:dyDescent="0.25">
      <c r="A2512" t="s">
        <v>11502</v>
      </c>
      <c r="B2512" t="s">
        <v>22</v>
      </c>
      <c r="C2512" t="s">
        <v>11503</v>
      </c>
      <c r="D2512">
        <f t="shared" si="69"/>
        <v>-7842</v>
      </c>
      <c r="E2512" t="s">
        <v>11487</v>
      </c>
      <c r="F2512" t="s">
        <v>11488</v>
      </c>
      <c r="G2512" t="s">
        <v>11489</v>
      </c>
      <c r="H2512">
        <v>126.799328327178</v>
      </c>
      <c r="I2512">
        <v>37.562694334110397</v>
      </c>
      <c r="J2512">
        <v>230</v>
      </c>
      <c r="K2512" t="s">
        <v>11504</v>
      </c>
      <c r="L2512" t="s">
        <v>11504</v>
      </c>
      <c r="M2512" t="s">
        <v>11504</v>
      </c>
      <c r="N2512" t="s">
        <v>11504</v>
      </c>
      <c r="O2512" t="s">
        <v>11504</v>
      </c>
      <c r="P2512" t="s">
        <v>11504</v>
      </c>
      <c r="Q2512" t="s">
        <v>11504</v>
      </c>
      <c r="R2512" t="s">
        <v>11505</v>
      </c>
      <c r="U2512" t="s">
        <v>11506</v>
      </c>
    </row>
    <row r="2513" spans="1:21" x14ac:dyDescent="0.25">
      <c r="A2513" t="s">
        <v>11507</v>
      </c>
      <c r="B2513" t="s">
        <v>22</v>
      </c>
      <c r="C2513" t="s">
        <v>11508</v>
      </c>
      <c r="D2513">
        <f t="shared" si="69"/>
        <v>-7842</v>
      </c>
      <c r="E2513" t="s">
        <v>11509</v>
      </c>
      <c r="F2513" t="s">
        <v>11488</v>
      </c>
      <c r="G2513" t="s">
        <v>11489</v>
      </c>
      <c r="H2513">
        <v>129.12931606791301</v>
      </c>
      <c r="I2513">
        <v>35.168964021124097</v>
      </c>
      <c r="J2513">
        <v>230</v>
      </c>
      <c r="K2513" t="s">
        <v>11510</v>
      </c>
      <c r="L2513" t="s">
        <v>11510</v>
      </c>
      <c r="M2513" t="s">
        <v>11510</v>
      </c>
      <c r="N2513" t="s">
        <v>11510</v>
      </c>
      <c r="O2513" t="s">
        <v>11511</v>
      </c>
      <c r="P2513" t="s">
        <v>11511</v>
      </c>
      <c r="Q2513" t="s">
        <v>11511</v>
      </c>
      <c r="R2513" t="s">
        <v>11512</v>
      </c>
      <c r="U2513" t="s">
        <v>11513</v>
      </c>
    </row>
    <row r="2514" spans="1:21" x14ac:dyDescent="0.25">
      <c r="A2514" t="s">
        <v>11514</v>
      </c>
      <c r="B2514" t="s">
        <v>22</v>
      </c>
      <c r="C2514" t="s">
        <v>11515</v>
      </c>
      <c r="D2514">
        <f t="shared" si="69"/>
        <v>-7842</v>
      </c>
      <c r="E2514" t="s">
        <v>11516</v>
      </c>
      <c r="F2514" t="s">
        <v>11488</v>
      </c>
      <c r="G2514" t="s">
        <v>11489</v>
      </c>
      <c r="H2514">
        <v>126.753428937338</v>
      </c>
      <c r="I2514">
        <v>37.663674854292601</v>
      </c>
      <c r="J2514">
        <v>230</v>
      </c>
      <c r="K2514" t="s">
        <v>3814</v>
      </c>
      <c r="L2514" t="s">
        <v>3814</v>
      </c>
      <c r="M2514" t="s">
        <v>3814</v>
      </c>
      <c r="N2514" t="s">
        <v>3814</v>
      </c>
      <c r="O2514" t="s">
        <v>3814</v>
      </c>
      <c r="P2514" t="s">
        <v>3814</v>
      </c>
      <c r="Q2514" t="s">
        <v>3814</v>
      </c>
      <c r="R2514" t="s">
        <v>11517</v>
      </c>
      <c r="U2514" t="s">
        <v>11518</v>
      </c>
    </row>
    <row r="2515" spans="1:21" x14ac:dyDescent="0.25">
      <c r="A2515" t="s">
        <v>11519</v>
      </c>
      <c r="B2515" t="s">
        <v>22</v>
      </c>
      <c r="C2515" t="s">
        <v>11520</v>
      </c>
      <c r="D2515">
        <f t="shared" si="69"/>
        <v>-7842</v>
      </c>
      <c r="E2515" t="s">
        <v>11521</v>
      </c>
      <c r="F2515" t="s">
        <v>11488</v>
      </c>
      <c r="G2515" t="s">
        <v>11489</v>
      </c>
      <c r="H2515">
        <v>126.68469361038601</v>
      </c>
      <c r="I2515">
        <v>37.406076338392097</v>
      </c>
      <c r="J2515">
        <v>230</v>
      </c>
      <c r="K2515" t="s">
        <v>11504</v>
      </c>
      <c r="L2515" t="s">
        <v>11504</v>
      </c>
      <c r="M2515" t="s">
        <v>11504</v>
      </c>
      <c r="N2515" t="s">
        <v>11504</v>
      </c>
      <c r="O2515" t="s">
        <v>3814</v>
      </c>
      <c r="P2515" t="s">
        <v>3814</v>
      </c>
      <c r="Q2515" t="s">
        <v>3814</v>
      </c>
      <c r="R2515" t="s">
        <v>11522</v>
      </c>
      <c r="U2515" t="s">
        <v>11523</v>
      </c>
    </row>
    <row r="2516" spans="1:21" x14ac:dyDescent="0.25">
      <c r="A2516" t="s">
        <v>11524</v>
      </c>
      <c r="B2516" t="s">
        <v>22</v>
      </c>
      <c r="C2516" t="s">
        <v>11525</v>
      </c>
      <c r="D2516">
        <f t="shared" si="69"/>
        <v>-7842</v>
      </c>
      <c r="E2516" t="s">
        <v>11487</v>
      </c>
      <c r="F2516" t="s">
        <v>11488</v>
      </c>
      <c r="G2516" t="s">
        <v>11489</v>
      </c>
      <c r="H2516">
        <v>126.922427326483</v>
      </c>
      <c r="I2516">
        <v>37.554535567597199</v>
      </c>
      <c r="J2516">
        <v>230</v>
      </c>
      <c r="K2516" t="s">
        <v>11526</v>
      </c>
      <c r="L2516" t="s">
        <v>11526</v>
      </c>
      <c r="M2516" t="s">
        <v>11526</v>
      </c>
      <c r="N2516" t="s">
        <v>11526</v>
      </c>
      <c r="O2516" t="s">
        <v>11527</v>
      </c>
      <c r="P2516" t="s">
        <v>11527</v>
      </c>
      <c r="Q2516" t="s">
        <v>11526</v>
      </c>
      <c r="R2516" t="s">
        <v>11528</v>
      </c>
      <c r="U2516" t="s">
        <v>11529</v>
      </c>
    </row>
    <row r="2517" spans="1:21" x14ac:dyDescent="0.25">
      <c r="A2517" t="s">
        <v>11530</v>
      </c>
      <c r="B2517" t="s">
        <v>2322</v>
      </c>
      <c r="C2517" t="s">
        <v>11531</v>
      </c>
      <c r="D2517">
        <f t="shared" si="69"/>
        <v>-7842</v>
      </c>
      <c r="E2517" t="s">
        <v>11487</v>
      </c>
      <c r="F2517" t="s">
        <v>11488</v>
      </c>
      <c r="G2517" t="s">
        <v>11489</v>
      </c>
      <c r="H2517">
        <v>127.022744268178</v>
      </c>
      <c r="I2517">
        <v>37.522472642884402</v>
      </c>
      <c r="J2517">
        <v>230</v>
      </c>
      <c r="K2517" t="s">
        <v>2229</v>
      </c>
      <c r="L2517" t="s">
        <v>2229</v>
      </c>
      <c r="M2517" t="s">
        <v>2229</v>
      </c>
      <c r="N2517" t="s">
        <v>2229</v>
      </c>
      <c r="O2517" t="s">
        <v>2229</v>
      </c>
      <c r="P2517" t="s">
        <v>2229</v>
      </c>
      <c r="Q2517" t="s">
        <v>2229</v>
      </c>
      <c r="R2517" t="s">
        <v>11532</v>
      </c>
      <c r="U2517" t="s">
        <v>11533</v>
      </c>
    </row>
    <row r="2518" spans="1:21" x14ac:dyDescent="0.25">
      <c r="A2518" t="s">
        <v>11534</v>
      </c>
      <c r="B2518" t="s">
        <v>22</v>
      </c>
      <c r="C2518" t="s">
        <v>11535</v>
      </c>
      <c r="D2518">
        <f t="shared" si="69"/>
        <v>-7842</v>
      </c>
      <c r="E2518" t="s">
        <v>11536</v>
      </c>
      <c r="F2518" t="s">
        <v>11488</v>
      </c>
      <c r="G2518" t="s">
        <v>11489</v>
      </c>
      <c r="H2518">
        <v>129.338994026184</v>
      </c>
      <c r="I2518">
        <v>35.541041876926997</v>
      </c>
      <c r="J2518">
        <v>230</v>
      </c>
      <c r="K2518" t="s">
        <v>3814</v>
      </c>
      <c r="L2518" t="s">
        <v>3814</v>
      </c>
      <c r="M2518" t="s">
        <v>3814</v>
      </c>
      <c r="N2518" t="s">
        <v>3814</v>
      </c>
      <c r="O2518" t="s">
        <v>3814</v>
      </c>
      <c r="P2518" t="s">
        <v>3814</v>
      </c>
      <c r="Q2518" t="s">
        <v>3814</v>
      </c>
      <c r="R2518" t="s">
        <v>11537</v>
      </c>
      <c r="U2518" t="s">
        <v>11538</v>
      </c>
    </row>
    <row r="2519" spans="1:21" x14ac:dyDescent="0.25">
      <c r="A2519" t="s">
        <v>11539</v>
      </c>
      <c r="B2519" t="s">
        <v>22</v>
      </c>
      <c r="C2519" t="s">
        <v>11540</v>
      </c>
      <c r="D2519">
        <f t="shared" si="69"/>
        <v>-7842</v>
      </c>
      <c r="E2519" t="s">
        <v>11541</v>
      </c>
      <c r="F2519" t="s">
        <v>11488</v>
      </c>
      <c r="G2519" t="s">
        <v>11489</v>
      </c>
      <c r="H2519">
        <v>126.915301680564</v>
      </c>
      <c r="I2519">
        <v>35.1487802115535</v>
      </c>
      <c r="J2519">
        <v>230</v>
      </c>
      <c r="K2519" t="s">
        <v>2229</v>
      </c>
      <c r="L2519" t="s">
        <v>2229</v>
      </c>
      <c r="M2519" t="s">
        <v>2229</v>
      </c>
      <c r="N2519" t="s">
        <v>2229</v>
      </c>
      <c r="O2519" t="s">
        <v>2229</v>
      </c>
      <c r="P2519" t="s">
        <v>2229</v>
      </c>
      <c r="Q2519" t="s">
        <v>2229</v>
      </c>
      <c r="R2519" t="s">
        <v>11542</v>
      </c>
      <c r="U2519" t="s">
        <v>11543</v>
      </c>
    </row>
    <row r="2520" spans="1:21" x14ac:dyDescent="0.25">
      <c r="A2520" t="s">
        <v>11544</v>
      </c>
      <c r="B2520" t="s">
        <v>22</v>
      </c>
      <c r="C2520" t="s">
        <v>11545</v>
      </c>
      <c r="D2520">
        <f t="shared" si="69"/>
        <v>-7842</v>
      </c>
      <c r="E2520" t="s">
        <v>11546</v>
      </c>
      <c r="F2520" t="s">
        <v>11488</v>
      </c>
      <c r="G2520" t="s">
        <v>11489</v>
      </c>
      <c r="H2520">
        <v>128.59549677253801</v>
      </c>
      <c r="I2520">
        <v>35.870513362900802</v>
      </c>
      <c r="J2520">
        <v>230</v>
      </c>
      <c r="K2520" t="s">
        <v>2229</v>
      </c>
      <c r="L2520" t="s">
        <v>2229</v>
      </c>
      <c r="M2520" t="s">
        <v>2229</v>
      </c>
      <c r="N2520" t="s">
        <v>2229</v>
      </c>
      <c r="O2520" t="s">
        <v>2229</v>
      </c>
      <c r="P2520" t="s">
        <v>2229</v>
      </c>
      <c r="Q2520" t="s">
        <v>2229</v>
      </c>
      <c r="R2520" t="s">
        <v>11547</v>
      </c>
      <c r="U2520" t="s">
        <v>11548</v>
      </c>
    </row>
    <row r="2521" spans="1:21" x14ac:dyDescent="0.25">
      <c r="A2521" t="s">
        <v>11549</v>
      </c>
      <c r="B2521" t="s">
        <v>22</v>
      </c>
      <c r="C2521" t="s">
        <v>11550</v>
      </c>
      <c r="D2521">
        <f t="shared" si="69"/>
        <v>-7842</v>
      </c>
      <c r="E2521" t="s">
        <v>11551</v>
      </c>
      <c r="F2521" t="s">
        <v>11488</v>
      </c>
      <c r="G2521" t="s">
        <v>11489</v>
      </c>
      <c r="H2521">
        <v>127.427759170532</v>
      </c>
      <c r="I2521">
        <v>36.643165793469002</v>
      </c>
      <c r="J2521">
        <v>230</v>
      </c>
      <c r="K2521" t="s">
        <v>1501</v>
      </c>
      <c r="L2521" t="s">
        <v>1501</v>
      </c>
      <c r="M2521" t="s">
        <v>1501</v>
      </c>
      <c r="N2521" t="s">
        <v>1501</v>
      </c>
      <c r="O2521" t="s">
        <v>1501</v>
      </c>
      <c r="P2521" t="s">
        <v>1501</v>
      </c>
      <c r="Q2521" t="s">
        <v>1501</v>
      </c>
      <c r="R2521" t="s">
        <v>11552</v>
      </c>
      <c r="U2521" t="s">
        <v>11553</v>
      </c>
    </row>
    <row r="2522" spans="1:21" x14ac:dyDescent="0.25">
      <c r="A2522" t="s">
        <v>11554</v>
      </c>
      <c r="B2522" t="s">
        <v>32</v>
      </c>
      <c r="C2522" t="s">
        <v>11555</v>
      </c>
      <c r="D2522">
        <f t="shared" si="69"/>
        <v>-7842</v>
      </c>
      <c r="E2522" t="s">
        <v>11487</v>
      </c>
      <c r="F2522" t="s">
        <v>11488</v>
      </c>
      <c r="G2522" t="s">
        <v>11489</v>
      </c>
      <c r="H2522">
        <v>127.103559373016</v>
      </c>
      <c r="I2522">
        <v>37.513817910089003</v>
      </c>
      <c r="J2522">
        <v>230</v>
      </c>
      <c r="K2522" t="s">
        <v>11504</v>
      </c>
      <c r="L2522" t="s">
        <v>11504</v>
      </c>
      <c r="M2522" t="s">
        <v>11504</v>
      </c>
      <c r="N2522" t="s">
        <v>11504</v>
      </c>
      <c r="O2522" t="s">
        <v>11504</v>
      </c>
      <c r="P2522" t="s">
        <v>11504</v>
      </c>
      <c r="Q2522" t="s">
        <v>11504</v>
      </c>
      <c r="R2522" t="s">
        <v>11556</v>
      </c>
      <c r="U2522" t="s">
        <v>11557</v>
      </c>
    </row>
    <row r="2523" spans="1:21" x14ac:dyDescent="0.25">
      <c r="A2523" t="s">
        <v>11558</v>
      </c>
      <c r="B2523" t="s">
        <v>22</v>
      </c>
      <c r="C2523" t="s">
        <v>11559</v>
      </c>
      <c r="D2523">
        <f>82-15776347</f>
        <v>-15776265</v>
      </c>
      <c r="E2523" t="s">
        <v>11487</v>
      </c>
      <c r="F2523" t="s">
        <v>11488</v>
      </c>
      <c r="G2523" t="s">
        <v>11489</v>
      </c>
      <c r="H2523">
        <v>126.965162627784</v>
      </c>
      <c r="I2523">
        <v>37.529214847227401</v>
      </c>
      <c r="J2523">
        <v>230</v>
      </c>
      <c r="K2523" t="s">
        <v>2229</v>
      </c>
      <c r="L2523" t="s">
        <v>2229</v>
      </c>
      <c r="M2523" t="s">
        <v>2229</v>
      </c>
      <c r="N2523" t="s">
        <v>2229</v>
      </c>
      <c r="O2523" t="s">
        <v>2229</v>
      </c>
      <c r="P2523" t="s">
        <v>2229</v>
      </c>
      <c r="Q2523" t="s">
        <v>2229</v>
      </c>
      <c r="R2523" t="s">
        <v>11560</v>
      </c>
      <c r="U2523" t="s">
        <v>11561</v>
      </c>
    </row>
    <row r="2524" spans="1:21" x14ac:dyDescent="0.25">
      <c r="A2524" t="s">
        <v>11562</v>
      </c>
      <c r="B2524" t="s">
        <v>22</v>
      </c>
      <c r="C2524" t="s">
        <v>11563</v>
      </c>
      <c r="D2524">
        <f t="shared" ref="D2524:D2530" si="70">82-1577-6347</f>
        <v>-7842</v>
      </c>
      <c r="E2524" t="s">
        <v>11487</v>
      </c>
      <c r="F2524" t="s">
        <v>11488</v>
      </c>
      <c r="G2524" t="s">
        <v>11489</v>
      </c>
      <c r="H2524">
        <v>126.902963941574</v>
      </c>
      <c r="I2524">
        <v>37.516993143294997</v>
      </c>
      <c r="J2524">
        <v>230</v>
      </c>
      <c r="K2524" t="s">
        <v>3814</v>
      </c>
      <c r="L2524" t="s">
        <v>3814</v>
      </c>
      <c r="M2524" t="s">
        <v>3814</v>
      </c>
      <c r="N2524" t="s">
        <v>3814</v>
      </c>
      <c r="O2524" t="s">
        <v>10934</v>
      </c>
      <c r="P2524" t="s">
        <v>3814</v>
      </c>
      <c r="Q2524" t="s">
        <v>3814</v>
      </c>
      <c r="R2524" t="s">
        <v>11564</v>
      </c>
      <c r="U2524" t="s">
        <v>11565</v>
      </c>
    </row>
    <row r="2525" spans="1:21" x14ac:dyDescent="0.25">
      <c r="A2525" t="s">
        <v>11566</v>
      </c>
      <c r="B2525" t="s">
        <v>22</v>
      </c>
      <c r="C2525" t="s">
        <v>11567</v>
      </c>
      <c r="D2525">
        <f t="shared" si="70"/>
        <v>-7842</v>
      </c>
      <c r="E2525" t="s">
        <v>11568</v>
      </c>
      <c r="F2525" t="s">
        <v>11488</v>
      </c>
      <c r="G2525" t="s">
        <v>11489</v>
      </c>
      <c r="H2525">
        <v>127.112003394506</v>
      </c>
      <c r="I2525">
        <v>37.392597799835002</v>
      </c>
      <c r="J2525">
        <v>230</v>
      </c>
      <c r="K2525" t="s">
        <v>11510</v>
      </c>
      <c r="L2525" t="s">
        <v>11510</v>
      </c>
      <c r="M2525" t="s">
        <v>11510</v>
      </c>
      <c r="N2525" t="s">
        <v>11510</v>
      </c>
      <c r="O2525" t="s">
        <v>11511</v>
      </c>
      <c r="P2525" t="s">
        <v>11511</v>
      </c>
      <c r="Q2525" t="s">
        <v>11511</v>
      </c>
      <c r="R2525" t="s">
        <v>11569</v>
      </c>
      <c r="U2525" t="s">
        <v>11570</v>
      </c>
    </row>
    <row r="2526" spans="1:21" x14ac:dyDescent="0.25">
      <c r="A2526" t="s">
        <v>11571</v>
      </c>
      <c r="B2526" t="s">
        <v>22</v>
      </c>
      <c r="C2526" t="s">
        <v>11572</v>
      </c>
      <c r="D2526">
        <f t="shared" si="70"/>
        <v>-7842</v>
      </c>
      <c r="E2526" t="s">
        <v>11509</v>
      </c>
      <c r="F2526" t="s">
        <v>11488</v>
      </c>
      <c r="G2526" t="s">
        <v>11489</v>
      </c>
      <c r="H2526">
        <v>129.062820640908</v>
      </c>
      <c r="I2526">
        <v>35.157338831060301</v>
      </c>
      <c r="J2526">
        <v>230</v>
      </c>
      <c r="K2526" t="s">
        <v>11504</v>
      </c>
      <c r="L2526" t="s">
        <v>11504</v>
      </c>
      <c r="M2526" t="s">
        <v>11504</v>
      </c>
      <c r="N2526" t="s">
        <v>11504</v>
      </c>
      <c r="O2526" t="s">
        <v>3814</v>
      </c>
      <c r="P2526" t="s">
        <v>3814</v>
      </c>
      <c r="Q2526" t="s">
        <v>3814</v>
      </c>
      <c r="R2526" t="s">
        <v>11573</v>
      </c>
      <c r="U2526" t="s">
        <v>11574</v>
      </c>
    </row>
    <row r="2527" spans="1:21" x14ac:dyDescent="0.25">
      <c r="A2527" t="s">
        <v>11575</v>
      </c>
      <c r="B2527" t="s">
        <v>38</v>
      </c>
      <c r="C2527" t="s">
        <v>11576</v>
      </c>
      <c r="D2527">
        <f t="shared" si="70"/>
        <v>-7842</v>
      </c>
      <c r="E2527" t="s">
        <v>11487</v>
      </c>
      <c r="F2527" t="s">
        <v>11488</v>
      </c>
      <c r="G2527" t="s">
        <v>11489</v>
      </c>
      <c r="H2527">
        <v>126.840742152584</v>
      </c>
      <c r="I2527">
        <v>37.559820230369297</v>
      </c>
      <c r="J2527">
        <v>230</v>
      </c>
      <c r="K2527" t="s">
        <v>11504</v>
      </c>
      <c r="L2527" t="s">
        <v>11504</v>
      </c>
      <c r="M2527" t="s">
        <v>11504</v>
      </c>
      <c r="N2527" t="s">
        <v>11504</v>
      </c>
      <c r="O2527" t="s">
        <v>3814</v>
      </c>
      <c r="P2527" t="s">
        <v>3814</v>
      </c>
      <c r="Q2527" t="s">
        <v>3814</v>
      </c>
      <c r="R2527" t="s">
        <v>11577</v>
      </c>
      <c r="U2527" t="s">
        <v>11578</v>
      </c>
    </row>
    <row r="2528" spans="1:21" x14ac:dyDescent="0.25">
      <c r="A2528" t="s">
        <v>11579</v>
      </c>
      <c r="B2528" t="s">
        <v>38</v>
      </c>
      <c r="C2528" t="s">
        <v>11580</v>
      </c>
      <c r="D2528">
        <f t="shared" si="70"/>
        <v>-7842</v>
      </c>
      <c r="E2528" t="s">
        <v>11509</v>
      </c>
      <c r="F2528" t="s">
        <v>11488</v>
      </c>
      <c r="G2528" t="s">
        <v>11489</v>
      </c>
      <c r="H2528">
        <v>129.083789788882</v>
      </c>
      <c r="I2528">
        <v>35.232354148268101</v>
      </c>
      <c r="J2528">
        <v>230</v>
      </c>
      <c r="K2528" t="s">
        <v>11504</v>
      </c>
      <c r="L2528" t="s">
        <v>11504</v>
      </c>
      <c r="M2528" t="s">
        <v>11504</v>
      </c>
      <c r="N2528" t="s">
        <v>11504</v>
      </c>
      <c r="O2528" t="s">
        <v>3814</v>
      </c>
      <c r="P2528" t="s">
        <v>3814</v>
      </c>
      <c r="Q2528" t="s">
        <v>3814</v>
      </c>
      <c r="R2528" t="s">
        <v>11581</v>
      </c>
      <c r="U2528" t="s">
        <v>11582</v>
      </c>
    </row>
    <row r="2529" spans="1:21" x14ac:dyDescent="0.25">
      <c r="A2529" t="s">
        <v>11583</v>
      </c>
      <c r="B2529" t="s">
        <v>22</v>
      </c>
      <c r="C2529" t="s">
        <v>11584</v>
      </c>
      <c r="D2529">
        <f t="shared" si="70"/>
        <v>-7842</v>
      </c>
      <c r="E2529" t="s">
        <v>11585</v>
      </c>
      <c r="F2529" t="s">
        <v>11488</v>
      </c>
      <c r="G2529" t="s">
        <v>11489</v>
      </c>
      <c r="H2529">
        <v>127.22543400000001</v>
      </c>
      <c r="I2529">
        <v>37.545155999999999</v>
      </c>
      <c r="J2529">
        <v>230</v>
      </c>
      <c r="K2529" t="s">
        <v>536</v>
      </c>
      <c r="L2529" t="s">
        <v>536</v>
      </c>
      <c r="M2529" t="s">
        <v>536</v>
      </c>
      <c r="N2529" t="s">
        <v>536</v>
      </c>
      <c r="O2529" t="s">
        <v>536</v>
      </c>
      <c r="P2529" t="s">
        <v>536</v>
      </c>
      <c r="Q2529" t="s">
        <v>536</v>
      </c>
      <c r="R2529" t="s">
        <v>11586</v>
      </c>
      <c r="U2529" t="s">
        <v>11587</v>
      </c>
    </row>
    <row r="2530" spans="1:21" x14ac:dyDescent="0.25">
      <c r="A2530" t="s">
        <v>11588</v>
      </c>
      <c r="B2530" t="s">
        <v>22</v>
      </c>
      <c r="C2530" t="s">
        <v>11589</v>
      </c>
      <c r="D2530">
        <f t="shared" si="70"/>
        <v>-7842</v>
      </c>
      <c r="E2530" t="s">
        <v>11521</v>
      </c>
      <c r="F2530" t="s">
        <v>11488</v>
      </c>
      <c r="G2530" t="s">
        <v>11489</v>
      </c>
      <c r="H2530">
        <v>126.65889300000001</v>
      </c>
      <c r="I2530">
        <v>37.380628999999999</v>
      </c>
      <c r="J2530">
        <v>230</v>
      </c>
      <c r="K2530" t="s">
        <v>3814</v>
      </c>
      <c r="L2530" t="s">
        <v>3814</v>
      </c>
      <c r="M2530" t="s">
        <v>3814</v>
      </c>
      <c r="N2530" t="s">
        <v>3814</v>
      </c>
      <c r="O2530" t="s">
        <v>3814</v>
      </c>
      <c r="P2530" t="s">
        <v>3814</v>
      </c>
      <c r="Q2530" t="s">
        <v>3814</v>
      </c>
      <c r="R2530" t="s">
        <v>11590</v>
      </c>
      <c r="U2530" t="s">
        <v>11591</v>
      </c>
    </row>
    <row r="2531" spans="1:21" x14ac:dyDescent="0.25">
      <c r="A2531" t="s">
        <v>11592</v>
      </c>
      <c r="B2531" t="s">
        <v>22</v>
      </c>
      <c r="C2531" t="s">
        <v>11593</v>
      </c>
      <c r="D2531">
        <f t="shared" ref="D2531:D2540" si="71">82-15776347</f>
        <v>-15776265</v>
      </c>
      <c r="E2531" t="s">
        <v>11516</v>
      </c>
      <c r="F2531" t="s">
        <v>11488</v>
      </c>
      <c r="G2531" t="s">
        <v>11489</v>
      </c>
      <c r="H2531">
        <v>126.892897</v>
      </c>
      <c r="I2531">
        <v>37.646628</v>
      </c>
      <c r="J2531">
        <v>230</v>
      </c>
      <c r="K2531" t="s">
        <v>536</v>
      </c>
      <c r="L2531" t="s">
        <v>536</v>
      </c>
      <c r="M2531" t="s">
        <v>536</v>
      </c>
      <c r="N2531" t="s">
        <v>536</v>
      </c>
      <c r="O2531" t="s">
        <v>536</v>
      </c>
      <c r="P2531" t="s">
        <v>536</v>
      </c>
      <c r="Q2531" t="s">
        <v>536</v>
      </c>
      <c r="R2531" t="s">
        <v>11594</v>
      </c>
      <c r="U2531" t="s">
        <v>11595</v>
      </c>
    </row>
    <row r="2532" spans="1:21" x14ac:dyDescent="0.25">
      <c r="A2532" t="s">
        <v>11596</v>
      </c>
      <c r="B2532" t="s">
        <v>22</v>
      </c>
      <c r="C2532" t="s">
        <v>11597</v>
      </c>
      <c r="D2532">
        <f t="shared" si="71"/>
        <v>-15776265</v>
      </c>
      <c r="E2532" t="s">
        <v>11487</v>
      </c>
      <c r="F2532" t="s">
        <v>11488</v>
      </c>
      <c r="G2532" t="s">
        <v>11489</v>
      </c>
      <c r="H2532">
        <v>127.06189500000001</v>
      </c>
      <c r="I2532">
        <v>37.509529999999998</v>
      </c>
      <c r="J2532">
        <v>230</v>
      </c>
      <c r="K2532" t="s">
        <v>11504</v>
      </c>
      <c r="L2532" t="s">
        <v>11504</v>
      </c>
      <c r="M2532" t="s">
        <v>11504</v>
      </c>
      <c r="N2532" t="s">
        <v>11504</v>
      </c>
      <c r="O2532" t="s">
        <v>11504</v>
      </c>
      <c r="P2532" t="s">
        <v>11504</v>
      </c>
      <c r="Q2532" t="s">
        <v>11504</v>
      </c>
      <c r="R2532" t="s">
        <v>11598</v>
      </c>
      <c r="U2532" t="s">
        <v>11599</v>
      </c>
    </row>
    <row r="2533" spans="1:21" x14ac:dyDescent="0.25">
      <c r="A2533" t="s">
        <v>11600</v>
      </c>
      <c r="B2533" t="s">
        <v>22</v>
      </c>
      <c r="C2533" t="s">
        <v>11601</v>
      </c>
      <c r="D2533">
        <f t="shared" si="71"/>
        <v>-15776265</v>
      </c>
      <c r="E2533" t="s">
        <v>11602</v>
      </c>
      <c r="F2533" t="s">
        <v>11488</v>
      </c>
      <c r="G2533" t="s">
        <v>11489</v>
      </c>
      <c r="H2533">
        <v>127.37939002943</v>
      </c>
      <c r="I2533">
        <v>36.352076856736097</v>
      </c>
      <c r="J2533">
        <v>230</v>
      </c>
      <c r="K2533" t="s">
        <v>3814</v>
      </c>
      <c r="L2533" t="s">
        <v>3814</v>
      </c>
      <c r="M2533" t="s">
        <v>3814</v>
      </c>
      <c r="N2533" t="s">
        <v>3814</v>
      </c>
      <c r="O2533" t="s">
        <v>3814</v>
      </c>
      <c r="P2533" t="s">
        <v>3814</v>
      </c>
      <c r="Q2533" t="s">
        <v>3814</v>
      </c>
      <c r="R2533" t="s">
        <v>11603</v>
      </c>
      <c r="U2533" t="s">
        <v>11604</v>
      </c>
    </row>
    <row r="2534" spans="1:21" x14ac:dyDescent="0.25">
      <c r="A2534" t="s">
        <v>11605</v>
      </c>
      <c r="B2534" t="s">
        <v>38</v>
      </c>
      <c r="C2534" t="s">
        <v>11606</v>
      </c>
      <c r="D2534">
        <f t="shared" si="71"/>
        <v>-15776265</v>
      </c>
      <c r="E2534" t="s">
        <v>11607</v>
      </c>
      <c r="F2534" t="s">
        <v>11488</v>
      </c>
      <c r="G2534" t="s">
        <v>11489</v>
      </c>
      <c r="H2534">
        <v>127.25887056032199</v>
      </c>
      <c r="I2534">
        <v>36.500878159758599</v>
      </c>
      <c r="J2534">
        <v>230</v>
      </c>
      <c r="K2534" t="s">
        <v>11511</v>
      </c>
      <c r="L2534" t="s">
        <v>11511</v>
      </c>
      <c r="M2534" t="s">
        <v>11511</v>
      </c>
      <c r="N2534" t="s">
        <v>11511</v>
      </c>
      <c r="O2534" t="s">
        <v>11511</v>
      </c>
      <c r="P2534" t="s">
        <v>11511</v>
      </c>
      <c r="Q2534" t="s">
        <v>11511</v>
      </c>
      <c r="R2534" t="s">
        <v>11608</v>
      </c>
      <c r="U2534" t="s">
        <v>11609</v>
      </c>
    </row>
    <row r="2535" spans="1:21" x14ac:dyDescent="0.25">
      <c r="A2535" t="s">
        <v>11610</v>
      </c>
      <c r="B2535" t="s">
        <v>38</v>
      </c>
      <c r="C2535" t="s">
        <v>11611</v>
      </c>
      <c r="D2535">
        <f t="shared" si="71"/>
        <v>-15776265</v>
      </c>
      <c r="E2535" t="s">
        <v>11612</v>
      </c>
      <c r="F2535" t="s">
        <v>11488</v>
      </c>
      <c r="G2535" t="s">
        <v>11489</v>
      </c>
      <c r="H2535">
        <v>126.755183</v>
      </c>
      <c r="I2535">
        <v>37.504275</v>
      </c>
      <c r="J2535">
        <v>230</v>
      </c>
      <c r="K2535" t="s">
        <v>27</v>
      </c>
      <c r="L2535" t="s">
        <v>27</v>
      </c>
      <c r="M2535" t="s">
        <v>27</v>
      </c>
      <c r="N2535" t="s">
        <v>27</v>
      </c>
      <c r="O2535" t="s">
        <v>27</v>
      </c>
      <c r="P2535" t="s">
        <v>27</v>
      </c>
      <c r="Q2535" t="s">
        <v>27</v>
      </c>
      <c r="R2535" t="s">
        <v>11613</v>
      </c>
      <c r="U2535" t="s">
        <v>11614</v>
      </c>
    </row>
    <row r="2536" spans="1:21" x14ac:dyDescent="0.25">
      <c r="A2536" t="s">
        <v>11615</v>
      </c>
      <c r="B2536" t="s">
        <v>38</v>
      </c>
      <c r="C2536" t="s">
        <v>11616</v>
      </c>
      <c r="D2536">
        <f t="shared" si="71"/>
        <v>-15776265</v>
      </c>
      <c r="E2536" t="s">
        <v>11617</v>
      </c>
      <c r="F2536" t="s">
        <v>11488</v>
      </c>
      <c r="G2536" t="s">
        <v>11489</v>
      </c>
      <c r="H2536">
        <v>126.693</v>
      </c>
      <c r="I2536">
        <v>37.768000000000001</v>
      </c>
      <c r="J2536">
        <v>230</v>
      </c>
      <c r="K2536" t="s">
        <v>11511</v>
      </c>
      <c r="L2536" t="s">
        <v>11511</v>
      </c>
      <c r="M2536" t="s">
        <v>11511</v>
      </c>
      <c r="N2536" t="s">
        <v>11511</v>
      </c>
      <c r="O2536" t="s">
        <v>11504</v>
      </c>
      <c r="P2536" t="s">
        <v>11504</v>
      </c>
      <c r="Q2536" t="s">
        <v>11504</v>
      </c>
      <c r="R2536" t="s">
        <v>11618</v>
      </c>
      <c r="U2536" t="s">
        <v>11619</v>
      </c>
    </row>
    <row r="2537" spans="1:21" x14ac:dyDescent="0.25">
      <c r="A2537" t="s">
        <v>11620</v>
      </c>
      <c r="B2537" t="s">
        <v>22</v>
      </c>
      <c r="C2537" t="s">
        <v>11621</v>
      </c>
      <c r="D2537">
        <f t="shared" si="71"/>
        <v>-15776265</v>
      </c>
      <c r="E2537" t="s">
        <v>11487</v>
      </c>
      <c r="F2537" t="s">
        <v>11488</v>
      </c>
      <c r="G2537" t="s">
        <v>11489</v>
      </c>
      <c r="H2537">
        <v>127.0035819</v>
      </c>
      <c r="I2537">
        <v>37.504587899999997</v>
      </c>
      <c r="J2537">
        <v>230</v>
      </c>
      <c r="K2537" t="s">
        <v>11504</v>
      </c>
      <c r="L2537" t="s">
        <v>11504</v>
      </c>
      <c r="M2537" t="s">
        <v>11504</v>
      </c>
      <c r="N2537" t="s">
        <v>11504</v>
      </c>
      <c r="O2537" t="s">
        <v>11504</v>
      </c>
      <c r="P2537" t="s">
        <v>11504</v>
      </c>
      <c r="Q2537" t="s">
        <v>11504</v>
      </c>
      <c r="R2537" t="s">
        <v>11622</v>
      </c>
      <c r="U2537" t="s">
        <v>11623</v>
      </c>
    </row>
    <row r="2538" spans="1:21" x14ac:dyDescent="0.25">
      <c r="A2538" t="s">
        <v>11624</v>
      </c>
      <c r="B2538" t="s">
        <v>22</v>
      </c>
      <c r="C2538" t="s">
        <v>11625</v>
      </c>
      <c r="D2538">
        <f t="shared" si="71"/>
        <v>-15776265</v>
      </c>
      <c r="E2538" t="s">
        <v>11626</v>
      </c>
      <c r="F2538" t="s">
        <v>11488</v>
      </c>
      <c r="G2538" t="s">
        <v>11489</v>
      </c>
      <c r="H2538">
        <v>127.08032799999999</v>
      </c>
      <c r="I2538">
        <v>37.313873000000001</v>
      </c>
      <c r="J2538">
        <v>230</v>
      </c>
      <c r="K2538" t="s">
        <v>11504</v>
      </c>
      <c r="L2538" t="s">
        <v>11504</v>
      </c>
      <c r="M2538" t="s">
        <v>11504</v>
      </c>
      <c r="N2538" t="s">
        <v>11504</v>
      </c>
      <c r="O2538" t="s">
        <v>11504</v>
      </c>
      <c r="P2538" t="s">
        <v>11504</v>
      </c>
      <c r="Q2538" t="s">
        <v>11504</v>
      </c>
      <c r="R2538" t="s">
        <v>11627</v>
      </c>
      <c r="U2538" t="s">
        <v>11628</v>
      </c>
    </row>
    <row r="2539" spans="1:21" x14ac:dyDescent="0.25">
      <c r="A2539" t="s">
        <v>11629</v>
      </c>
      <c r="B2539" t="s">
        <v>38</v>
      </c>
      <c r="C2539" t="s">
        <v>11630</v>
      </c>
      <c r="D2539">
        <f t="shared" si="71"/>
        <v>-15776265</v>
      </c>
      <c r="E2539" t="s">
        <v>11631</v>
      </c>
      <c r="F2539" t="s">
        <v>11488</v>
      </c>
      <c r="G2539" t="s">
        <v>11489</v>
      </c>
      <c r="H2539">
        <v>128.6544087</v>
      </c>
      <c r="I2539">
        <v>35.239666800000002</v>
      </c>
      <c r="J2539">
        <v>230</v>
      </c>
      <c r="K2539" t="s">
        <v>2229</v>
      </c>
      <c r="L2539" t="s">
        <v>2229</v>
      </c>
      <c r="M2539" t="s">
        <v>2229</v>
      </c>
      <c r="N2539" t="s">
        <v>2229</v>
      </c>
      <c r="O2539" t="s">
        <v>2229</v>
      </c>
      <c r="P2539" t="s">
        <v>2229</v>
      </c>
      <c r="Q2539" t="s">
        <v>2229</v>
      </c>
      <c r="R2539" t="s">
        <v>11632</v>
      </c>
      <c r="U2539" t="s">
        <v>11633</v>
      </c>
    </row>
    <row r="2540" spans="1:21" x14ac:dyDescent="0.25">
      <c r="A2540" t="s">
        <v>11634</v>
      </c>
      <c r="B2540" t="s">
        <v>38</v>
      </c>
      <c r="C2540" t="s">
        <v>11635</v>
      </c>
      <c r="D2540">
        <f t="shared" si="71"/>
        <v>-15776265</v>
      </c>
      <c r="E2540" t="s">
        <v>11612</v>
      </c>
      <c r="F2540" t="s">
        <v>11488</v>
      </c>
      <c r="G2540" t="s">
        <v>11489</v>
      </c>
      <c r="H2540">
        <v>126.813671</v>
      </c>
      <c r="I2540">
        <v>37.460894000000003</v>
      </c>
      <c r="J2540">
        <v>230</v>
      </c>
      <c r="K2540" t="s">
        <v>536</v>
      </c>
      <c r="L2540" t="s">
        <v>536</v>
      </c>
      <c r="M2540" t="s">
        <v>536</v>
      </c>
      <c r="N2540" t="s">
        <v>536</v>
      </c>
      <c r="O2540" t="s">
        <v>536</v>
      </c>
      <c r="P2540" t="s">
        <v>536</v>
      </c>
      <c r="Q2540" t="s">
        <v>536</v>
      </c>
      <c r="R2540" t="s">
        <v>11636</v>
      </c>
      <c r="U2540" t="s">
        <v>11637</v>
      </c>
    </row>
    <row r="2541" spans="1:21" x14ac:dyDescent="0.25">
      <c r="A2541" t="s">
        <v>11638</v>
      </c>
      <c r="B2541" t="s">
        <v>38</v>
      </c>
      <c r="C2541" t="s">
        <v>11639</v>
      </c>
      <c r="E2541" t="s">
        <v>11509</v>
      </c>
      <c r="F2541" t="s">
        <v>11488</v>
      </c>
      <c r="G2541" t="s">
        <v>11489</v>
      </c>
      <c r="H2541">
        <v>128.91784799999999</v>
      </c>
      <c r="I2541">
        <v>35.093739999999997</v>
      </c>
      <c r="J2541">
        <v>230</v>
      </c>
      <c r="K2541" t="s">
        <v>536</v>
      </c>
      <c r="L2541" t="s">
        <v>536</v>
      </c>
      <c r="M2541" t="s">
        <v>536</v>
      </c>
      <c r="N2541" t="s">
        <v>536</v>
      </c>
      <c r="O2541" t="s">
        <v>536</v>
      </c>
      <c r="P2541" t="s">
        <v>536</v>
      </c>
      <c r="Q2541" t="s">
        <v>536</v>
      </c>
      <c r="R2541" t="s">
        <v>11640</v>
      </c>
      <c r="U2541" t="s">
        <v>11641</v>
      </c>
    </row>
    <row r="2542" spans="1:21" x14ac:dyDescent="0.25">
      <c r="A2542" t="s">
        <v>11642</v>
      </c>
      <c r="B2542" t="s">
        <v>22</v>
      </c>
      <c r="C2542" t="s">
        <v>11643</v>
      </c>
      <c r="E2542" t="s">
        <v>11644</v>
      </c>
      <c r="F2542" t="s">
        <v>11488</v>
      </c>
      <c r="G2542" t="s">
        <v>11489</v>
      </c>
      <c r="H2542">
        <v>127.1485</v>
      </c>
      <c r="I2542">
        <v>36.996499999999997</v>
      </c>
      <c r="J2542">
        <v>230</v>
      </c>
      <c r="K2542" t="s">
        <v>536</v>
      </c>
      <c r="L2542" t="s">
        <v>536</v>
      </c>
      <c r="M2542" t="s">
        <v>536</v>
      </c>
      <c r="N2542" t="s">
        <v>536</v>
      </c>
      <c r="O2542" t="s">
        <v>536</v>
      </c>
      <c r="P2542" t="s">
        <v>536</v>
      </c>
      <c r="Q2542" t="s">
        <v>536</v>
      </c>
      <c r="R2542" t="s">
        <v>11645</v>
      </c>
      <c r="U2542" t="s">
        <v>11646</v>
      </c>
    </row>
    <row r="2543" spans="1:21" x14ac:dyDescent="0.25">
      <c r="A2543" t="s">
        <v>11647</v>
      </c>
      <c r="B2543" t="s">
        <v>38</v>
      </c>
      <c r="C2543" t="s">
        <v>11648</v>
      </c>
      <c r="E2543" t="s">
        <v>11649</v>
      </c>
      <c r="F2543" t="s">
        <v>11488</v>
      </c>
      <c r="G2543" t="s">
        <v>11489</v>
      </c>
      <c r="H2543">
        <v>127.00010399999999</v>
      </c>
      <c r="I2543">
        <v>37.26681</v>
      </c>
      <c r="J2543">
        <v>230</v>
      </c>
      <c r="K2543" t="s">
        <v>11504</v>
      </c>
      <c r="L2543" t="s">
        <v>11504</v>
      </c>
      <c r="M2543" t="s">
        <v>11504</v>
      </c>
      <c r="N2543" t="s">
        <v>11504</v>
      </c>
      <c r="O2543" t="s">
        <v>11504</v>
      </c>
      <c r="P2543" t="s">
        <v>11504</v>
      </c>
      <c r="Q2543" t="s">
        <v>11504</v>
      </c>
      <c r="R2543" t="s">
        <v>11650</v>
      </c>
      <c r="U2543" t="s">
        <v>11651</v>
      </c>
    </row>
    <row r="2544" spans="1:21" x14ac:dyDescent="0.25">
      <c r="A2544" t="s">
        <v>11652</v>
      </c>
      <c r="B2544" t="s">
        <v>22</v>
      </c>
      <c r="C2544" t="s">
        <v>11653</v>
      </c>
      <c r="D2544">
        <f>965-22214732</f>
        <v>-22213767</v>
      </c>
      <c r="E2544" t="s">
        <v>11654</v>
      </c>
      <c r="F2544" t="s">
        <v>11655</v>
      </c>
      <c r="G2544" t="s">
        <v>11656</v>
      </c>
      <c r="H2544">
        <v>48.065826000000001</v>
      </c>
      <c r="I2544">
        <v>29.339055999999999</v>
      </c>
      <c r="J2544">
        <v>158</v>
      </c>
      <c r="K2544" t="s">
        <v>27</v>
      </c>
      <c r="L2544" t="s">
        <v>27</v>
      </c>
      <c r="M2544" t="s">
        <v>27</v>
      </c>
      <c r="N2544" t="s">
        <v>34</v>
      </c>
      <c r="O2544" t="s">
        <v>34</v>
      </c>
      <c r="P2544" t="s">
        <v>27</v>
      </c>
      <c r="Q2544" t="s">
        <v>27</v>
      </c>
      <c r="R2544" t="s">
        <v>11653</v>
      </c>
      <c r="S2544" t="s">
        <v>11657</v>
      </c>
      <c r="U2544" t="s">
        <v>11658</v>
      </c>
    </row>
    <row r="2545" spans="1:21" x14ac:dyDescent="0.25">
      <c r="A2545" t="s">
        <v>11659</v>
      </c>
      <c r="B2545" t="s">
        <v>38</v>
      </c>
      <c r="C2545" t="s">
        <v>11660</v>
      </c>
      <c r="D2545">
        <f>965-22214807</f>
        <v>-22213842</v>
      </c>
      <c r="E2545" t="s">
        <v>11654</v>
      </c>
      <c r="F2545" t="s">
        <v>11655</v>
      </c>
      <c r="G2545" t="s">
        <v>11656</v>
      </c>
      <c r="H2545">
        <v>47.981268</v>
      </c>
      <c r="I2545">
        <v>29.388921</v>
      </c>
      <c r="J2545">
        <v>158</v>
      </c>
      <c r="K2545" t="s">
        <v>27</v>
      </c>
      <c r="L2545" t="s">
        <v>27</v>
      </c>
      <c r="M2545" t="s">
        <v>27</v>
      </c>
      <c r="N2545" t="s">
        <v>34</v>
      </c>
      <c r="O2545" t="s">
        <v>34</v>
      </c>
      <c r="P2545" t="s">
        <v>27</v>
      </c>
      <c r="Q2545" t="s">
        <v>27</v>
      </c>
      <c r="R2545" t="s">
        <v>11660</v>
      </c>
      <c r="S2545" t="s">
        <v>11661</v>
      </c>
      <c r="U2545" t="s">
        <v>11662</v>
      </c>
    </row>
    <row r="2546" spans="1:21" x14ac:dyDescent="0.25">
      <c r="A2546" t="s">
        <v>11663</v>
      </c>
      <c r="B2546" t="s">
        <v>38</v>
      </c>
      <c r="C2546" t="s">
        <v>11664</v>
      </c>
      <c r="D2546">
        <f>965-22581460</f>
        <v>-22580495</v>
      </c>
      <c r="E2546" t="s">
        <v>11654</v>
      </c>
      <c r="F2546" t="s">
        <v>11655</v>
      </c>
      <c r="G2546" t="s">
        <v>11656</v>
      </c>
      <c r="H2546">
        <v>47.673358999999998</v>
      </c>
      <c r="I2546">
        <v>29.348261000000001</v>
      </c>
      <c r="J2546">
        <v>158</v>
      </c>
      <c r="K2546" t="s">
        <v>27</v>
      </c>
      <c r="L2546" t="s">
        <v>27</v>
      </c>
      <c r="M2546" t="s">
        <v>27</v>
      </c>
      <c r="N2546" t="s">
        <v>27</v>
      </c>
      <c r="O2546" t="s">
        <v>10939</v>
      </c>
      <c r="P2546" t="s">
        <v>27</v>
      </c>
      <c r="Q2546" t="s">
        <v>27</v>
      </c>
      <c r="R2546" t="s">
        <v>11664</v>
      </c>
      <c r="U2546" t="s">
        <v>11665</v>
      </c>
    </row>
    <row r="2547" spans="1:21" x14ac:dyDescent="0.25">
      <c r="A2547" t="s">
        <v>11666</v>
      </c>
      <c r="B2547" t="s">
        <v>32</v>
      </c>
      <c r="C2547" t="s">
        <v>11667</v>
      </c>
      <c r="D2547">
        <f>965-22283059</f>
        <v>-22282094</v>
      </c>
      <c r="E2547" t="s">
        <v>11654</v>
      </c>
      <c r="F2547" t="s">
        <v>11655</v>
      </c>
      <c r="G2547" t="s">
        <v>11656</v>
      </c>
      <c r="H2547">
        <v>47.938442999999999</v>
      </c>
      <c r="I2547">
        <v>29.303028999999999</v>
      </c>
      <c r="J2547">
        <v>158</v>
      </c>
      <c r="K2547" t="s">
        <v>34</v>
      </c>
      <c r="L2547" t="s">
        <v>34</v>
      </c>
      <c r="M2547" t="s">
        <v>34</v>
      </c>
      <c r="N2547" t="s">
        <v>28</v>
      </c>
      <c r="O2547" t="s">
        <v>28</v>
      </c>
      <c r="P2547" t="s">
        <v>28</v>
      </c>
      <c r="Q2547" t="s">
        <v>34</v>
      </c>
      <c r="R2547" t="s">
        <v>11667</v>
      </c>
      <c r="S2547" t="s">
        <v>11668</v>
      </c>
      <c r="U2547" t="s">
        <v>11669</v>
      </c>
    </row>
    <row r="2548" spans="1:21" x14ac:dyDescent="0.25">
      <c r="A2548" t="s">
        <v>11670</v>
      </c>
      <c r="B2548" t="s">
        <v>22</v>
      </c>
      <c r="C2548" t="s">
        <v>11671</v>
      </c>
      <c r="D2548">
        <f>965-220801208</f>
        <v>-220800243</v>
      </c>
      <c r="E2548" t="s">
        <v>11654</v>
      </c>
      <c r="F2548" t="s">
        <v>11655</v>
      </c>
      <c r="G2548" t="s">
        <v>11656</v>
      </c>
      <c r="H2548">
        <v>48.039135000000002</v>
      </c>
      <c r="I2548">
        <v>29.276302000000001</v>
      </c>
      <c r="J2548">
        <v>158</v>
      </c>
      <c r="K2548" t="s">
        <v>27</v>
      </c>
      <c r="L2548" t="s">
        <v>27</v>
      </c>
      <c r="M2548" t="s">
        <v>27</v>
      </c>
      <c r="N2548" t="s">
        <v>34</v>
      </c>
      <c r="O2548" t="s">
        <v>34</v>
      </c>
      <c r="P2548" t="s">
        <v>27</v>
      </c>
      <c r="Q2548" t="s">
        <v>27</v>
      </c>
      <c r="R2548" t="s">
        <v>11671</v>
      </c>
      <c r="S2548" t="s">
        <v>11672</v>
      </c>
      <c r="U2548" t="s">
        <v>11673</v>
      </c>
    </row>
    <row r="2549" spans="1:21" x14ac:dyDescent="0.25">
      <c r="A2549" t="s">
        <v>11674</v>
      </c>
      <c r="B2549" t="s">
        <v>22</v>
      </c>
      <c r="C2549" t="s">
        <v>11675</v>
      </c>
      <c r="D2549">
        <f>965-22581963</f>
        <v>-22580998</v>
      </c>
      <c r="E2549" t="s">
        <v>11654</v>
      </c>
      <c r="F2549" t="s">
        <v>11655</v>
      </c>
      <c r="G2549" t="s">
        <v>11656</v>
      </c>
      <c r="H2549">
        <v>48.099232999999998</v>
      </c>
      <c r="I2549">
        <v>29.173539000000002</v>
      </c>
      <c r="J2549">
        <v>158</v>
      </c>
      <c r="K2549" t="s">
        <v>27</v>
      </c>
      <c r="L2549" t="s">
        <v>27</v>
      </c>
      <c r="M2549" t="s">
        <v>27</v>
      </c>
      <c r="N2549" t="s">
        <v>34</v>
      </c>
      <c r="O2549" t="s">
        <v>34</v>
      </c>
      <c r="P2549" t="s">
        <v>27</v>
      </c>
      <c r="Q2549" t="s">
        <v>27</v>
      </c>
      <c r="R2549" t="s">
        <v>11675</v>
      </c>
      <c r="U2549" t="s">
        <v>11676</v>
      </c>
    </row>
    <row r="2550" spans="1:21" x14ac:dyDescent="0.25">
      <c r="A2550" t="s">
        <v>11677</v>
      </c>
      <c r="B2550" t="s">
        <v>22</v>
      </c>
      <c r="C2550" t="s">
        <v>11678</v>
      </c>
      <c r="D2550">
        <f>965-22081115</f>
        <v>-22080150</v>
      </c>
      <c r="E2550" t="s">
        <v>11654</v>
      </c>
      <c r="F2550" t="s">
        <v>11655</v>
      </c>
      <c r="G2550" t="s">
        <v>11656</v>
      </c>
      <c r="H2550">
        <v>48.073492999999999</v>
      </c>
      <c r="I2550">
        <v>29.341725</v>
      </c>
      <c r="J2550">
        <v>158</v>
      </c>
      <c r="K2550" t="s">
        <v>27</v>
      </c>
      <c r="L2550" t="s">
        <v>27</v>
      </c>
      <c r="M2550" t="s">
        <v>27</v>
      </c>
      <c r="N2550" t="s">
        <v>34</v>
      </c>
      <c r="O2550" t="s">
        <v>34</v>
      </c>
      <c r="P2550" t="s">
        <v>34</v>
      </c>
      <c r="Q2550" t="s">
        <v>27</v>
      </c>
      <c r="R2550" t="s">
        <v>11678</v>
      </c>
      <c r="S2550" t="s">
        <v>11679</v>
      </c>
      <c r="U2550" t="s">
        <v>11680</v>
      </c>
    </row>
    <row r="2551" spans="1:21" x14ac:dyDescent="0.25">
      <c r="A2551" t="s">
        <v>11681</v>
      </c>
      <c r="B2551" t="s">
        <v>38</v>
      </c>
      <c r="C2551" t="s">
        <v>11682</v>
      </c>
      <c r="D2551">
        <f>965-22081330</f>
        <v>-22080365</v>
      </c>
      <c r="E2551" t="s">
        <v>11654</v>
      </c>
      <c r="F2551" t="s">
        <v>11655</v>
      </c>
      <c r="G2551" t="s">
        <v>11656</v>
      </c>
      <c r="H2551">
        <v>48.138331000000001</v>
      </c>
      <c r="I2551">
        <v>29.080393999999998</v>
      </c>
      <c r="J2551">
        <v>158</v>
      </c>
      <c r="K2551" t="s">
        <v>27</v>
      </c>
      <c r="L2551" t="s">
        <v>27</v>
      </c>
      <c r="M2551" t="s">
        <v>27</v>
      </c>
      <c r="N2551" t="s">
        <v>27</v>
      </c>
      <c r="O2551" t="s">
        <v>27</v>
      </c>
      <c r="P2551" t="s">
        <v>27</v>
      </c>
      <c r="Q2551" t="s">
        <v>27</v>
      </c>
      <c r="R2551" t="s">
        <v>11682</v>
      </c>
      <c r="U2551" t="s">
        <v>11683</v>
      </c>
    </row>
    <row r="2552" spans="1:21" x14ac:dyDescent="0.25">
      <c r="A2552" t="s">
        <v>11684</v>
      </c>
      <c r="B2552" t="s">
        <v>22</v>
      </c>
      <c r="C2552" t="s">
        <v>11685</v>
      </c>
      <c r="D2552">
        <f>965-22081427</f>
        <v>-22080462</v>
      </c>
      <c r="E2552" t="s">
        <v>11686</v>
      </c>
      <c r="F2552" t="s">
        <v>11655</v>
      </c>
      <c r="G2552" t="s">
        <v>11656</v>
      </c>
      <c r="H2552">
        <v>48.142380000000003</v>
      </c>
      <c r="I2552">
        <v>29.080068000000001</v>
      </c>
      <c r="J2552">
        <v>158</v>
      </c>
      <c r="K2552" t="s">
        <v>27</v>
      </c>
      <c r="L2552" t="s">
        <v>27</v>
      </c>
      <c r="M2552" t="s">
        <v>27</v>
      </c>
      <c r="N2552" t="s">
        <v>34</v>
      </c>
      <c r="O2552" t="s">
        <v>34</v>
      </c>
      <c r="P2552" t="s">
        <v>34</v>
      </c>
      <c r="Q2552" t="s">
        <v>27</v>
      </c>
      <c r="R2552" t="s">
        <v>11685</v>
      </c>
      <c r="U2552" t="s">
        <v>11687</v>
      </c>
    </row>
    <row r="2553" spans="1:21" x14ac:dyDescent="0.25">
      <c r="A2553" t="s">
        <v>11688</v>
      </c>
      <c r="B2553" t="s">
        <v>32</v>
      </c>
      <c r="C2553" t="s">
        <v>11668</v>
      </c>
      <c r="E2553" t="s">
        <v>11654</v>
      </c>
      <c r="F2553" t="s">
        <v>11655</v>
      </c>
      <c r="G2553" t="s">
        <v>11656</v>
      </c>
      <c r="H2553">
        <v>47.932108999999997</v>
      </c>
      <c r="I2553">
        <v>29.302102999999999</v>
      </c>
      <c r="J2553">
        <v>158</v>
      </c>
      <c r="K2553" t="s">
        <v>34</v>
      </c>
      <c r="L2553" t="s">
        <v>34</v>
      </c>
      <c r="M2553" t="s">
        <v>34</v>
      </c>
      <c r="N2553" t="s">
        <v>28</v>
      </c>
      <c r="O2553" t="s">
        <v>28</v>
      </c>
      <c r="P2553" t="s">
        <v>28</v>
      </c>
      <c r="Q2553" t="s">
        <v>34</v>
      </c>
      <c r="R2553" t="s">
        <v>11668</v>
      </c>
      <c r="S2553" t="s">
        <v>11689</v>
      </c>
      <c r="U2553" t="s">
        <v>11690</v>
      </c>
    </row>
    <row r="2554" spans="1:21" x14ac:dyDescent="0.25">
      <c r="A2554" t="s">
        <v>11691</v>
      </c>
      <c r="B2554" t="s">
        <v>32</v>
      </c>
      <c r="C2554" t="s">
        <v>11668</v>
      </c>
      <c r="D2554">
        <f>965-22283459</f>
        <v>-22282494</v>
      </c>
      <c r="E2554" t="s">
        <v>11654</v>
      </c>
      <c r="F2554" t="s">
        <v>11655</v>
      </c>
      <c r="G2554" t="s">
        <v>11656</v>
      </c>
      <c r="H2554">
        <v>47.940471000000002</v>
      </c>
      <c r="I2554">
        <v>29.304442000000002</v>
      </c>
      <c r="J2554">
        <v>158</v>
      </c>
      <c r="K2554" t="s">
        <v>34</v>
      </c>
      <c r="L2554" t="s">
        <v>34</v>
      </c>
      <c r="M2554" t="s">
        <v>34</v>
      </c>
      <c r="N2554" t="s">
        <v>28</v>
      </c>
      <c r="O2554" t="s">
        <v>28</v>
      </c>
      <c r="P2554" t="s">
        <v>28</v>
      </c>
      <c r="Q2554" t="s">
        <v>34</v>
      </c>
      <c r="R2554" t="s">
        <v>11668</v>
      </c>
      <c r="U2554" t="s">
        <v>11692</v>
      </c>
    </row>
    <row r="2555" spans="1:21" x14ac:dyDescent="0.25">
      <c r="A2555" t="s">
        <v>11693</v>
      </c>
      <c r="B2555" t="s">
        <v>38</v>
      </c>
      <c r="C2555" t="s">
        <v>11694</v>
      </c>
      <c r="D2555">
        <f>965-2214856</f>
        <v>-2213891</v>
      </c>
      <c r="E2555" t="s">
        <v>11654</v>
      </c>
      <c r="F2555" t="s">
        <v>11655</v>
      </c>
      <c r="G2555" t="s">
        <v>11656</v>
      </c>
      <c r="H2555">
        <v>48.011093000000002</v>
      </c>
      <c r="I2555">
        <v>29.346444999999999</v>
      </c>
      <c r="J2555">
        <v>158</v>
      </c>
      <c r="K2555" t="s">
        <v>27</v>
      </c>
      <c r="L2555" t="s">
        <v>27</v>
      </c>
      <c r="M2555" t="s">
        <v>27</v>
      </c>
      <c r="N2555" t="s">
        <v>27</v>
      </c>
      <c r="O2555" t="s">
        <v>27</v>
      </c>
      <c r="P2555" t="s">
        <v>27</v>
      </c>
      <c r="Q2555" t="s">
        <v>27</v>
      </c>
      <c r="R2555" t="s">
        <v>11694</v>
      </c>
      <c r="U2555" t="s">
        <v>11695</v>
      </c>
    </row>
    <row r="2556" spans="1:21" x14ac:dyDescent="0.25">
      <c r="A2556" t="s">
        <v>11696</v>
      </c>
      <c r="B2556" t="s">
        <v>32</v>
      </c>
      <c r="C2556" t="s">
        <v>11697</v>
      </c>
      <c r="E2556" t="s">
        <v>11654</v>
      </c>
      <c r="F2556" t="s">
        <v>11655</v>
      </c>
      <c r="G2556" t="s">
        <v>11656</v>
      </c>
      <c r="H2556">
        <v>47.9335448637909</v>
      </c>
      <c r="I2556">
        <v>29.302805773119001</v>
      </c>
      <c r="J2556">
        <v>158</v>
      </c>
      <c r="R2556" t="s">
        <v>11697</v>
      </c>
      <c r="S2556" t="s">
        <v>11698</v>
      </c>
      <c r="U2556" t="s">
        <v>11699</v>
      </c>
    </row>
    <row r="2557" spans="1:21" x14ac:dyDescent="0.25">
      <c r="A2557" t="s">
        <v>11700</v>
      </c>
      <c r="B2557" t="s">
        <v>2322</v>
      </c>
      <c r="C2557" t="s">
        <v>11701</v>
      </c>
      <c r="D2557">
        <f>7-7272321434</f>
        <v>-7272321427</v>
      </c>
      <c r="E2557" t="s">
        <v>11702</v>
      </c>
      <c r="F2557" t="s">
        <v>11703</v>
      </c>
      <c r="G2557" t="s">
        <v>11704</v>
      </c>
      <c r="H2557">
        <v>76.892106146557495</v>
      </c>
      <c r="I2557">
        <v>43.202215852359799</v>
      </c>
      <c r="J2557">
        <v>195</v>
      </c>
      <c r="K2557" t="s">
        <v>27</v>
      </c>
      <c r="L2557" t="s">
        <v>27</v>
      </c>
      <c r="M2557" t="s">
        <v>27</v>
      </c>
      <c r="N2557" t="s">
        <v>27</v>
      </c>
      <c r="O2557" t="s">
        <v>27</v>
      </c>
      <c r="P2557" t="s">
        <v>27</v>
      </c>
      <c r="Q2557" t="s">
        <v>27</v>
      </c>
      <c r="R2557" t="s">
        <v>11701</v>
      </c>
      <c r="S2557" t="s">
        <v>11705</v>
      </c>
      <c r="T2557" t="s">
        <v>11702</v>
      </c>
      <c r="U2557" t="s">
        <v>11706</v>
      </c>
    </row>
    <row r="2558" spans="1:21" x14ac:dyDescent="0.25">
      <c r="A2558" t="s">
        <v>11707</v>
      </c>
      <c r="B2558" t="s">
        <v>2322</v>
      </c>
      <c r="C2558" t="s">
        <v>11708</v>
      </c>
      <c r="D2558">
        <f>7-717-2738397</f>
        <v>-2739107</v>
      </c>
      <c r="E2558" t="s">
        <v>11709</v>
      </c>
      <c r="F2558" t="s">
        <v>11703</v>
      </c>
      <c r="G2558" t="s">
        <v>11704</v>
      </c>
      <c r="H2558">
        <v>71.407956889477404</v>
      </c>
      <c r="I2558">
        <v>51.089199483970198</v>
      </c>
      <c r="J2558">
        <v>195</v>
      </c>
      <c r="K2558" t="s">
        <v>27</v>
      </c>
      <c r="L2558" t="s">
        <v>27</v>
      </c>
      <c r="M2558" t="s">
        <v>27</v>
      </c>
      <c r="N2558" t="s">
        <v>27</v>
      </c>
      <c r="O2558" t="s">
        <v>27</v>
      </c>
      <c r="P2558" t="s">
        <v>27</v>
      </c>
      <c r="Q2558" t="s">
        <v>27</v>
      </c>
      <c r="R2558" t="s">
        <v>11708</v>
      </c>
      <c r="S2558" t="s">
        <v>11710</v>
      </c>
      <c r="U2558" t="s">
        <v>11711</v>
      </c>
    </row>
    <row r="2559" spans="1:21" x14ac:dyDescent="0.25">
      <c r="A2559" t="s">
        <v>11712</v>
      </c>
      <c r="B2559" t="s">
        <v>22</v>
      </c>
      <c r="C2559" t="s">
        <v>11713</v>
      </c>
      <c r="D2559">
        <f>7-7273210534</f>
        <v>-7273210527</v>
      </c>
      <c r="E2559" t="s">
        <v>11702</v>
      </c>
      <c r="F2559" t="s">
        <v>11703</v>
      </c>
      <c r="G2559" t="s">
        <v>11704</v>
      </c>
      <c r="H2559">
        <v>76.931886431823699</v>
      </c>
      <c r="I2559">
        <v>43.254795155469502</v>
      </c>
      <c r="J2559">
        <v>195</v>
      </c>
      <c r="K2559" t="s">
        <v>27</v>
      </c>
      <c r="L2559" t="s">
        <v>27</v>
      </c>
      <c r="M2559" t="s">
        <v>27</v>
      </c>
      <c r="N2559" t="s">
        <v>27</v>
      </c>
      <c r="O2559" t="s">
        <v>27</v>
      </c>
      <c r="P2559" t="s">
        <v>27</v>
      </c>
      <c r="Q2559" t="s">
        <v>27</v>
      </c>
      <c r="R2559" t="s">
        <v>11713</v>
      </c>
      <c r="S2559" t="s">
        <v>11714</v>
      </c>
      <c r="T2559" t="s">
        <v>11702</v>
      </c>
      <c r="U2559" t="s">
        <v>11715</v>
      </c>
    </row>
    <row r="2560" spans="1:21" x14ac:dyDescent="0.25">
      <c r="A2560" t="s">
        <v>11716</v>
      </c>
      <c r="B2560" t="s">
        <v>38</v>
      </c>
      <c r="C2560" t="s">
        <v>11717</v>
      </c>
      <c r="D2560">
        <f>7-7273121400</f>
        <v>-7273121393</v>
      </c>
      <c r="E2560" t="s">
        <v>11702</v>
      </c>
      <c r="F2560" t="s">
        <v>11703</v>
      </c>
      <c r="G2560" t="s">
        <v>11704</v>
      </c>
      <c r="H2560">
        <v>76.777265999999997</v>
      </c>
      <c r="I2560">
        <v>43.233862999999999</v>
      </c>
      <c r="J2560">
        <v>195</v>
      </c>
      <c r="K2560" t="s">
        <v>27</v>
      </c>
      <c r="L2560" t="s">
        <v>27</v>
      </c>
      <c r="M2560" t="s">
        <v>27</v>
      </c>
      <c r="N2560" t="s">
        <v>27</v>
      </c>
      <c r="O2560" t="s">
        <v>27</v>
      </c>
      <c r="P2560" t="s">
        <v>27</v>
      </c>
      <c r="Q2560" t="s">
        <v>27</v>
      </c>
      <c r="R2560" t="s">
        <v>11717</v>
      </c>
      <c r="S2560" t="s">
        <v>11718</v>
      </c>
      <c r="T2560" t="s">
        <v>11702</v>
      </c>
      <c r="U2560" t="s">
        <v>11719</v>
      </c>
    </row>
    <row r="2561" spans="1:21" x14ac:dyDescent="0.25">
      <c r="A2561" t="s">
        <v>11720</v>
      </c>
      <c r="B2561" t="s">
        <v>38</v>
      </c>
      <c r="C2561" t="s">
        <v>11721</v>
      </c>
      <c r="E2561" t="s">
        <v>11702</v>
      </c>
      <c r="F2561" t="s">
        <v>11703</v>
      </c>
      <c r="G2561" t="s">
        <v>11704</v>
      </c>
      <c r="H2561">
        <v>76.935698000000002</v>
      </c>
      <c r="I2561">
        <v>43.23321</v>
      </c>
      <c r="J2561">
        <v>195</v>
      </c>
      <c r="K2561" t="s">
        <v>27</v>
      </c>
      <c r="L2561" t="s">
        <v>27</v>
      </c>
      <c r="M2561" t="s">
        <v>27</v>
      </c>
      <c r="N2561" t="s">
        <v>27</v>
      </c>
      <c r="O2561" t="s">
        <v>27</v>
      </c>
      <c r="P2561" t="s">
        <v>27</v>
      </c>
      <c r="Q2561" t="s">
        <v>27</v>
      </c>
      <c r="R2561" t="s">
        <v>11721</v>
      </c>
      <c r="S2561" t="s">
        <v>11722</v>
      </c>
      <c r="T2561" t="s">
        <v>11702</v>
      </c>
      <c r="U2561" t="s">
        <v>11723</v>
      </c>
    </row>
    <row r="2562" spans="1:21" x14ac:dyDescent="0.25">
      <c r="A2562" t="s">
        <v>11724</v>
      </c>
      <c r="B2562" t="s">
        <v>38</v>
      </c>
      <c r="C2562" t="s">
        <v>11725</v>
      </c>
      <c r="E2562" t="s">
        <v>11726</v>
      </c>
      <c r="F2562" t="s">
        <v>11703</v>
      </c>
      <c r="G2562" t="s">
        <v>11704</v>
      </c>
      <c r="H2562">
        <v>71.389304999999993</v>
      </c>
      <c r="I2562">
        <v>42.899960999999998</v>
      </c>
      <c r="J2562">
        <v>195</v>
      </c>
      <c r="K2562" t="s">
        <v>27</v>
      </c>
      <c r="L2562" t="s">
        <v>27</v>
      </c>
      <c r="M2562" t="s">
        <v>27</v>
      </c>
      <c r="N2562" t="s">
        <v>27</v>
      </c>
      <c r="O2562" t="s">
        <v>27</v>
      </c>
      <c r="P2562" t="s">
        <v>27</v>
      </c>
      <c r="Q2562" t="s">
        <v>27</v>
      </c>
      <c r="R2562" t="s">
        <v>11725</v>
      </c>
      <c r="S2562" t="s">
        <v>11727</v>
      </c>
      <c r="T2562" t="s">
        <v>11726</v>
      </c>
      <c r="U2562" t="s">
        <v>11728</v>
      </c>
    </row>
    <row r="2563" spans="1:21" x14ac:dyDescent="0.25">
      <c r="A2563" t="s">
        <v>11729</v>
      </c>
      <c r="B2563" t="s">
        <v>22</v>
      </c>
      <c r="C2563" t="s">
        <v>11730</v>
      </c>
      <c r="D2563">
        <f>961-1282418</f>
        <v>-1281457</v>
      </c>
      <c r="E2563" t="s">
        <v>11731</v>
      </c>
      <c r="F2563" t="s">
        <v>11732</v>
      </c>
      <c r="G2563" t="s">
        <v>11733</v>
      </c>
      <c r="H2563">
        <v>35.529398</v>
      </c>
      <c r="I2563">
        <v>33.862032999999997</v>
      </c>
      <c r="J2563">
        <v>115</v>
      </c>
      <c r="K2563" t="s">
        <v>27</v>
      </c>
      <c r="L2563" t="s">
        <v>27</v>
      </c>
      <c r="M2563" t="s">
        <v>27</v>
      </c>
      <c r="N2563" t="s">
        <v>27</v>
      </c>
      <c r="O2563" t="s">
        <v>28</v>
      </c>
      <c r="P2563" t="s">
        <v>28</v>
      </c>
      <c r="Q2563" t="s">
        <v>27</v>
      </c>
      <c r="R2563" t="s">
        <v>11730</v>
      </c>
      <c r="S2563" t="s">
        <v>11734</v>
      </c>
      <c r="U2563" t="s">
        <v>11735</v>
      </c>
    </row>
    <row r="2564" spans="1:21" x14ac:dyDescent="0.25">
      <c r="A2564" t="s">
        <v>11736</v>
      </c>
      <c r="B2564" t="s">
        <v>38</v>
      </c>
      <c r="C2564" t="s">
        <v>11737</v>
      </c>
      <c r="D2564">
        <f>961-757260</f>
        <v>-756299</v>
      </c>
      <c r="E2564" t="s">
        <v>11731</v>
      </c>
      <c r="F2564" t="s">
        <v>11732</v>
      </c>
      <c r="G2564" t="s">
        <v>11733</v>
      </c>
      <c r="H2564">
        <v>35.489528999999997</v>
      </c>
      <c r="I2564">
        <v>33.801485</v>
      </c>
      <c r="J2564">
        <v>158</v>
      </c>
      <c r="K2564" t="s">
        <v>27</v>
      </c>
      <c r="L2564" t="s">
        <v>27</v>
      </c>
      <c r="M2564" t="s">
        <v>27</v>
      </c>
      <c r="N2564" t="s">
        <v>27</v>
      </c>
      <c r="O2564" t="s">
        <v>27</v>
      </c>
      <c r="P2564" t="s">
        <v>27</v>
      </c>
      <c r="Q2564" t="s">
        <v>27</v>
      </c>
      <c r="R2564" t="s">
        <v>11737</v>
      </c>
      <c r="U2564" t="s">
        <v>11738</v>
      </c>
    </row>
    <row r="2565" spans="1:21" x14ac:dyDescent="0.25">
      <c r="A2565" t="s">
        <v>11739</v>
      </c>
      <c r="B2565" t="s">
        <v>22</v>
      </c>
      <c r="C2565" t="s">
        <v>11740</v>
      </c>
      <c r="D2565">
        <f>370-52190754</f>
        <v>-52190384</v>
      </c>
      <c r="E2565" t="s">
        <v>11741</v>
      </c>
      <c r="F2565" t="s">
        <v>11742</v>
      </c>
      <c r="G2565" t="s">
        <v>11743</v>
      </c>
      <c r="H2565">
        <v>25.263374225994699</v>
      </c>
      <c r="I2565">
        <v>54.710648029340497</v>
      </c>
      <c r="J2565">
        <v>115</v>
      </c>
      <c r="K2565" t="s">
        <v>27</v>
      </c>
      <c r="L2565" t="s">
        <v>27</v>
      </c>
      <c r="M2565" t="s">
        <v>27</v>
      </c>
      <c r="N2565" t="s">
        <v>27</v>
      </c>
      <c r="O2565" t="s">
        <v>27</v>
      </c>
      <c r="P2565" t="s">
        <v>27</v>
      </c>
      <c r="Q2565" t="s">
        <v>27</v>
      </c>
      <c r="R2565" t="s">
        <v>11740</v>
      </c>
      <c r="S2565" t="s">
        <v>11744</v>
      </c>
      <c r="U2565" t="s">
        <v>11745</v>
      </c>
    </row>
    <row r="2566" spans="1:21" x14ac:dyDescent="0.25">
      <c r="A2566" t="s">
        <v>11746</v>
      </c>
      <c r="B2566" t="s">
        <v>22</v>
      </c>
      <c r="C2566" t="s">
        <v>11740</v>
      </c>
      <c r="D2566">
        <f>370-46390613</f>
        <v>-46390243</v>
      </c>
      <c r="E2566" t="s">
        <v>11747</v>
      </c>
      <c r="F2566" t="s">
        <v>11742</v>
      </c>
      <c r="G2566" t="s">
        <v>11743</v>
      </c>
      <c r="H2566">
        <v>21.157445586261002</v>
      </c>
      <c r="I2566">
        <v>55.693823106289699</v>
      </c>
      <c r="J2566">
        <v>115</v>
      </c>
      <c r="K2566" t="s">
        <v>536</v>
      </c>
      <c r="L2566" t="s">
        <v>536</v>
      </c>
      <c r="M2566" t="s">
        <v>536</v>
      </c>
      <c r="N2566" t="s">
        <v>536</v>
      </c>
      <c r="O2566" t="s">
        <v>536</v>
      </c>
      <c r="P2566" t="s">
        <v>536</v>
      </c>
      <c r="Q2566" t="s">
        <v>536</v>
      </c>
      <c r="R2566" t="s">
        <v>11740</v>
      </c>
      <c r="S2566" t="s">
        <v>11748</v>
      </c>
      <c r="U2566" t="s">
        <v>11749</v>
      </c>
    </row>
    <row r="2567" spans="1:21" x14ac:dyDescent="0.25">
      <c r="A2567" t="s">
        <v>11750</v>
      </c>
      <c r="B2567" t="s">
        <v>22</v>
      </c>
      <c r="C2567" t="s">
        <v>11751</v>
      </c>
      <c r="D2567">
        <f>370-52503571</f>
        <v>-52503201</v>
      </c>
      <c r="E2567" t="s">
        <v>11741</v>
      </c>
      <c r="F2567" t="s">
        <v>11742</v>
      </c>
      <c r="G2567" t="s">
        <v>11743</v>
      </c>
      <c r="H2567">
        <v>25.257850035064699</v>
      </c>
      <c r="I2567">
        <v>54.700955494109103</v>
      </c>
      <c r="J2567">
        <v>115</v>
      </c>
      <c r="K2567" t="s">
        <v>27</v>
      </c>
      <c r="L2567" t="s">
        <v>27</v>
      </c>
      <c r="M2567" t="s">
        <v>27</v>
      </c>
      <c r="N2567" t="s">
        <v>27</v>
      </c>
      <c r="O2567" t="s">
        <v>27</v>
      </c>
      <c r="P2567" t="s">
        <v>27</v>
      </c>
      <c r="Q2567" t="s">
        <v>27</v>
      </c>
      <c r="R2567" t="s">
        <v>11751</v>
      </c>
      <c r="S2567" t="s">
        <v>11752</v>
      </c>
      <c r="U2567" t="s">
        <v>11753</v>
      </c>
    </row>
    <row r="2568" spans="1:21" x14ac:dyDescent="0.25">
      <c r="A2568" t="s">
        <v>11754</v>
      </c>
      <c r="B2568" t="s">
        <v>22</v>
      </c>
      <c r="C2568" t="s">
        <v>11755</v>
      </c>
      <c r="D2568">
        <f>370-52503575</f>
        <v>-52503205</v>
      </c>
      <c r="E2568" t="s">
        <v>11741</v>
      </c>
      <c r="F2568" t="s">
        <v>11742</v>
      </c>
      <c r="G2568" t="s">
        <v>11743</v>
      </c>
      <c r="H2568">
        <v>25.274150119482702</v>
      </c>
      <c r="I2568">
        <v>54.713975199032603</v>
      </c>
      <c r="J2568">
        <v>115</v>
      </c>
      <c r="K2568" t="s">
        <v>27</v>
      </c>
      <c r="L2568" t="s">
        <v>27</v>
      </c>
      <c r="M2568" t="s">
        <v>27</v>
      </c>
      <c r="N2568" t="s">
        <v>27</v>
      </c>
      <c r="O2568" t="s">
        <v>27</v>
      </c>
      <c r="P2568" t="s">
        <v>27</v>
      </c>
      <c r="Q2568" t="s">
        <v>27</v>
      </c>
      <c r="R2568" t="s">
        <v>11755</v>
      </c>
      <c r="S2568" t="s">
        <v>11756</v>
      </c>
      <c r="U2568" t="s">
        <v>11757</v>
      </c>
    </row>
    <row r="2569" spans="1:21" x14ac:dyDescent="0.25">
      <c r="A2569" t="s">
        <v>11758</v>
      </c>
      <c r="B2569" t="s">
        <v>38</v>
      </c>
      <c r="C2569" t="s">
        <v>11740</v>
      </c>
      <c r="D2569">
        <f>370-41383945</f>
        <v>-41383575</v>
      </c>
      <c r="E2569" t="s">
        <v>11759</v>
      </c>
      <c r="F2569" t="s">
        <v>11742</v>
      </c>
      <c r="G2569" t="s">
        <v>11743</v>
      </c>
      <c r="H2569">
        <v>23.2612719358489</v>
      </c>
      <c r="I2569">
        <v>55.907934084584198</v>
      </c>
      <c r="J2569">
        <v>115</v>
      </c>
      <c r="K2569" t="s">
        <v>536</v>
      </c>
      <c r="L2569" t="s">
        <v>536</v>
      </c>
      <c r="M2569" t="s">
        <v>536</v>
      </c>
      <c r="N2569" t="s">
        <v>536</v>
      </c>
      <c r="O2569" t="s">
        <v>536</v>
      </c>
      <c r="P2569" t="s">
        <v>536</v>
      </c>
      <c r="Q2569" t="s">
        <v>536</v>
      </c>
      <c r="R2569" t="s">
        <v>11740</v>
      </c>
      <c r="S2569" t="s">
        <v>11760</v>
      </c>
      <c r="U2569" t="s">
        <v>11761</v>
      </c>
    </row>
    <row r="2570" spans="1:21" x14ac:dyDescent="0.25">
      <c r="A2570" t="s">
        <v>11762</v>
      </c>
      <c r="B2570" t="s">
        <v>32</v>
      </c>
      <c r="C2570" t="s">
        <v>11763</v>
      </c>
      <c r="D2570">
        <f>370-52503583</f>
        <v>-52503213</v>
      </c>
      <c r="E2570" t="s">
        <v>11741</v>
      </c>
      <c r="F2570" t="s">
        <v>11742</v>
      </c>
      <c r="G2570" t="s">
        <v>11743</v>
      </c>
      <c r="H2570">
        <v>25.281271454245001</v>
      </c>
      <c r="I2570">
        <v>54.687028364899199</v>
      </c>
      <c r="J2570">
        <v>115</v>
      </c>
      <c r="K2570" t="s">
        <v>45</v>
      </c>
      <c r="L2570" t="s">
        <v>45</v>
      </c>
      <c r="M2570" t="s">
        <v>45</v>
      </c>
      <c r="N2570" t="s">
        <v>45</v>
      </c>
      <c r="O2570" t="s">
        <v>45</v>
      </c>
      <c r="P2570" t="s">
        <v>45</v>
      </c>
      <c r="Q2570" t="s">
        <v>1034</v>
      </c>
      <c r="R2570" t="s">
        <v>11763</v>
      </c>
      <c r="S2570" t="s">
        <v>11764</v>
      </c>
      <c r="U2570" t="s">
        <v>11765</v>
      </c>
    </row>
    <row r="2571" spans="1:21" x14ac:dyDescent="0.25">
      <c r="A2571" t="s">
        <v>11766</v>
      </c>
      <c r="B2571" t="s">
        <v>38</v>
      </c>
      <c r="C2571" t="s">
        <v>11767</v>
      </c>
      <c r="D2571">
        <f>370-45444210</f>
        <v>-45443840</v>
      </c>
      <c r="E2571" t="s">
        <v>11768</v>
      </c>
      <c r="F2571" t="s">
        <v>11742</v>
      </c>
      <c r="G2571" t="s">
        <v>11743</v>
      </c>
      <c r="H2571">
        <v>24.311536423992901</v>
      </c>
      <c r="I2571">
        <v>55.729414999686497</v>
      </c>
      <c r="J2571">
        <v>115</v>
      </c>
      <c r="K2571" t="s">
        <v>536</v>
      </c>
      <c r="L2571" t="s">
        <v>536</v>
      </c>
      <c r="M2571" t="s">
        <v>536</v>
      </c>
      <c r="N2571" t="s">
        <v>536</v>
      </c>
      <c r="O2571" t="s">
        <v>536</v>
      </c>
      <c r="P2571" t="s">
        <v>536</v>
      </c>
      <c r="Q2571" t="s">
        <v>536</v>
      </c>
      <c r="R2571" t="s">
        <v>11767</v>
      </c>
      <c r="S2571" t="s">
        <v>11769</v>
      </c>
      <c r="U2571" t="s">
        <v>11770</v>
      </c>
    </row>
    <row r="2572" spans="1:21" x14ac:dyDescent="0.25">
      <c r="A2572" t="s">
        <v>11771</v>
      </c>
      <c r="B2572" t="s">
        <v>22</v>
      </c>
      <c r="C2572" t="s">
        <v>11772</v>
      </c>
      <c r="D2572">
        <f>370-37-413240</f>
        <v>-412907</v>
      </c>
      <c r="E2572" t="s">
        <v>11773</v>
      </c>
      <c r="F2572" t="s">
        <v>11742</v>
      </c>
      <c r="G2572" t="s">
        <v>11743</v>
      </c>
      <c r="H2572">
        <v>23.892436666131601</v>
      </c>
      <c r="I2572">
        <v>54.939738065294897</v>
      </c>
      <c r="J2572">
        <v>115</v>
      </c>
      <c r="K2572" t="s">
        <v>536</v>
      </c>
      <c r="L2572" t="s">
        <v>536</v>
      </c>
      <c r="M2572" t="s">
        <v>536</v>
      </c>
      <c r="N2572" t="s">
        <v>536</v>
      </c>
      <c r="O2572" t="s">
        <v>536</v>
      </c>
      <c r="P2572" t="s">
        <v>536</v>
      </c>
      <c r="Q2572" t="s">
        <v>536</v>
      </c>
      <c r="R2572" t="s">
        <v>11772</v>
      </c>
      <c r="S2572" t="s">
        <v>11774</v>
      </c>
      <c r="U2572" t="s">
        <v>11775</v>
      </c>
    </row>
    <row r="2573" spans="1:21" x14ac:dyDescent="0.25">
      <c r="A2573" t="s">
        <v>11776</v>
      </c>
      <c r="B2573" t="s">
        <v>22</v>
      </c>
      <c r="C2573" t="s">
        <v>11777</v>
      </c>
      <c r="D2573">
        <f>370-37413256</f>
        <v>-37412886</v>
      </c>
      <c r="E2573" t="s">
        <v>11773</v>
      </c>
      <c r="F2573" t="s">
        <v>11742</v>
      </c>
      <c r="G2573" t="s">
        <v>11743</v>
      </c>
      <c r="H2573">
        <v>23.967733708090901</v>
      </c>
      <c r="I2573">
        <v>54.898958722441201</v>
      </c>
      <c r="J2573">
        <v>115</v>
      </c>
      <c r="K2573" t="s">
        <v>45</v>
      </c>
      <c r="L2573" t="s">
        <v>45</v>
      </c>
      <c r="M2573" t="s">
        <v>45</v>
      </c>
      <c r="N2573" t="s">
        <v>45</v>
      </c>
      <c r="O2573" t="s">
        <v>45</v>
      </c>
      <c r="P2573" t="s">
        <v>45</v>
      </c>
      <c r="Q2573" t="s">
        <v>535</v>
      </c>
      <c r="R2573" t="s">
        <v>11777</v>
      </c>
      <c r="S2573" t="s">
        <v>11778</v>
      </c>
      <c r="U2573" t="s">
        <v>11779</v>
      </c>
    </row>
    <row r="2574" spans="1:21" x14ac:dyDescent="0.25">
      <c r="A2574" t="s">
        <v>11780</v>
      </c>
      <c r="B2574" t="s">
        <v>22</v>
      </c>
      <c r="C2574" t="s">
        <v>11781</v>
      </c>
      <c r="D2574">
        <f t="shared" ref="D2574:D2581" si="72">352-80081040</f>
        <v>-80080688</v>
      </c>
      <c r="E2574" t="s">
        <v>11782</v>
      </c>
      <c r="F2574" t="s">
        <v>11783</v>
      </c>
      <c r="G2574" t="s">
        <v>11784</v>
      </c>
      <c r="H2574">
        <v>6.1280010000000003</v>
      </c>
      <c r="I2574">
        <v>49.612271999999997</v>
      </c>
      <c r="J2574">
        <v>100</v>
      </c>
      <c r="K2574" t="s">
        <v>728</v>
      </c>
      <c r="L2574" t="s">
        <v>728</v>
      </c>
      <c r="M2574" t="s">
        <v>728</v>
      </c>
      <c r="N2574" t="s">
        <v>728</v>
      </c>
      <c r="O2574" t="s">
        <v>184</v>
      </c>
      <c r="P2574" t="s">
        <v>184</v>
      </c>
      <c r="R2574" t="s">
        <v>11785</v>
      </c>
      <c r="S2574" t="s">
        <v>11785</v>
      </c>
      <c r="T2574" t="s">
        <v>11786</v>
      </c>
      <c r="U2574" t="s">
        <v>11787</v>
      </c>
    </row>
    <row r="2575" spans="1:21" x14ac:dyDescent="0.25">
      <c r="A2575" t="s">
        <v>11788</v>
      </c>
      <c r="B2575" t="s">
        <v>22</v>
      </c>
      <c r="C2575" t="s">
        <v>11789</v>
      </c>
      <c r="D2575">
        <f t="shared" si="72"/>
        <v>-80080688</v>
      </c>
      <c r="E2575" t="s">
        <v>11782</v>
      </c>
      <c r="F2575" t="s">
        <v>11783</v>
      </c>
      <c r="G2575" t="s">
        <v>11784</v>
      </c>
      <c r="H2575">
        <v>6.1686379999999996</v>
      </c>
      <c r="I2575">
        <v>49.634394999999998</v>
      </c>
      <c r="J2575">
        <v>100</v>
      </c>
      <c r="K2575" t="s">
        <v>165</v>
      </c>
      <c r="L2575" t="s">
        <v>165</v>
      </c>
      <c r="M2575" t="s">
        <v>165</v>
      </c>
      <c r="N2575" t="s">
        <v>165</v>
      </c>
      <c r="O2575" t="s">
        <v>192</v>
      </c>
      <c r="P2575" t="s">
        <v>165</v>
      </c>
      <c r="R2575" t="s">
        <v>11790</v>
      </c>
      <c r="T2575" t="s">
        <v>11786</v>
      </c>
      <c r="U2575" t="s">
        <v>11791</v>
      </c>
    </row>
    <row r="2576" spans="1:21" x14ac:dyDescent="0.25">
      <c r="A2576" t="s">
        <v>11792</v>
      </c>
      <c r="B2576" t="s">
        <v>22</v>
      </c>
      <c r="C2576" t="s">
        <v>11793</v>
      </c>
      <c r="D2576">
        <f t="shared" si="72"/>
        <v>-80080688</v>
      </c>
      <c r="E2576" t="s">
        <v>11794</v>
      </c>
      <c r="F2576" t="s">
        <v>11783</v>
      </c>
      <c r="G2576" t="s">
        <v>11784</v>
      </c>
      <c r="H2576">
        <v>5.9842740000000001</v>
      </c>
      <c r="I2576">
        <v>49.495412000000002</v>
      </c>
      <c r="J2576">
        <v>100</v>
      </c>
      <c r="K2576" t="s">
        <v>262</v>
      </c>
      <c r="L2576" t="s">
        <v>262</v>
      </c>
      <c r="M2576" t="s">
        <v>262</v>
      </c>
      <c r="N2576" t="s">
        <v>262</v>
      </c>
      <c r="O2576" t="s">
        <v>262</v>
      </c>
      <c r="P2576" t="s">
        <v>428</v>
      </c>
      <c r="R2576" t="s">
        <v>11793</v>
      </c>
      <c r="T2576" t="s">
        <v>11786</v>
      </c>
      <c r="U2576" t="s">
        <v>11795</v>
      </c>
    </row>
    <row r="2577" spans="1:21" x14ac:dyDescent="0.25">
      <c r="A2577" t="s">
        <v>11796</v>
      </c>
      <c r="B2577" t="s">
        <v>38</v>
      </c>
      <c r="C2577" t="s">
        <v>11797</v>
      </c>
      <c r="D2577">
        <f t="shared" si="72"/>
        <v>-80080688</v>
      </c>
      <c r="E2577" t="s">
        <v>11798</v>
      </c>
      <c r="F2577" t="s">
        <v>11783</v>
      </c>
      <c r="G2577" t="s">
        <v>11784</v>
      </c>
      <c r="H2577">
        <v>6.0239029999999998</v>
      </c>
      <c r="I2577">
        <v>50.180869000000001</v>
      </c>
      <c r="J2577">
        <v>100</v>
      </c>
      <c r="K2577" t="s">
        <v>535</v>
      </c>
      <c r="L2577" t="s">
        <v>535</v>
      </c>
      <c r="M2577" t="s">
        <v>535</v>
      </c>
      <c r="N2577" t="s">
        <v>535</v>
      </c>
      <c r="O2577" t="s">
        <v>535</v>
      </c>
      <c r="P2577" t="s">
        <v>535</v>
      </c>
      <c r="Q2577" t="s">
        <v>11799</v>
      </c>
      <c r="R2577" t="s">
        <v>11800</v>
      </c>
      <c r="S2577" t="s">
        <v>11801</v>
      </c>
      <c r="T2577" t="s">
        <v>11786</v>
      </c>
      <c r="U2577" t="s">
        <v>11802</v>
      </c>
    </row>
    <row r="2578" spans="1:21" x14ac:dyDescent="0.25">
      <c r="A2578" t="s">
        <v>11803</v>
      </c>
      <c r="B2578" t="s">
        <v>38</v>
      </c>
      <c r="C2578" t="s">
        <v>11804</v>
      </c>
      <c r="D2578">
        <f t="shared" si="72"/>
        <v>-80080688</v>
      </c>
      <c r="E2578" t="s">
        <v>11794</v>
      </c>
      <c r="F2578" t="s">
        <v>11783</v>
      </c>
      <c r="G2578" t="s">
        <v>11784</v>
      </c>
      <c r="H2578">
        <v>5.9445430000000004</v>
      </c>
      <c r="I2578">
        <v>49.501018000000002</v>
      </c>
      <c r="J2578">
        <v>100</v>
      </c>
      <c r="K2578" t="s">
        <v>535</v>
      </c>
      <c r="L2578" t="s">
        <v>535</v>
      </c>
      <c r="M2578" t="s">
        <v>535</v>
      </c>
      <c r="N2578" t="s">
        <v>535</v>
      </c>
      <c r="O2578" t="s">
        <v>45</v>
      </c>
      <c r="P2578" t="s">
        <v>535</v>
      </c>
      <c r="R2578" t="s">
        <v>11805</v>
      </c>
      <c r="S2578" t="s">
        <v>11805</v>
      </c>
      <c r="T2578" t="s">
        <v>11786</v>
      </c>
      <c r="U2578" t="s">
        <v>11806</v>
      </c>
    </row>
    <row r="2579" spans="1:21" x14ac:dyDescent="0.25">
      <c r="A2579" t="s">
        <v>11807</v>
      </c>
      <c r="B2579" t="s">
        <v>38</v>
      </c>
      <c r="C2579" t="s">
        <v>11808</v>
      </c>
      <c r="D2579">
        <f t="shared" si="72"/>
        <v>-80080688</v>
      </c>
      <c r="E2579" t="s">
        <v>11809</v>
      </c>
      <c r="F2579" t="s">
        <v>11783</v>
      </c>
      <c r="G2579" t="s">
        <v>11784</v>
      </c>
      <c r="H2579">
        <v>6.0489689999999996</v>
      </c>
      <c r="I2579">
        <v>49.622608</v>
      </c>
      <c r="J2579">
        <v>100</v>
      </c>
      <c r="K2579" t="s">
        <v>165</v>
      </c>
      <c r="L2579" t="s">
        <v>165</v>
      </c>
      <c r="M2579" t="s">
        <v>165</v>
      </c>
      <c r="N2579" t="s">
        <v>165</v>
      </c>
      <c r="O2579" t="s">
        <v>165</v>
      </c>
      <c r="P2579" t="s">
        <v>165</v>
      </c>
      <c r="R2579" t="s">
        <v>11810</v>
      </c>
      <c r="S2579" t="s">
        <v>11810</v>
      </c>
      <c r="T2579" t="s">
        <v>11786</v>
      </c>
      <c r="U2579" t="s">
        <v>11811</v>
      </c>
    </row>
    <row r="2580" spans="1:21" x14ac:dyDescent="0.25">
      <c r="A2580" t="s">
        <v>11812</v>
      </c>
      <c r="B2580" t="s">
        <v>38</v>
      </c>
      <c r="C2580" t="s">
        <v>11813</v>
      </c>
      <c r="D2580">
        <f t="shared" si="72"/>
        <v>-80080688</v>
      </c>
      <c r="E2580" t="s">
        <v>11814</v>
      </c>
      <c r="F2580" t="s">
        <v>11783</v>
      </c>
      <c r="G2580" t="s">
        <v>11784</v>
      </c>
      <c r="H2580">
        <v>5.85703</v>
      </c>
      <c r="I2580">
        <v>49.963791999999998</v>
      </c>
      <c r="J2580">
        <v>100</v>
      </c>
      <c r="K2580" t="s">
        <v>535</v>
      </c>
      <c r="L2580" t="s">
        <v>535</v>
      </c>
      <c r="M2580" t="s">
        <v>535</v>
      </c>
      <c r="N2580" t="s">
        <v>535</v>
      </c>
      <c r="O2580" t="s">
        <v>535</v>
      </c>
      <c r="P2580" t="s">
        <v>535</v>
      </c>
      <c r="Q2580" t="s">
        <v>11799</v>
      </c>
      <c r="R2580" t="s">
        <v>11815</v>
      </c>
      <c r="T2580" t="s">
        <v>11786</v>
      </c>
      <c r="U2580" t="s">
        <v>11816</v>
      </c>
    </row>
    <row r="2581" spans="1:21" x14ac:dyDescent="0.25">
      <c r="A2581" t="s">
        <v>11817</v>
      </c>
      <c r="B2581" t="s">
        <v>22</v>
      </c>
      <c r="C2581" t="s">
        <v>11818</v>
      </c>
      <c r="D2581">
        <f t="shared" si="72"/>
        <v>-80080688</v>
      </c>
      <c r="E2581" t="s">
        <v>11782</v>
      </c>
      <c r="F2581" t="s">
        <v>11783</v>
      </c>
      <c r="G2581" t="s">
        <v>11784</v>
      </c>
      <c r="H2581">
        <v>6.1130310000000003</v>
      </c>
      <c r="I2581">
        <v>49.58137</v>
      </c>
      <c r="J2581">
        <v>100</v>
      </c>
      <c r="K2581" t="s">
        <v>192</v>
      </c>
      <c r="L2581" t="s">
        <v>192</v>
      </c>
      <c r="M2581" t="s">
        <v>192</v>
      </c>
      <c r="N2581" t="s">
        <v>192</v>
      </c>
      <c r="O2581" t="s">
        <v>192</v>
      </c>
      <c r="P2581" t="s">
        <v>165</v>
      </c>
      <c r="R2581" t="s">
        <v>11819</v>
      </c>
      <c r="T2581" t="s">
        <v>11786</v>
      </c>
      <c r="U2581" t="s">
        <v>11820</v>
      </c>
    </row>
    <row r="2582" spans="1:21" x14ac:dyDescent="0.25">
      <c r="A2582" t="s">
        <v>11821</v>
      </c>
      <c r="B2582" t="s">
        <v>22</v>
      </c>
      <c r="C2582" t="s">
        <v>11822</v>
      </c>
      <c r="D2582">
        <f>371-66188800</f>
        <v>-66188429</v>
      </c>
      <c r="E2582" t="s">
        <v>11823</v>
      </c>
      <c r="F2582" t="s">
        <v>11824</v>
      </c>
      <c r="G2582" t="s">
        <v>11825</v>
      </c>
      <c r="H2582">
        <v>24.112914724914599</v>
      </c>
      <c r="I2582">
        <v>56.9481186105482</v>
      </c>
      <c r="J2582">
        <v>115</v>
      </c>
      <c r="K2582" t="s">
        <v>536</v>
      </c>
      <c r="L2582" t="s">
        <v>536</v>
      </c>
      <c r="M2582" t="s">
        <v>536</v>
      </c>
      <c r="N2582" t="s">
        <v>536</v>
      </c>
      <c r="O2582" t="s">
        <v>536</v>
      </c>
      <c r="P2582" t="s">
        <v>536</v>
      </c>
      <c r="Q2582" t="s">
        <v>536</v>
      </c>
      <c r="R2582" t="s">
        <v>11822</v>
      </c>
      <c r="S2582" t="s">
        <v>11826</v>
      </c>
      <c r="U2582" t="s">
        <v>11827</v>
      </c>
    </row>
    <row r="2583" spans="1:21" x14ac:dyDescent="0.25">
      <c r="A2583" t="s">
        <v>11828</v>
      </c>
      <c r="B2583" t="s">
        <v>22</v>
      </c>
      <c r="C2583" t="s">
        <v>11829</v>
      </c>
      <c r="D2583">
        <f>371-66188810</f>
        <v>-66188439</v>
      </c>
      <c r="E2583" t="s">
        <v>11823</v>
      </c>
      <c r="F2583" t="s">
        <v>11824</v>
      </c>
      <c r="G2583" t="s">
        <v>11825</v>
      </c>
      <c r="H2583">
        <v>24.2026291476379</v>
      </c>
      <c r="I2583">
        <v>56.982795341369602</v>
      </c>
      <c r="J2583">
        <v>115</v>
      </c>
      <c r="K2583" t="s">
        <v>536</v>
      </c>
      <c r="L2583" t="s">
        <v>536</v>
      </c>
      <c r="M2583" t="s">
        <v>536</v>
      </c>
      <c r="N2583" t="s">
        <v>536</v>
      </c>
      <c r="O2583" t="s">
        <v>536</v>
      </c>
      <c r="P2583" t="s">
        <v>536</v>
      </c>
      <c r="Q2583" t="s">
        <v>536</v>
      </c>
      <c r="R2583" t="s">
        <v>11829</v>
      </c>
      <c r="S2583" t="s">
        <v>11830</v>
      </c>
      <c r="U2583" t="s">
        <v>11831</v>
      </c>
    </row>
    <row r="2584" spans="1:21" x14ac:dyDescent="0.25">
      <c r="A2584" t="s">
        <v>11832</v>
      </c>
      <c r="B2584" t="s">
        <v>22</v>
      </c>
      <c r="C2584" t="s">
        <v>11833</v>
      </c>
      <c r="D2584">
        <f>371-66188833</f>
        <v>-66188462</v>
      </c>
      <c r="E2584" t="s">
        <v>11823</v>
      </c>
      <c r="F2584" t="s">
        <v>11824</v>
      </c>
      <c r="G2584" t="s">
        <v>11825</v>
      </c>
      <c r="H2584">
        <v>24.0367832055571</v>
      </c>
      <c r="I2584">
        <v>56.929806126188801</v>
      </c>
      <c r="J2584">
        <v>115</v>
      </c>
      <c r="K2584" t="s">
        <v>27</v>
      </c>
      <c r="L2584" t="s">
        <v>27</v>
      </c>
      <c r="M2584" t="s">
        <v>27</v>
      </c>
      <c r="N2584" t="s">
        <v>27</v>
      </c>
      <c r="O2584" t="s">
        <v>27</v>
      </c>
      <c r="P2584" t="s">
        <v>27</v>
      </c>
      <c r="Q2584" t="s">
        <v>27</v>
      </c>
      <c r="R2584" t="s">
        <v>11833</v>
      </c>
      <c r="S2584" t="s">
        <v>11834</v>
      </c>
      <c r="U2584" t="s">
        <v>11835</v>
      </c>
    </row>
    <row r="2585" spans="1:21" x14ac:dyDescent="0.25">
      <c r="A2585" t="s">
        <v>11836</v>
      </c>
      <c r="B2585" t="s">
        <v>38</v>
      </c>
      <c r="C2585" t="s">
        <v>11837</v>
      </c>
      <c r="D2585">
        <f>37-166188809</f>
        <v>-166188772</v>
      </c>
      <c r="E2585" t="s">
        <v>11823</v>
      </c>
      <c r="F2585" t="s">
        <v>11824</v>
      </c>
      <c r="G2585" t="s">
        <v>11825</v>
      </c>
      <c r="H2585">
        <v>24.145417213439899</v>
      </c>
      <c r="I2585">
        <v>56.935135701899</v>
      </c>
      <c r="J2585">
        <v>115</v>
      </c>
      <c r="K2585" t="s">
        <v>536</v>
      </c>
      <c r="L2585" t="s">
        <v>536</v>
      </c>
      <c r="M2585" t="s">
        <v>536</v>
      </c>
      <c r="N2585" t="s">
        <v>536</v>
      </c>
      <c r="O2585" t="s">
        <v>536</v>
      </c>
      <c r="P2585" t="s">
        <v>536</v>
      </c>
      <c r="Q2585" t="s">
        <v>536</v>
      </c>
      <c r="R2585" t="s">
        <v>11837</v>
      </c>
      <c r="S2585" t="s">
        <v>11838</v>
      </c>
      <c r="U2585" t="s">
        <v>11839</v>
      </c>
    </row>
    <row r="2586" spans="1:21" x14ac:dyDescent="0.25">
      <c r="A2586" t="s">
        <v>11840</v>
      </c>
      <c r="B2586" t="s">
        <v>22</v>
      </c>
      <c r="C2586" t="s">
        <v>11841</v>
      </c>
      <c r="D2586">
        <f>371-67633910</f>
        <v>-67633539</v>
      </c>
      <c r="E2586" t="s">
        <v>11823</v>
      </c>
      <c r="F2586" t="s">
        <v>11824</v>
      </c>
      <c r="G2586" t="s">
        <v>11825</v>
      </c>
      <c r="H2586">
        <v>24.103022044952301</v>
      </c>
      <c r="I2586">
        <v>56.926215497141897</v>
      </c>
      <c r="J2586">
        <v>115</v>
      </c>
      <c r="K2586" t="s">
        <v>536</v>
      </c>
      <c r="L2586" t="s">
        <v>536</v>
      </c>
      <c r="M2586" t="s">
        <v>536</v>
      </c>
      <c r="N2586" t="s">
        <v>536</v>
      </c>
      <c r="O2586" t="s">
        <v>536</v>
      </c>
      <c r="P2586" t="s">
        <v>536</v>
      </c>
      <c r="Q2586" t="s">
        <v>536</v>
      </c>
      <c r="R2586" t="s">
        <v>11841</v>
      </c>
      <c r="S2586" t="s">
        <v>11842</v>
      </c>
      <c r="U2586" t="s">
        <v>11843</v>
      </c>
    </row>
    <row r="2587" spans="1:21" x14ac:dyDescent="0.25">
      <c r="A2587" t="s">
        <v>11844</v>
      </c>
      <c r="B2587" t="s">
        <v>22</v>
      </c>
      <c r="C2587" t="s">
        <v>11845</v>
      </c>
      <c r="D2587">
        <f>371-67631330</f>
        <v>-67630959</v>
      </c>
      <c r="E2587" t="s">
        <v>11823</v>
      </c>
      <c r="F2587" t="s">
        <v>11824</v>
      </c>
      <c r="G2587" t="s">
        <v>11825</v>
      </c>
      <c r="H2587">
        <v>24.160346535443001</v>
      </c>
      <c r="I2587">
        <v>56.966161637991597</v>
      </c>
      <c r="J2587">
        <v>115</v>
      </c>
      <c r="K2587" t="s">
        <v>27</v>
      </c>
      <c r="L2587" t="s">
        <v>27</v>
      </c>
      <c r="M2587" t="s">
        <v>27</v>
      </c>
      <c r="N2587" t="s">
        <v>27</v>
      </c>
      <c r="O2587" t="s">
        <v>27</v>
      </c>
      <c r="P2587" t="s">
        <v>27</v>
      </c>
      <c r="Q2587" t="s">
        <v>27</v>
      </c>
      <c r="R2587" t="s">
        <v>11845</v>
      </c>
      <c r="S2587" t="s">
        <v>11846</v>
      </c>
      <c r="U2587" t="s">
        <v>11847</v>
      </c>
    </row>
    <row r="2588" spans="1:21" x14ac:dyDescent="0.25">
      <c r="A2588" t="s">
        <v>11848</v>
      </c>
      <c r="B2588" t="s">
        <v>32</v>
      </c>
      <c r="C2588" t="s">
        <v>11849</v>
      </c>
      <c r="D2588">
        <f>371-66188863</f>
        <v>-66188492</v>
      </c>
      <c r="E2588" t="s">
        <v>11823</v>
      </c>
      <c r="F2588" t="s">
        <v>11824</v>
      </c>
      <c r="G2588" t="s">
        <v>11825</v>
      </c>
      <c r="H2588">
        <v>24.120422594979299</v>
      </c>
      <c r="I2588">
        <v>56.954654682275901</v>
      </c>
      <c r="J2588">
        <v>115</v>
      </c>
      <c r="K2588" t="s">
        <v>536</v>
      </c>
      <c r="L2588" t="s">
        <v>536</v>
      </c>
      <c r="M2588" t="s">
        <v>536</v>
      </c>
      <c r="N2588" t="s">
        <v>536</v>
      </c>
      <c r="O2588" t="s">
        <v>536</v>
      </c>
      <c r="P2588" t="s">
        <v>536</v>
      </c>
      <c r="Q2588" t="s">
        <v>45</v>
      </c>
      <c r="R2588" t="s">
        <v>11849</v>
      </c>
      <c r="S2588" t="s">
        <v>11850</v>
      </c>
      <c r="U2588" t="s">
        <v>11851</v>
      </c>
    </row>
    <row r="2589" spans="1:21" x14ac:dyDescent="0.25">
      <c r="A2589" t="s">
        <v>11852</v>
      </c>
      <c r="B2589" t="s">
        <v>22</v>
      </c>
      <c r="C2589" t="s">
        <v>11853</v>
      </c>
      <c r="D2589">
        <f>212-522796922</f>
        <v>-522796710</v>
      </c>
      <c r="E2589" t="s">
        <v>11854</v>
      </c>
      <c r="F2589" t="s">
        <v>11855</v>
      </c>
      <c r="G2589" t="s">
        <v>11856</v>
      </c>
      <c r="H2589">
        <v>-7.7060769999999996</v>
      </c>
      <c r="I2589">
        <v>33.576687999999997</v>
      </c>
      <c r="J2589">
        <v>90</v>
      </c>
      <c r="K2589" t="s">
        <v>27</v>
      </c>
      <c r="L2589" t="s">
        <v>536</v>
      </c>
      <c r="M2589" t="s">
        <v>536</v>
      </c>
      <c r="N2589" t="s">
        <v>536</v>
      </c>
      <c r="O2589" t="s">
        <v>27</v>
      </c>
      <c r="P2589" t="s">
        <v>27</v>
      </c>
      <c r="Q2589" t="s">
        <v>536</v>
      </c>
      <c r="R2589" t="s">
        <v>11853</v>
      </c>
      <c r="S2589" t="s">
        <v>11857</v>
      </c>
      <c r="U2589" t="s">
        <v>11858</v>
      </c>
    </row>
    <row r="2590" spans="1:21" x14ac:dyDescent="0.25">
      <c r="A2590" t="s">
        <v>11859</v>
      </c>
      <c r="B2590" t="s">
        <v>22</v>
      </c>
      <c r="C2590" t="s">
        <v>11860</v>
      </c>
      <c r="E2590" t="s">
        <v>11860</v>
      </c>
      <c r="F2590" t="s">
        <v>11855</v>
      </c>
      <c r="G2590" t="s">
        <v>11856</v>
      </c>
      <c r="H2590">
        <v>-8.0116379999999996</v>
      </c>
      <c r="I2590">
        <v>31.634630999999999</v>
      </c>
      <c r="J2590">
        <v>90</v>
      </c>
      <c r="K2590" t="s">
        <v>536</v>
      </c>
      <c r="L2590" t="s">
        <v>536</v>
      </c>
      <c r="M2590" t="s">
        <v>536</v>
      </c>
      <c r="N2590" t="s">
        <v>536</v>
      </c>
      <c r="O2590" t="s">
        <v>27</v>
      </c>
      <c r="P2590" t="s">
        <v>27</v>
      </c>
      <c r="Q2590" t="s">
        <v>536</v>
      </c>
      <c r="R2590" t="s">
        <v>11860</v>
      </c>
      <c r="U2590" t="s">
        <v>11861</v>
      </c>
    </row>
    <row r="2591" spans="1:21" x14ac:dyDescent="0.25">
      <c r="A2591" t="s">
        <v>11862</v>
      </c>
      <c r="B2591" t="s">
        <v>32</v>
      </c>
      <c r="C2591" t="s">
        <v>11863</v>
      </c>
      <c r="E2591" t="s">
        <v>11854</v>
      </c>
      <c r="F2591" t="s">
        <v>11855</v>
      </c>
      <c r="G2591" t="s">
        <v>11856</v>
      </c>
      <c r="H2591">
        <v>-7.6369819999999997</v>
      </c>
      <c r="I2591">
        <v>33.586478999999997</v>
      </c>
      <c r="J2591">
        <v>90</v>
      </c>
      <c r="K2591" t="s">
        <v>536</v>
      </c>
      <c r="L2591" t="s">
        <v>536</v>
      </c>
      <c r="M2591" t="s">
        <v>536</v>
      </c>
      <c r="N2591" t="s">
        <v>536</v>
      </c>
      <c r="O2591" t="s">
        <v>27</v>
      </c>
      <c r="P2591" t="s">
        <v>27</v>
      </c>
      <c r="Q2591" t="s">
        <v>536</v>
      </c>
      <c r="R2591" t="s">
        <v>11863</v>
      </c>
      <c r="U2591" t="s">
        <v>11864</v>
      </c>
    </row>
    <row r="2592" spans="1:21" x14ac:dyDescent="0.25">
      <c r="A2592" t="s">
        <v>11865</v>
      </c>
      <c r="B2592" t="s">
        <v>22</v>
      </c>
      <c r="C2592" t="s">
        <v>11866</v>
      </c>
      <c r="E2592" t="s">
        <v>11867</v>
      </c>
      <c r="F2592" t="s">
        <v>11855</v>
      </c>
      <c r="G2592" t="s">
        <v>11856</v>
      </c>
      <c r="H2592">
        <v>-6.8443197359374599</v>
      </c>
      <c r="I2592">
        <v>34.003046428534198</v>
      </c>
      <c r="J2592">
        <v>90</v>
      </c>
      <c r="R2592" t="s">
        <v>11866</v>
      </c>
      <c r="U2592" t="s">
        <v>11868</v>
      </c>
    </row>
    <row r="2593" spans="1:21" x14ac:dyDescent="0.25">
      <c r="A2593" t="s">
        <v>11869</v>
      </c>
      <c r="B2593" t="s">
        <v>22</v>
      </c>
      <c r="C2593" t="s">
        <v>11870</v>
      </c>
      <c r="D2593">
        <f>853-28828670</f>
        <v>-28827817</v>
      </c>
      <c r="E2593" t="s">
        <v>11871</v>
      </c>
      <c r="F2593" t="s">
        <v>11872</v>
      </c>
      <c r="G2593" t="s">
        <v>11873</v>
      </c>
      <c r="H2593">
        <v>113.559871719816</v>
      </c>
      <c r="I2593">
        <v>22.147964484297798</v>
      </c>
      <c r="J2593">
        <v>210</v>
      </c>
      <c r="K2593" t="s">
        <v>34</v>
      </c>
      <c r="L2593" t="s">
        <v>34</v>
      </c>
      <c r="M2593" t="s">
        <v>34</v>
      </c>
      <c r="N2593" t="s">
        <v>34</v>
      </c>
      <c r="O2593" t="s">
        <v>92</v>
      </c>
      <c r="P2593" t="s">
        <v>92</v>
      </c>
      <c r="Q2593" t="s">
        <v>34</v>
      </c>
      <c r="R2593" t="s">
        <v>11870</v>
      </c>
      <c r="S2593" t="s">
        <v>11874</v>
      </c>
      <c r="U2593" t="s">
        <v>11875</v>
      </c>
    </row>
    <row r="2594" spans="1:21" x14ac:dyDescent="0.25">
      <c r="A2594" t="s">
        <v>11876</v>
      </c>
      <c r="B2594" t="s">
        <v>22</v>
      </c>
      <c r="C2594" t="s">
        <v>11877</v>
      </c>
      <c r="D2594">
        <f t="shared" ref="D2594:D2637" si="73">52-8000408555</f>
        <v>-8000408503</v>
      </c>
      <c r="E2594" t="s">
        <v>11878</v>
      </c>
      <c r="F2594" t="s">
        <v>11879</v>
      </c>
      <c r="G2594" t="s">
        <v>11880</v>
      </c>
      <c r="H2594">
        <v>-99.272536039352403</v>
      </c>
      <c r="I2594">
        <v>19.3621258846389</v>
      </c>
      <c r="J2594">
        <v>30</v>
      </c>
      <c r="K2594" t="s">
        <v>1501</v>
      </c>
      <c r="L2594" t="s">
        <v>1501</v>
      </c>
      <c r="M2594" t="s">
        <v>1501</v>
      </c>
      <c r="N2594" t="s">
        <v>1501</v>
      </c>
      <c r="O2594" t="s">
        <v>1501</v>
      </c>
      <c r="P2594" t="s">
        <v>1501</v>
      </c>
      <c r="Q2594" t="s">
        <v>1501</v>
      </c>
      <c r="R2594" t="s">
        <v>11877</v>
      </c>
      <c r="S2594" t="s">
        <v>11881</v>
      </c>
      <c r="T2594" t="s">
        <v>11882</v>
      </c>
      <c r="U2594" t="s">
        <v>11883</v>
      </c>
    </row>
    <row r="2595" spans="1:21" x14ac:dyDescent="0.25">
      <c r="A2595" t="s">
        <v>11884</v>
      </c>
      <c r="B2595" t="s">
        <v>32</v>
      </c>
      <c r="C2595" t="s">
        <v>11885</v>
      </c>
      <c r="D2595">
        <f t="shared" si="73"/>
        <v>-8000408503</v>
      </c>
      <c r="E2595" t="s">
        <v>6786</v>
      </c>
      <c r="F2595" t="s">
        <v>11879</v>
      </c>
      <c r="G2595" t="s">
        <v>11880</v>
      </c>
      <c r="H2595">
        <v>-103.43125744603201</v>
      </c>
      <c r="I2595">
        <v>20.6770956388965</v>
      </c>
      <c r="J2595">
        <v>30</v>
      </c>
      <c r="K2595" t="s">
        <v>1501</v>
      </c>
      <c r="L2595" t="s">
        <v>1501</v>
      </c>
      <c r="M2595" t="s">
        <v>1501</v>
      </c>
      <c r="N2595" t="s">
        <v>1501</v>
      </c>
      <c r="O2595" t="s">
        <v>1501</v>
      </c>
      <c r="P2595" t="s">
        <v>1501</v>
      </c>
      <c r="Q2595" t="s">
        <v>1501</v>
      </c>
      <c r="R2595" t="s">
        <v>11885</v>
      </c>
      <c r="S2595" t="s">
        <v>11886</v>
      </c>
      <c r="T2595" t="s">
        <v>11887</v>
      </c>
      <c r="U2595" t="s">
        <v>11888</v>
      </c>
    </row>
    <row r="2596" spans="1:21" x14ac:dyDescent="0.25">
      <c r="A2596" t="s">
        <v>11889</v>
      </c>
      <c r="B2596" t="s">
        <v>32</v>
      </c>
      <c r="C2596" t="s">
        <v>11890</v>
      </c>
      <c r="D2596">
        <f t="shared" si="73"/>
        <v>-8000408503</v>
      </c>
      <c r="E2596" t="s">
        <v>11891</v>
      </c>
      <c r="F2596" t="s">
        <v>11879</v>
      </c>
      <c r="G2596" t="s">
        <v>11880</v>
      </c>
      <c r="H2596">
        <v>-100.436841323095</v>
      </c>
      <c r="I2596">
        <v>20.675499519365101</v>
      </c>
      <c r="J2596">
        <v>30</v>
      </c>
      <c r="K2596" t="s">
        <v>1501</v>
      </c>
      <c r="L2596" t="s">
        <v>1501</v>
      </c>
      <c r="M2596" t="s">
        <v>1501</v>
      </c>
      <c r="N2596" t="s">
        <v>1501</v>
      </c>
      <c r="O2596" t="s">
        <v>1501</v>
      </c>
      <c r="P2596" t="s">
        <v>1501</v>
      </c>
      <c r="Q2596" t="s">
        <v>1501</v>
      </c>
      <c r="R2596" t="s">
        <v>11890</v>
      </c>
      <c r="S2596" t="s">
        <v>11892</v>
      </c>
      <c r="T2596" t="s">
        <v>11893</v>
      </c>
      <c r="U2596" t="s">
        <v>11894</v>
      </c>
    </row>
    <row r="2597" spans="1:21" x14ac:dyDescent="0.25">
      <c r="A2597" t="s">
        <v>11895</v>
      </c>
      <c r="B2597" t="s">
        <v>22</v>
      </c>
      <c r="C2597" t="s">
        <v>11896</v>
      </c>
      <c r="D2597">
        <f t="shared" si="73"/>
        <v>-8000408503</v>
      </c>
      <c r="E2597" t="s">
        <v>11897</v>
      </c>
      <c r="F2597" t="s">
        <v>11879</v>
      </c>
      <c r="G2597" t="s">
        <v>11880</v>
      </c>
      <c r="H2597">
        <v>-101.62656200000001</v>
      </c>
      <c r="I2597">
        <v>21.092462999999999</v>
      </c>
      <c r="J2597">
        <v>30</v>
      </c>
      <c r="K2597" t="s">
        <v>1501</v>
      </c>
      <c r="L2597" t="s">
        <v>1501</v>
      </c>
      <c r="M2597" t="s">
        <v>1501</v>
      </c>
      <c r="N2597" t="s">
        <v>1501</v>
      </c>
      <c r="O2597" t="s">
        <v>1501</v>
      </c>
      <c r="P2597" t="s">
        <v>1501</v>
      </c>
      <c r="Q2597" t="s">
        <v>1501</v>
      </c>
      <c r="R2597" t="s">
        <v>11896</v>
      </c>
      <c r="S2597" t="s">
        <v>11898</v>
      </c>
      <c r="T2597" t="s">
        <v>11899</v>
      </c>
      <c r="U2597" t="s">
        <v>11900</v>
      </c>
    </row>
    <row r="2598" spans="1:21" x14ac:dyDescent="0.25">
      <c r="A2598" t="s">
        <v>11901</v>
      </c>
      <c r="B2598" t="s">
        <v>22</v>
      </c>
      <c r="C2598" t="s">
        <v>11902</v>
      </c>
      <c r="D2598">
        <f t="shared" si="73"/>
        <v>-8000408503</v>
      </c>
      <c r="E2598" t="s">
        <v>11878</v>
      </c>
      <c r="F2598" t="s">
        <v>11879</v>
      </c>
      <c r="G2598" t="s">
        <v>11880</v>
      </c>
      <c r="H2598">
        <v>-99.157994000000002</v>
      </c>
      <c r="I2598">
        <v>19.487642000000001</v>
      </c>
      <c r="J2598">
        <v>30</v>
      </c>
      <c r="K2598" t="s">
        <v>1501</v>
      </c>
      <c r="L2598" t="s">
        <v>1501</v>
      </c>
      <c r="M2598" t="s">
        <v>1501</v>
      </c>
      <c r="N2598" t="s">
        <v>1501</v>
      </c>
      <c r="O2598" t="s">
        <v>1501</v>
      </c>
      <c r="P2598" t="s">
        <v>1501</v>
      </c>
      <c r="Q2598" t="s">
        <v>1501</v>
      </c>
      <c r="R2598" t="s">
        <v>11902</v>
      </c>
      <c r="S2598" t="s">
        <v>11903</v>
      </c>
      <c r="T2598" t="s">
        <v>11904</v>
      </c>
      <c r="U2598" t="s">
        <v>11905</v>
      </c>
    </row>
    <row r="2599" spans="1:21" x14ac:dyDescent="0.25">
      <c r="A2599" t="s">
        <v>11906</v>
      </c>
      <c r="B2599" t="s">
        <v>38</v>
      </c>
      <c r="C2599" t="s">
        <v>11907</v>
      </c>
      <c r="D2599">
        <f t="shared" si="73"/>
        <v>-8000408503</v>
      </c>
      <c r="E2599" t="s">
        <v>11908</v>
      </c>
      <c r="F2599" t="s">
        <v>11879</v>
      </c>
      <c r="G2599" t="s">
        <v>11880</v>
      </c>
      <c r="H2599">
        <v>-101.16530576</v>
      </c>
      <c r="I2599">
        <v>19.67208917</v>
      </c>
      <c r="J2599">
        <v>30</v>
      </c>
      <c r="K2599" t="s">
        <v>1501</v>
      </c>
      <c r="L2599" t="s">
        <v>1501</v>
      </c>
      <c r="M2599" t="s">
        <v>1501</v>
      </c>
      <c r="N2599" t="s">
        <v>1501</v>
      </c>
      <c r="O2599" t="s">
        <v>1501</v>
      </c>
      <c r="P2599" t="s">
        <v>1501</v>
      </c>
      <c r="Q2599" t="s">
        <v>1501</v>
      </c>
      <c r="R2599" t="s">
        <v>11907</v>
      </c>
      <c r="S2599" t="s">
        <v>11909</v>
      </c>
      <c r="T2599" t="s">
        <v>11910</v>
      </c>
      <c r="U2599" t="s">
        <v>11911</v>
      </c>
    </row>
    <row r="2600" spans="1:21" x14ac:dyDescent="0.25">
      <c r="A2600" t="s">
        <v>11912</v>
      </c>
      <c r="B2600" t="s">
        <v>22</v>
      </c>
      <c r="C2600" t="s">
        <v>11913</v>
      </c>
      <c r="D2600">
        <f t="shared" si="73"/>
        <v>-8000408503</v>
      </c>
      <c r="E2600" t="s">
        <v>11914</v>
      </c>
      <c r="F2600" t="s">
        <v>11879</v>
      </c>
      <c r="G2600" t="s">
        <v>11880</v>
      </c>
      <c r="H2600">
        <v>-99.219599959999996</v>
      </c>
      <c r="I2600">
        <v>19.45415977</v>
      </c>
      <c r="J2600">
        <v>30</v>
      </c>
      <c r="K2600" t="s">
        <v>1501</v>
      </c>
      <c r="L2600" t="s">
        <v>1501</v>
      </c>
      <c r="M2600" t="s">
        <v>1501</v>
      </c>
      <c r="N2600" t="s">
        <v>1501</v>
      </c>
      <c r="O2600" t="s">
        <v>1501</v>
      </c>
      <c r="P2600" t="s">
        <v>1501</v>
      </c>
      <c r="Q2600" t="s">
        <v>1501</v>
      </c>
      <c r="R2600" t="s">
        <v>11913</v>
      </c>
      <c r="S2600" t="s">
        <v>11915</v>
      </c>
      <c r="T2600" t="s">
        <v>11882</v>
      </c>
      <c r="U2600" t="s">
        <v>11916</v>
      </c>
    </row>
    <row r="2601" spans="1:21" x14ac:dyDescent="0.25">
      <c r="A2601" t="s">
        <v>11917</v>
      </c>
      <c r="B2601" t="s">
        <v>22</v>
      </c>
      <c r="C2601" t="s">
        <v>11918</v>
      </c>
      <c r="D2601">
        <f t="shared" si="73"/>
        <v>-8000408503</v>
      </c>
      <c r="E2601" t="s">
        <v>11919</v>
      </c>
      <c r="F2601" t="s">
        <v>11879</v>
      </c>
      <c r="G2601" t="s">
        <v>11880</v>
      </c>
      <c r="H2601">
        <v>-99.996194699999904</v>
      </c>
      <c r="I2601">
        <v>25.592172000000001</v>
      </c>
      <c r="J2601">
        <v>30</v>
      </c>
      <c r="K2601" t="s">
        <v>1501</v>
      </c>
      <c r="L2601" t="s">
        <v>1501</v>
      </c>
      <c r="M2601" t="s">
        <v>1501</v>
      </c>
      <c r="N2601" t="s">
        <v>1501</v>
      </c>
      <c r="O2601" t="s">
        <v>1501</v>
      </c>
      <c r="P2601" t="s">
        <v>1501</v>
      </c>
      <c r="Q2601" t="s">
        <v>1501</v>
      </c>
      <c r="R2601" t="s">
        <v>11918</v>
      </c>
      <c r="S2601" t="s">
        <v>11920</v>
      </c>
      <c r="T2601" t="s">
        <v>11921</v>
      </c>
      <c r="U2601" t="s">
        <v>11922</v>
      </c>
    </row>
    <row r="2602" spans="1:21" x14ac:dyDescent="0.25">
      <c r="A2602" t="s">
        <v>11923</v>
      </c>
      <c r="B2602" t="s">
        <v>22</v>
      </c>
      <c r="C2602" t="s">
        <v>11924</v>
      </c>
      <c r="D2602">
        <f t="shared" si="73"/>
        <v>-8000408503</v>
      </c>
      <c r="E2602" t="s">
        <v>11914</v>
      </c>
      <c r="F2602" t="s">
        <v>11879</v>
      </c>
      <c r="G2602" t="s">
        <v>11880</v>
      </c>
      <c r="H2602">
        <v>-99.137946999999997</v>
      </c>
      <c r="I2602">
        <v>19.435368</v>
      </c>
      <c r="J2602">
        <v>30</v>
      </c>
      <c r="K2602" t="s">
        <v>1501</v>
      </c>
      <c r="L2602" t="s">
        <v>1501</v>
      </c>
      <c r="M2602" t="s">
        <v>1501</v>
      </c>
      <c r="N2602" t="s">
        <v>1501</v>
      </c>
      <c r="O2602" t="s">
        <v>1501</v>
      </c>
      <c r="P2602" t="s">
        <v>1501</v>
      </c>
      <c r="Q2602" t="s">
        <v>1501</v>
      </c>
      <c r="R2602" t="s">
        <v>11924</v>
      </c>
      <c r="S2602" t="s">
        <v>11925</v>
      </c>
      <c r="T2602" t="s">
        <v>11882</v>
      </c>
      <c r="U2602" t="s">
        <v>11926</v>
      </c>
    </row>
    <row r="2603" spans="1:21" x14ac:dyDescent="0.25">
      <c r="A2603" t="s">
        <v>11927</v>
      </c>
      <c r="B2603" t="s">
        <v>22</v>
      </c>
      <c r="C2603" t="s">
        <v>11928</v>
      </c>
      <c r="D2603">
        <f t="shared" si="73"/>
        <v>-8000408503</v>
      </c>
      <c r="E2603" t="s">
        <v>11929</v>
      </c>
      <c r="F2603" t="s">
        <v>11879</v>
      </c>
      <c r="G2603" t="s">
        <v>11880</v>
      </c>
      <c r="H2603">
        <v>-87.071657999999999</v>
      </c>
      <c r="I2603">
        <v>20.627876000000001</v>
      </c>
      <c r="J2603">
        <v>30</v>
      </c>
      <c r="K2603" t="s">
        <v>6588</v>
      </c>
      <c r="L2603" t="s">
        <v>6588</v>
      </c>
      <c r="M2603" t="s">
        <v>6588</v>
      </c>
      <c r="N2603" t="s">
        <v>6588</v>
      </c>
      <c r="O2603" t="s">
        <v>6588</v>
      </c>
      <c r="P2603" t="s">
        <v>6588</v>
      </c>
      <c r="Q2603" t="s">
        <v>6588</v>
      </c>
      <c r="R2603" t="s">
        <v>11928</v>
      </c>
      <c r="S2603" t="s">
        <v>11930</v>
      </c>
      <c r="T2603" t="s">
        <v>11931</v>
      </c>
      <c r="U2603" t="s">
        <v>11932</v>
      </c>
    </row>
    <row r="2604" spans="1:21" x14ac:dyDescent="0.25">
      <c r="A2604" t="s">
        <v>11933</v>
      </c>
      <c r="B2604" t="s">
        <v>22</v>
      </c>
      <c r="C2604" t="s">
        <v>11934</v>
      </c>
      <c r="D2604">
        <f t="shared" si="73"/>
        <v>-8000408503</v>
      </c>
      <c r="E2604" t="s">
        <v>6786</v>
      </c>
      <c r="F2604" t="s">
        <v>11879</v>
      </c>
      <c r="G2604" t="s">
        <v>11880</v>
      </c>
      <c r="H2604">
        <v>-103.41222500000001</v>
      </c>
      <c r="I2604">
        <v>20.710208000000002</v>
      </c>
      <c r="J2604">
        <v>30</v>
      </c>
      <c r="K2604" t="s">
        <v>1501</v>
      </c>
      <c r="L2604" t="s">
        <v>1501</v>
      </c>
      <c r="M2604" t="s">
        <v>1501</v>
      </c>
      <c r="N2604" t="s">
        <v>1501</v>
      </c>
      <c r="O2604" t="s">
        <v>1501</v>
      </c>
      <c r="P2604" t="s">
        <v>1501</v>
      </c>
      <c r="Q2604" t="s">
        <v>1501</v>
      </c>
      <c r="R2604" t="s">
        <v>11934</v>
      </c>
      <c r="S2604" t="s">
        <v>11935</v>
      </c>
      <c r="T2604" t="s">
        <v>11887</v>
      </c>
      <c r="U2604" t="s">
        <v>11936</v>
      </c>
    </row>
    <row r="2605" spans="1:21" x14ac:dyDescent="0.25">
      <c r="A2605" t="s">
        <v>11937</v>
      </c>
      <c r="B2605" t="s">
        <v>22</v>
      </c>
      <c r="C2605" t="s">
        <v>11938</v>
      </c>
      <c r="D2605">
        <f t="shared" si="73"/>
        <v>-8000408503</v>
      </c>
      <c r="E2605" t="s">
        <v>11939</v>
      </c>
      <c r="F2605" t="s">
        <v>11879</v>
      </c>
      <c r="G2605" t="s">
        <v>11880</v>
      </c>
      <c r="H2605">
        <v>-98.225592000000006</v>
      </c>
      <c r="I2605">
        <v>19.071290999999999</v>
      </c>
      <c r="J2605">
        <v>30</v>
      </c>
      <c r="K2605" t="s">
        <v>2229</v>
      </c>
      <c r="L2605" t="s">
        <v>2229</v>
      </c>
      <c r="M2605" t="s">
        <v>2229</v>
      </c>
      <c r="N2605" t="s">
        <v>2229</v>
      </c>
      <c r="O2605" t="s">
        <v>2229</v>
      </c>
      <c r="P2605" t="s">
        <v>2229</v>
      </c>
      <c r="Q2605" t="s">
        <v>2229</v>
      </c>
      <c r="R2605" t="s">
        <v>11938</v>
      </c>
      <c r="S2605" t="s">
        <v>11940</v>
      </c>
      <c r="T2605" t="s">
        <v>11939</v>
      </c>
      <c r="U2605" t="s">
        <v>11941</v>
      </c>
    </row>
    <row r="2606" spans="1:21" x14ac:dyDescent="0.25">
      <c r="A2606" t="s">
        <v>11942</v>
      </c>
      <c r="B2606" t="s">
        <v>22</v>
      </c>
      <c r="C2606" t="s">
        <v>11943</v>
      </c>
      <c r="D2606">
        <f t="shared" si="73"/>
        <v>-8000408503</v>
      </c>
      <c r="E2606" t="s">
        <v>11944</v>
      </c>
      <c r="F2606" t="s">
        <v>11879</v>
      </c>
      <c r="G2606" t="s">
        <v>11880</v>
      </c>
      <c r="H2606">
        <v>-99.622592999999995</v>
      </c>
      <c r="I2606">
        <v>19.289840999999999</v>
      </c>
      <c r="J2606">
        <v>30</v>
      </c>
      <c r="K2606" t="s">
        <v>1501</v>
      </c>
      <c r="L2606" t="s">
        <v>1501</v>
      </c>
      <c r="M2606" t="s">
        <v>1501</v>
      </c>
      <c r="N2606" t="s">
        <v>1501</v>
      </c>
      <c r="O2606" t="s">
        <v>1501</v>
      </c>
      <c r="P2606" t="s">
        <v>1501</v>
      </c>
      <c r="Q2606" t="s">
        <v>1501</v>
      </c>
      <c r="R2606" t="s">
        <v>11943</v>
      </c>
      <c r="S2606" t="s">
        <v>11945</v>
      </c>
      <c r="T2606" t="s">
        <v>11914</v>
      </c>
      <c r="U2606" t="s">
        <v>11946</v>
      </c>
    </row>
    <row r="2607" spans="1:21" x14ac:dyDescent="0.25">
      <c r="A2607" t="s">
        <v>11947</v>
      </c>
      <c r="B2607" t="s">
        <v>22</v>
      </c>
      <c r="C2607" t="s">
        <v>11948</v>
      </c>
      <c r="D2607">
        <f t="shared" si="73"/>
        <v>-8000408503</v>
      </c>
      <c r="E2607" t="s">
        <v>11949</v>
      </c>
      <c r="F2607" t="s">
        <v>11879</v>
      </c>
      <c r="G2607" t="s">
        <v>11880</v>
      </c>
      <c r="H2607">
        <v>-96.102154249999998</v>
      </c>
      <c r="I2607">
        <v>19.139735519999999</v>
      </c>
      <c r="J2607">
        <v>30</v>
      </c>
      <c r="K2607" t="s">
        <v>1501</v>
      </c>
      <c r="L2607" t="s">
        <v>1501</v>
      </c>
      <c r="M2607" t="s">
        <v>1501</v>
      </c>
      <c r="N2607" t="s">
        <v>1501</v>
      </c>
      <c r="O2607" t="s">
        <v>1501</v>
      </c>
      <c r="P2607" t="s">
        <v>1501</v>
      </c>
      <c r="Q2607" t="s">
        <v>1501</v>
      </c>
      <c r="R2607" t="s">
        <v>11948</v>
      </c>
      <c r="S2607" t="s">
        <v>11950</v>
      </c>
      <c r="T2607" t="s">
        <v>11949</v>
      </c>
      <c r="U2607" t="s">
        <v>11951</v>
      </c>
    </row>
    <row r="2608" spans="1:21" x14ac:dyDescent="0.25">
      <c r="A2608" t="s">
        <v>11952</v>
      </c>
      <c r="B2608" t="s">
        <v>22</v>
      </c>
      <c r="C2608" t="s">
        <v>11953</v>
      </c>
      <c r="D2608">
        <f t="shared" si="73"/>
        <v>-8000408503</v>
      </c>
      <c r="E2608" t="s">
        <v>11949</v>
      </c>
      <c r="F2608" t="s">
        <v>11879</v>
      </c>
      <c r="G2608" t="s">
        <v>11880</v>
      </c>
      <c r="H2608">
        <v>-96.106911999999994</v>
      </c>
      <c r="I2608">
        <v>19.096057999999999</v>
      </c>
      <c r="J2608">
        <v>30</v>
      </c>
      <c r="K2608" t="s">
        <v>1501</v>
      </c>
      <c r="L2608" t="s">
        <v>1501</v>
      </c>
      <c r="M2608" t="s">
        <v>1501</v>
      </c>
      <c r="N2608" t="s">
        <v>1501</v>
      </c>
      <c r="O2608" t="s">
        <v>1501</v>
      </c>
      <c r="P2608" t="s">
        <v>1501</v>
      </c>
      <c r="Q2608" t="s">
        <v>1501</v>
      </c>
      <c r="R2608" t="s">
        <v>11953</v>
      </c>
      <c r="S2608" t="s">
        <v>11954</v>
      </c>
      <c r="T2608" t="s">
        <v>11949</v>
      </c>
      <c r="U2608" t="s">
        <v>11955</v>
      </c>
    </row>
    <row r="2609" spans="1:21" x14ac:dyDescent="0.25">
      <c r="A2609" t="s">
        <v>11956</v>
      </c>
      <c r="B2609" t="s">
        <v>38</v>
      </c>
      <c r="C2609" t="s">
        <v>11957</v>
      </c>
      <c r="D2609">
        <f t="shared" si="73"/>
        <v>-8000408503</v>
      </c>
      <c r="E2609" t="s">
        <v>11958</v>
      </c>
      <c r="F2609" t="s">
        <v>11879</v>
      </c>
      <c r="G2609" t="s">
        <v>11880</v>
      </c>
      <c r="H2609">
        <v>-106.44848</v>
      </c>
      <c r="I2609">
        <v>23.278444</v>
      </c>
      <c r="J2609">
        <v>10</v>
      </c>
      <c r="K2609" t="s">
        <v>1035</v>
      </c>
      <c r="L2609" t="s">
        <v>1035</v>
      </c>
      <c r="M2609" t="s">
        <v>1035</v>
      </c>
      <c r="N2609" t="s">
        <v>1035</v>
      </c>
      <c r="O2609" t="s">
        <v>1035</v>
      </c>
      <c r="P2609" t="s">
        <v>1035</v>
      </c>
      <c r="Q2609" t="s">
        <v>1035</v>
      </c>
      <c r="R2609" t="s">
        <v>11957</v>
      </c>
      <c r="S2609" t="s">
        <v>11959</v>
      </c>
      <c r="T2609" t="s">
        <v>11960</v>
      </c>
      <c r="U2609" t="s">
        <v>11961</v>
      </c>
    </row>
    <row r="2610" spans="1:21" x14ac:dyDescent="0.25">
      <c r="A2610" t="s">
        <v>11962</v>
      </c>
      <c r="B2610" t="s">
        <v>22</v>
      </c>
      <c r="C2610" t="s">
        <v>11963</v>
      </c>
      <c r="D2610">
        <f t="shared" si="73"/>
        <v>-8000408503</v>
      </c>
      <c r="E2610" t="s">
        <v>11914</v>
      </c>
      <c r="F2610" t="s">
        <v>11879</v>
      </c>
      <c r="G2610" t="s">
        <v>11880</v>
      </c>
      <c r="H2610">
        <v>-99.205448000000004</v>
      </c>
      <c r="I2610">
        <v>19.539482</v>
      </c>
      <c r="J2610">
        <v>30</v>
      </c>
      <c r="K2610" t="s">
        <v>1501</v>
      </c>
      <c r="L2610" t="s">
        <v>1501</v>
      </c>
      <c r="M2610" t="s">
        <v>1501</v>
      </c>
      <c r="N2610" t="s">
        <v>1501</v>
      </c>
      <c r="O2610" t="s">
        <v>1501</v>
      </c>
      <c r="P2610" t="s">
        <v>1501</v>
      </c>
      <c r="Q2610" t="s">
        <v>1501</v>
      </c>
      <c r="R2610" t="s">
        <v>11963</v>
      </c>
      <c r="S2610" t="s">
        <v>11964</v>
      </c>
      <c r="T2610" t="s">
        <v>11914</v>
      </c>
      <c r="U2610" t="s">
        <v>11965</v>
      </c>
    </row>
    <row r="2611" spans="1:21" x14ac:dyDescent="0.25">
      <c r="A2611" t="s">
        <v>11966</v>
      </c>
      <c r="B2611" t="s">
        <v>38</v>
      </c>
      <c r="C2611" t="s">
        <v>11967</v>
      </c>
      <c r="D2611">
        <f t="shared" si="73"/>
        <v>-8000408503</v>
      </c>
      <c r="E2611" t="s">
        <v>11914</v>
      </c>
      <c r="F2611" t="s">
        <v>11879</v>
      </c>
      <c r="G2611" t="s">
        <v>11880</v>
      </c>
      <c r="H2611">
        <v>-99.124989999999997</v>
      </c>
      <c r="I2611">
        <v>19.631720999999999</v>
      </c>
      <c r="J2611">
        <v>30</v>
      </c>
      <c r="K2611" t="s">
        <v>1501</v>
      </c>
      <c r="L2611" t="s">
        <v>1501</v>
      </c>
      <c r="M2611" t="s">
        <v>1501</v>
      </c>
      <c r="N2611" t="s">
        <v>1501</v>
      </c>
      <c r="O2611" t="s">
        <v>1501</v>
      </c>
      <c r="P2611" t="s">
        <v>1501</v>
      </c>
      <c r="Q2611" t="s">
        <v>1501</v>
      </c>
      <c r="R2611" t="s">
        <v>11968</v>
      </c>
      <c r="S2611" t="s">
        <v>11969</v>
      </c>
      <c r="T2611" t="s">
        <v>11914</v>
      </c>
      <c r="U2611" t="s">
        <v>11970</v>
      </c>
    </row>
    <row r="2612" spans="1:21" x14ac:dyDescent="0.25">
      <c r="A2612" t="s">
        <v>11971</v>
      </c>
      <c r="B2612" t="s">
        <v>22</v>
      </c>
      <c r="C2612" t="s">
        <v>11972</v>
      </c>
      <c r="D2612">
        <f t="shared" si="73"/>
        <v>-8000408503</v>
      </c>
      <c r="E2612" t="s">
        <v>11973</v>
      </c>
      <c r="F2612" t="s">
        <v>11879</v>
      </c>
      <c r="G2612" t="s">
        <v>11880</v>
      </c>
      <c r="H2612">
        <v>-86.851527899999994</v>
      </c>
      <c r="I2612">
        <v>21.161908</v>
      </c>
      <c r="J2612">
        <v>30</v>
      </c>
      <c r="K2612" t="s">
        <v>1501</v>
      </c>
      <c r="L2612" t="s">
        <v>1501</v>
      </c>
      <c r="M2612" t="s">
        <v>1501</v>
      </c>
      <c r="N2612" t="s">
        <v>1501</v>
      </c>
      <c r="O2612" t="s">
        <v>1501</v>
      </c>
      <c r="P2612" t="s">
        <v>1501</v>
      </c>
      <c r="Q2612" t="s">
        <v>1501</v>
      </c>
      <c r="R2612" t="s">
        <v>11972</v>
      </c>
      <c r="S2612" t="s">
        <v>11974</v>
      </c>
      <c r="T2612" t="s">
        <v>11931</v>
      </c>
      <c r="U2612" t="s">
        <v>11975</v>
      </c>
    </row>
    <row r="2613" spans="1:21" x14ac:dyDescent="0.25">
      <c r="A2613" t="s">
        <v>11976</v>
      </c>
      <c r="B2613" t="s">
        <v>38</v>
      </c>
      <c r="C2613" t="s">
        <v>11977</v>
      </c>
      <c r="D2613">
        <f t="shared" si="73"/>
        <v>-8000408503</v>
      </c>
      <c r="E2613" t="s">
        <v>11978</v>
      </c>
      <c r="F2613" t="s">
        <v>11879</v>
      </c>
      <c r="G2613" t="s">
        <v>11880</v>
      </c>
      <c r="H2613">
        <v>-99.190736399999906</v>
      </c>
      <c r="I2613">
        <v>19.5345279</v>
      </c>
      <c r="J2613">
        <v>30</v>
      </c>
      <c r="K2613" t="s">
        <v>1501</v>
      </c>
      <c r="L2613" t="s">
        <v>1501</v>
      </c>
      <c r="M2613" t="s">
        <v>1501</v>
      </c>
      <c r="N2613" t="s">
        <v>1501</v>
      </c>
      <c r="O2613" t="s">
        <v>1501</v>
      </c>
      <c r="P2613" t="s">
        <v>1501</v>
      </c>
      <c r="Q2613" t="s">
        <v>1501</v>
      </c>
      <c r="R2613" t="s">
        <v>11977</v>
      </c>
      <c r="S2613" t="s">
        <v>11979</v>
      </c>
      <c r="T2613" t="s">
        <v>11914</v>
      </c>
      <c r="U2613" t="s">
        <v>11980</v>
      </c>
    </row>
    <row r="2614" spans="1:21" x14ac:dyDescent="0.25">
      <c r="A2614" t="s">
        <v>11981</v>
      </c>
      <c r="B2614" t="s">
        <v>38</v>
      </c>
      <c r="C2614" t="s">
        <v>11982</v>
      </c>
      <c r="D2614">
        <f t="shared" si="73"/>
        <v>-8000408503</v>
      </c>
      <c r="E2614" t="s">
        <v>11983</v>
      </c>
      <c r="F2614" t="s">
        <v>11879</v>
      </c>
      <c r="G2614" t="s">
        <v>11880</v>
      </c>
      <c r="H2614">
        <v>-93.182986799999895</v>
      </c>
      <c r="I2614">
        <v>16.7167712</v>
      </c>
      <c r="J2614">
        <v>30</v>
      </c>
      <c r="K2614" t="s">
        <v>6588</v>
      </c>
      <c r="L2614" t="s">
        <v>6588</v>
      </c>
      <c r="M2614" t="s">
        <v>6588</v>
      </c>
      <c r="N2614" t="s">
        <v>6588</v>
      </c>
      <c r="O2614" t="s">
        <v>6588</v>
      </c>
      <c r="P2614" t="s">
        <v>6588</v>
      </c>
      <c r="Q2614" t="s">
        <v>6588</v>
      </c>
      <c r="R2614" t="s">
        <v>11982</v>
      </c>
      <c r="S2614" t="s">
        <v>11984</v>
      </c>
      <c r="T2614" t="s">
        <v>11985</v>
      </c>
      <c r="U2614" t="s">
        <v>11986</v>
      </c>
    </row>
    <row r="2615" spans="1:21" x14ac:dyDescent="0.25">
      <c r="A2615" t="s">
        <v>11987</v>
      </c>
      <c r="B2615" t="s">
        <v>22</v>
      </c>
      <c r="C2615" t="s">
        <v>11988</v>
      </c>
      <c r="D2615">
        <f t="shared" si="73"/>
        <v>-8000408503</v>
      </c>
      <c r="E2615" t="s">
        <v>11989</v>
      </c>
      <c r="F2615" t="s">
        <v>11879</v>
      </c>
      <c r="G2615" t="s">
        <v>11880</v>
      </c>
      <c r="H2615">
        <v>-100.2443624</v>
      </c>
      <c r="I2615">
        <v>25.578105499999999</v>
      </c>
      <c r="J2615">
        <v>30</v>
      </c>
      <c r="K2615" t="s">
        <v>1501</v>
      </c>
      <c r="L2615" t="s">
        <v>1501</v>
      </c>
      <c r="M2615" t="s">
        <v>1501</v>
      </c>
      <c r="N2615" t="s">
        <v>1501</v>
      </c>
      <c r="O2615" t="s">
        <v>1501</v>
      </c>
      <c r="P2615" t="s">
        <v>1501</v>
      </c>
      <c r="Q2615" t="s">
        <v>1501</v>
      </c>
      <c r="R2615" t="s">
        <v>11988</v>
      </c>
      <c r="S2615" t="s">
        <v>11990</v>
      </c>
      <c r="T2615" t="s">
        <v>11921</v>
      </c>
      <c r="U2615" t="s">
        <v>11991</v>
      </c>
    </row>
    <row r="2616" spans="1:21" x14ac:dyDescent="0.25">
      <c r="A2616" t="s">
        <v>11992</v>
      </c>
      <c r="B2616" t="s">
        <v>22</v>
      </c>
      <c r="C2616" t="s">
        <v>11993</v>
      </c>
      <c r="D2616">
        <f t="shared" si="73"/>
        <v>-8000408503</v>
      </c>
      <c r="E2616" t="s">
        <v>11914</v>
      </c>
      <c r="F2616" t="s">
        <v>11879</v>
      </c>
      <c r="G2616" t="s">
        <v>11880</v>
      </c>
      <c r="H2616">
        <v>-99.189583400000004</v>
      </c>
      <c r="I2616">
        <v>19.360706100000002</v>
      </c>
      <c r="J2616">
        <v>30</v>
      </c>
      <c r="K2616" t="s">
        <v>1501</v>
      </c>
      <c r="L2616" t="s">
        <v>1501</v>
      </c>
      <c r="M2616" t="s">
        <v>1501</v>
      </c>
      <c r="N2616" t="s">
        <v>1501</v>
      </c>
      <c r="O2616" t="s">
        <v>1501</v>
      </c>
      <c r="P2616" t="s">
        <v>1501</v>
      </c>
      <c r="Q2616" t="s">
        <v>1501</v>
      </c>
      <c r="R2616" t="s">
        <v>11993</v>
      </c>
      <c r="S2616" t="s">
        <v>11994</v>
      </c>
      <c r="T2616" t="s">
        <v>11882</v>
      </c>
      <c r="U2616" t="s">
        <v>11995</v>
      </c>
    </row>
    <row r="2617" spans="1:21" x14ac:dyDescent="0.25">
      <c r="A2617" t="s">
        <v>11996</v>
      </c>
      <c r="B2617" t="s">
        <v>22</v>
      </c>
      <c r="C2617" t="s">
        <v>11997</v>
      </c>
      <c r="D2617">
        <f t="shared" si="73"/>
        <v>-8000408503</v>
      </c>
      <c r="E2617" t="s">
        <v>11897</v>
      </c>
      <c r="F2617" t="s">
        <v>11879</v>
      </c>
      <c r="G2617" t="s">
        <v>11880</v>
      </c>
      <c r="H2617">
        <v>-101.685960499999</v>
      </c>
      <c r="I2617">
        <v>21.157185999999999</v>
      </c>
      <c r="J2617">
        <v>30</v>
      </c>
      <c r="K2617" t="s">
        <v>6588</v>
      </c>
      <c r="L2617" t="s">
        <v>6588</v>
      </c>
      <c r="M2617" t="s">
        <v>6588</v>
      </c>
      <c r="N2617" t="s">
        <v>6588</v>
      </c>
      <c r="O2617" t="s">
        <v>6588</v>
      </c>
      <c r="P2617" t="s">
        <v>6588</v>
      </c>
      <c r="Q2617" t="s">
        <v>6588</v>
      </c>
      <c r="R2617" t="s">
        <v>11997</v>
      </c>
      <c r="S2617" t="s">
        <v>11998</v>
      </c>
      <c r="T2617" t="s">
        <v>11899</v>
      </c>
      <c r="U2617" t="s">
        <v>11999</v>
      </c>
    </row>
    <row r="2618" spans="1:21" x14ac:dyDescent="0.25">
      <c r="A2618" t="s">
        <v>12000</v>
      </c>
      <c r="B2618" t="s">
        <v>38</v>
      </c>
      <c r="C2618" t="s">
        <v>12001</v>
      </c>
      <c r="D2618">
        <f t="shared" si="73"/>
        <v>-8000408503</v>
      </c>
      <c r="E2618" t="s">
        <v>11944</v>
      </c>
      <c r="F2618" t="s">
        <v>11879</v>
      </c>
      <c r="G2618" t="s">
        <v>11880</v>
      </c>
      <c r="H2618">
        <v>-99.515902600000004</v>
      </c>
      <c r="I2618">
        <v>19.294495000000001</v>
      </c>
      <c r="J2618">
        <v>30</v>
      </c>
      <c r="K2618" t="s">
        <v>1501</v>
      </c>
      <c r="L2618" t="s">
        <v>1501</v>
      </c>
      <c r="M2618" t="s">
        <v>1501</v>
      </c>
      <c r="N2618" t="s">
        <v>1501</v>
      </c>
      <c r="O2618" t="s">
        <v>1501</v>
      </c>
      <c r="P2618" t="s">
        <v>1501</v>
      </c>
      <c r="Q2618" t="s">
        <v>1501</v>
      </c>
      <c r="R2618" t="s">
        <v>12001</v>
      </c>
      <c r="S2618" t="s">
        <v>12002</v>
      </c>
      <c r="T2618" t="s">
        <v>11914</v>
      </c>
      <c r="U2618" t="s">
        <v>12003</v>
      </c>
    </row>
    <row r="2619" spans="1:21" x14ac:dyDescent="0.25">
      <c r="A2619" t="s">
        <v>12004</v>
      </c>
      <c r="B2619" t="s">
        <v>38</v>
      </c>
      <c r="C2619" t="s">
        <v>12005</v>
      </c>
      <c r="D2619">
        <f t="shared" si="73"/>
        <v>-8000408503</v>
      </c>
      <c r="E2619" t="s">
        <v>12006</v>
      </c>
      <c r="F2619" t="s">
        <v>11879</v>
      </c>
      <c r="G2619" t="s">
        <v>11880</v>
      </c>
      <c r="H2619">
        <v>-101.379632399999</v>
      </c>
      <c r="I2619">
        <v>20.680423300000001</v>
      </c>
      <c r="J2619">
        <v>30</v>
      </c>
      <c r="K2619" t="s">
        <v>6588</v>
      </c>
      <c r="L2619" t="s">
        <v>6588</v>
      </c>
      <c r="M2619" t="s">
        <v>6588</v>
      </c>
      <c r="N2619" t="s">
        <v>6588</v>
      </c>
      <c r="O2619" t="s">
        <v>6588</v>
      </c>
      <c r="P2619" t="s">
        <v>6588</v>
      </c>
      <c r="Q2619" t="s">
        <v>6588</v>
      </c>
      <c r="R2619" t="s">
        <v>12005</v>
      </c>
      <c r="S2619" t="s">
        <v>12007</v>
      </c>
      <c r="T2619" t="s">
        <v>11899</v>
      </c>
      <c r="U2619" t="s">
        <v>12008</v>
      </c>
    </row>
    <row r="2620" spans="1:21" x14ac:dyDescent="0.25">
      <c r="A2620" t="s">
        <v>12009</v>
      </c>
      <c r="B2620" t="s">
        <v>22</v>
      </c>
      <c r="C2620" t="s">
        <v>12010</v>
      </c>
      <c r="D2620">
        <f t="shared" si="73"/>
        <v>-8000408503</v>
      </c>
      <c r="E2620" t="s">
        <v>11878</v>
      </c>
      <c r="F2620" t="s">
        <v>11879</v>
      </c>
      <c r="G2620" t="s">
        <v>11880</v>
      </c>
      <c r="H2620">
        <v>-99.082048</v>
      </c>
      <c r="I2620">
        <v>19.385365</v>
      </c>
      <c r="J2620">
        <v>30</v>
      </c>
      <c r="K2620" t="s">
        <v>536</v>
      </c>
      <c r="L2620" t="s">
        <v>536</v>
      </c>
      <c r="M2620" t="s">
        <v>536</v>
      </c>
      <c r="N2620" t="s">
        <v>536</v>
      </c>
      <c r="O2620" t="s">
        <v>536</v>
      </c>
      <c r="P2620" t="s">
        <v>536</v>
      </c>
      <c r="Q2620" t="s">
        <v>536</v>
      </c>
      <c r="R2620" t="s">
        <v>12010</v>
      </c>
      <c r="S2620" t="s">
        <v>12011</v>
      </c>
      <c r="T2620" t="s">
        <v>11882</v>
      </c>
      <c r="U2620" t="s">
        <v>12012</v>
      </c>
    </row>
    <row r="2621" spans="1:21" x14ac:dyDescent="0.25">
      <c r="A2621" t="s">
        <v>12013</v>
      </c>
      <c r="B2621" t="s">
        <v>32</v>
      </c>
      <c r="C2621" t="s">
        <v>12014</v>
      </c>
      <c r="D2621">
        <f t="shared" si="73"/>
        <v>-8000408503</v>
      </c>
      <c r="E2621" t="s">
        <v>11914</v>
      </c>
      <c r="F2621" t="s">
        <v>11879</v>
      </c>
      <c r="G2621" t="s">
        <v>11880</v>
      </c>
      <c r="H2621">
        <v>-99.133207999999897</v>
      </c>
      <c r="I2621">
        <v>19.432607699999998</v>
      </c>
      <c r="J2621">
        <v>20</v>
      </c>
      <c r="K2621" t="s">
        <v>1501</v>
      </c>
      <c r="L2621" t="s">
        <v>1501</v>
      </c>
      <c r="M2621" t="s">
        <v>1501</v>
      </c>
      <c r="N2621" t="s">
        <v>1501</v>
      </c>
      <c r="O2621" t="s">
        <v>1501</v>
      </c>
      <c r="P2621" t="s">
        <v>1501</v>
      </c>
      <c r="Q2621" t="s">
        <v>1501</v>
      </c>
      <c r="R2621" t="s">
        <v>12014</v>
      </c>
      <c r="S2621" t="s">
        <v>12015</v>
      </c>
      <c r="T2621" t="s">
        <v>11882</v>
      </c>
      <c r="U2621" t="s">
        <v>12016</v>
      </c>
    </row>
    <row r="2622" spans="1:21" x14ac:dyDescent="0.25">
      <c r="A2622" t="s">
        <v>12017</v>
      </c>
      <c r="B2622" t="s">
        <v>22</v>
      </c>
      <c r="C2622" t="s">
        <v>12018</v>
      </c>
      <c r="D2622">
        <f t="shared" si="73"/>
        <v>-8000408503</v>
      </c>
      <c r="E2622" t="s">
        <v>11914</v>
      </c>
      <c r="F2622" t="s">
        <v>11879</v>
      </c>
      <c r="G2622" t="s">
        <v>11880</v>
      </c>
      <c r="H2622">
        <v>-99.180954</v>
      </c>
      <c r="I2622">
        <v>19.370217</v>
      </c>
      <c r="J2622">
        <v>30</v>
      </c>
      <c r="K2622" t="s">
        <v>1501</v>
      </c>
      <c r="L2622" t="s">
        <v>1501</v>
      </c>
      <c r="M2622" t="s">
        <v>1501</v>
      </c>
      <c r="N2622" t="s">
        <v>1501</v>
      </c>
      <c r="O2622" t="s">
        <v>1501</v>
      </c>
      <c r="P2622" t="s">
        <v>1501</v>
      </c>
      <c r="Q2622" t="s">
        <v>1501</v>
      </c>
      <c r="R2622" t="s">
        <v>12018</v>
      </c>
      <c r="S2622" t="s">
        <v>12019</v>
      </c>
      <c r="T2622" t="s">
        <v>11882</v>
      </c>
      <c r="U2622" t="s">
        <v>12020</v>
      </c>
    </row>
    <row r="2623" spans="1:21" x14ac:dyDescent="0.25">
      <c r="A2623" t="s">
        <v>12021</v>
      </c>
      <c r="B2623" t="s">
        <v>22</v>
      </c>
      <c r="C2623" t="s">
        <v>12022</v>
      </c>
      <c r="D2623">
        <f t="shared" si="73"/>
        <v>-8000408503</v>
      </c>
      <c r="E2623" t="s">
        <v>11891</v>
      </c>
      <c r="F2623" t="s">
        <v>11879</v>
      </c>
      <c r="G2623" t="s">
        <v>11880</v>
      </c>
      <c r="H2623">
        <v>-100.4581104</v>
      </c>
      <c r="I2623">
        <v>20.617176700000002</v>
      </c>
      <c r="J2623">
        <v>30</v>
      </c>
      <c r="K2623" t="s">
        <v>1501</v>
      </c>
      <c r="L2623" t="s">
        <v>1501</v>
      </c>
      <c r="M2623" t="s">
        <v>1501</v>
      </c>
      <c r="N2623" t="s">
        <v>1501</v>
      </c>
      <c r="O2623" t="s">
        <v>1501</v>
      </c>
      <c r="P2623" t="s">
        <v>1501</v>
      </c>
      <c r="Q2623" t="s">
        <v>1501</v>
      </c>
      <c r="R2623" t="s">
        <v>12022</v>
      </c>
      <c r="S2623" t="s">
        <v>12023</v>
      </c>
      <c r="T2623" t="s">
        <v>11893</v>
      </c>
      <c r="U2623" t="s">
        <v>12024</v>
      </c>
    </row>
    <row r="2624" spans="1:21" x14ac:dyDescent="0.25">
      <c r="A2624" t="s">
        <v>12025</v>
      </c>
      <c r="B2624" t="s">
        <v>22</v>
      </c>
      <c r="C2624" t="s">
        <v>12026</v>
      </c>
      <c r="D2624">
        <f t="shared" si="73"/>
        <v>-8000408503</v>
      </c>
      <c r="E2624" t="s">
        <v>11973</v>
      </c>
      <c r="F2624" t="s">
        <v>11879</v>
      </c>
      <c r="G2624" t="s">
        <v>11880</v>
      </c>
      <c r="H2624">
        <v>-86.764624999999995</v>
      </c>
      <c r="I2624">
        <v>21.110876999999999</v>
      </c>
      <c r="J2624">
        <v>30</v>
      </c>
      <c r="K2624" t="s">
        <v>6588</v>
      </c>
      <c r="L2624" t="s">
        <v>6588</v>
      </c>
      <c r="M2624" t="s">
        <v>6588</v>
      </c>
      <c r="N2624" t="s">
        <v>6588</v>
      </c>
      <c r="O2624" t="s">
        <v>6588</v>
      </c>
      <c r="P2624" t="s">
        <v>6588</v>
      </c>
      <c r="Q2624" t="s">
        <v>6588</v>
      </c>
      <c r="R2624" t="s">
        <v>12026</v>
      </c>
      <c r="S2624" t="s">
        <v>12027</v>
      </c>
      <c r="T2624" t="s">
        <v>11931</v>
      </c>
      <c r="U2624" t="s">
        <v>12028</v>
      </c>
    </row>
    <row r="2625" spans="1:21" x14ac:dyDescent="0.25">
      <c r="A2625" t="s">
        <v>12029</v>
      </c>
      <c r="B2625" t="s">
        <v>22</v>
      </c>
      <c r="C2625" t="s">
        <v>12030</v>
      </c>
      <c r="D2625">
        <f t="shared" si="73"/>
        <v>-8000408503</v>
      </c>
      <c r="E2625" t="s">
        <v>11914</v>
      </c>
      <c r="F2625" t="s">
        <v>11879</v>
      </c>
      <c r="G2625" t="s">
        <v>11880</v>
      </c>
      <c r="H2625">
        <v>-99.283670999999998</v>
      </c>
      <c r="I2625">
        <v>19.399090999999999</v>
      </c>
      <c r="J2625">
        <v>30</v>
      </c>
      <c r="K2625" t="s">
        <v>1501</v>
      </c>
      <c r="L2625" t="s">
        <v>1501</v>
      </c>
      <c r="M2625" t="s">
        <v>1501</v>
      </c>
      <c r="N2625" t="s">
        <v>1501</v>
      </c>
      <c r="O2625" t="s">
        <v>1501</v>
      </c>
      <c r="P2625" t="s">
        <v>1501</v>
      </c>
      <c r="Q2625" t="s">
        <v>1501</v>
      </c>
      <c r="R2625" t="s">
        <v>12030</v>
      </c>
      <c r="S2625" t="s">
        <v>12031</v>
      </c>
      <c r="T2625" t="s">
        <v>11914</v>
      </c>
      <c r="U2625" t="s">
        <v>12032</v>
      </c>
    </row>
    <row r="2626" spans="1:21" x14ac:dyDescent="0.25">
      <c r="A2626" t="s">
        <v>12033</v>
      </c>
      <c r="B2626" t="s">
        <v>22</v>
      </c>
      <c r="C2626" t="s">
        <v>12034</v>
      </c>
      <c r="D2626">
        <f t="shared" si="73"/>
        <v>-8000408503</v>
      </c>
      <c r="E2626" t="s">
        <v>12035</v>
      </c>
      <c r="F2626" t="s">
        <v>11879</v>
      </c>
      <c r="G2626" t="s">
        <v>11880</v>
      </c>
      <c r="H2626">
        <v>-99.197413999999995</v>
      </c>
      <c r="I2626">
        <v>18.934094999999999</v>
      </c>
      <c r="J2626">
        <v>30</v>
      </c>
      <c r="K2626" t="s">
        <v>1501</v>
      </c>
      <c r="L2626" t="s">
        <v>1501</v>
      </c>
      <c r="M2626" t="s">
        <v>1501</v>
      </c>
      <c r="N2626" t="s">
        <v>1501</v>
      </c>
      <c r="O2626" t="s">
        <v>1501</v>
      </c>
      <c r="P2626" t="s">
        <v>1501</v>
      </c>
      <c r="Q2626" t="s">
        <v>1501</v>
      </c>
      <c r="R2626" t="s">
        <v>12034</v>
      </c>
      <c r="S2626" t="s">
        <v>12036</v>
      </c>
      <c r="T2626" t="s">
        <v>12037</v>
      </c>
      <c r="U2626" t="s">
        <v>12038</v>
      </c>
    </row>
    <row r="2627" spans="1:21" x14ac:dyDescent="0.25">
      <c r="A2627" t="s">
        <v>12039</v>
      </c>
      <c r="B2627" t="s">
        <v>22</v>
      </c>
      <c r="C2627" t="s">
        <v>12040</v>
      </c>
      <c r="D2627">
        <f t="shared" si="73"/>
        <v>-8000408503</v>
      </c>
      <c r="E2627" t="s">
        <v>12041</v>
      </c>
      <c r="F2627" t="s">
        <v>11879</v>
      </c>
      <c r="G2627" t="s">
        <v>11880</v>
      </c>
      <c r="H2627">
        <v>-99.274220999999997</v>
      </c>
      <c r="I2627">
        <v>19.549717000000001</v>
      </c>
      <c r="J2627">
        <v>30</v>
      </c>
      <c r="K2627" t="s">
        <v>1035</v>
      </c>
      <c r="L2627" t="s">
        <v>1035</v>
      </c>
      <c r="M2627" t="s">
        <v>1035</v>
      </c>
      <c r="N2627" t="s">
        <v>1035</v>
      </c>
      <c r="O2627" t="s">
        <v>1035</v>
      </c>
      <c r="P2627" t="s">
        <v>1035</v>
      </c>
      <c r="Q2627" t="s">
        <v>1035</v>
      </c>
      <c r="R2627" t="s">
        <v>12040</v>
      </c>
      <c r="S2627" t="s">
        <v>12042</v>
      </c>
      <c r="T2627" t="s">
        <v>11914</v>
      </c>
      <c r="U2627" t="s">
        <v>12043</v>
      </c>
    </row>
    <row r="2628" spans="1:21" x14ac:dyDescent="0.25">
      <c r="A2628" t="s">
        <v>12044</v>
      </c>
      <c r="B2628" t="s">
        <v>38</v>
      </c>
      <c r="C2628" t="s">
        <v>12045</v>
      </c>
      <c r="D2628">
        <f t="shared" si="73"/>
        <v>-8000408503</v>
      </c>
      <c r="E2628" t="s">
        <v>11919</v>
      </c>
      <c r="F2628" t="s">
        <v>11879</v>
      </c>
      <c r="G2628" t="s">
        <v>11880</v>
      </c>
      <c r="H2628">
        <v>-100.21901200000001</v>
      </c>
      <c r="I2628">
        <v>25.720518999999999</v>
      </c>
      <c r="J2628">
        <v>30</v>
      </c>
      <c r="K2628" t="s">
        <v>1501</v>
      </c>
      <c r="L2628" t="s">
        <v>1501</v>
      </c>
      <c r="M2628" t="s">
        <v>1501</v>
      </c>
      <c r="N2628" t="s">
        <v>1501</v>
      </c>
      <c r="O2628" t="s">
        <v>1501</v>
      </c>
      <c r="P2628" t="s">
        <v>1501</v>
      </c>
      <c r="Q2628" t="s">
        <v>1501</v>
      </c>
      <c r="R2628" t="s">
        <v>12045</v>
      </c>
      <c r="S2628" t="s">
        <v>12046</v>
      </c>
      <c r="T2628" t="s">
        <v>11921</v>
      </c>
      <c r="U2628" t="s">
        <v>12047</v>
      </c>
    </row>
    <row r="2629" spans="1:21" x14ac:dyDescent="0.25">
      <c r="A2629" t="s">
        <v>12048</v>
      </c>
      <c r="B2629" t="s">
        <v>22</v>
      </c>
      <c r="C2629" t="s">
        <v>12049</v>
      </c>
      <c r="D2629">
        <f t="shared" si="73"/>
        <v>-8000408503</v>
      </c>
      <c r="E2629" t="s">
        <v>11919</v>
      </c>
      <c r="F2629" t="s">
        <v>11879</v>
      </c>
      <c r="G2629" t="s">
        <v>11880</v>
      </c>
      <c r="H2629">
        <v>-100.3112024</v>
      </c>
      <c r="I2629">
        <v>25.639418500000001</v>
      </c>
      <c r="J2629">
        <v>30</v>
      </c>
      <c r="K2629" t="s">
        <v>1501</v>
      </c>
      <c r="L2629" t="s">
        <v>1501</v>
      </c>
      <c r="M2629" t="s">
        <v>1501</v>
      </c>
      <c r="N2629" t="s">
        <v>1501</v>
      </c>
      <c r="O2629" t="s">
        <v>1501</v>
      </c>
      <c r="P2629" t="s">
        <v>1501</v>
      </c>
      <c r="Q2629" t="s">
        <v>1501</v>
      </c>
      <c r="R2629" t="s">
        <v>12049</v>
      </c>
      <c r="S2629" t="s">
        <v>12050</v>
      </c>
      <c r="T2629" t="s">
        <v>11921</v>
      </c>
      <c r="U2629" t="s">
        <v>12051</v>
      </c>
    </row>
    <row r="2630" spans="1:21" x14ac:dyDescent="0.25">
      <c r="A2630" t="s">
        <v>12052</v>
      </c>
      <c r="B2630" t="s">
        <v>22</v>
      </c>
      <c r="C2630" t="s">
        <v>12053</v>
      </c>
      <c r="D2630">
        <f t="shared" si="73"/>
        <v>-8000408503</v>
      </c>
      <c r="E2630" t="s">
        <v>12054</v>
      </c>
      <c r="F2630" t="s">
        <v>11879</v>
      </c>
      <c r="G2630" t="s">
        <v>11880</v>
      </c>
      <c r="H2630">
        <v>-99.158069299999894</v>
      </c>
      <c r="I2630">
        <v>19.3923907</v>
      </c>
      <c r="J2630">
        <v>30</v>
      </c>
      <c r="K2630" t="s">
        <v>1501</v>
      </c>
      <c r="L2630" t="s">
        <v>1501</v>
      </c>
      <c r="M2630" t="s">
        <v>1501</v>
      </c>
      <c r="N2630" t="s">
        <v>1501</v>
      </c>
      <c r="O2630" t="s">
        <v>1501</v>
      </c>
      <c r="P2630" t="s">
        <v>1501</v>
      </c>
      <c r="Q2630" t="s">
        <v>1501</v>
      </c>
      <c r="R2630" t="s">
        <v>12055</v>
      </c>
      <c r="S2630" t="s">
        <v>12056</v>
      </c>
      <c r="T2630" t="s">
        <v>11882</v>
      </c>
      <c r="U2630" t="s">
        <v>12057</v>
      </c>
    </row>
    <row r="2631" spans="1:21" x14ac:dyDescent="0.25">
      <c r="A2631" t="s">
        <v>12058</v>
      </c>
      <c r="B2631" t="s">
        <v>22</v>
      </c>
      <c r="C2631" t="s">
        <v>12059</v>
      </c>
      <c r="D2631">
        <f t="shared" si="73"/>
        <v>-8000408503</v>
      </c>
      <c r="E2631" t="s">
        <v>12060</v>
      </c>
      <c r="F2631" t="s">
        <v>11879</v>
      </c>
      <c r="G2631" t="s">
        <v>11880</v>
      </c>
      <c r="H2631">
        <v>-105.2253316</v>
      </c>
      <c r="I2631">
        <v>20.653407000000001</v>
      </c>
      <c r="J2631">
        <v>30</v>
      </c>
      <c r="K2631" t="s">
        <v>1501</v>
      </c>
      <c r="L2631" t="s">
        <v>1501</v>
      </c>
      <c r="M2631" t="s">
        <v>1501</v>
      </c>
      <c r="N2631" t="s">
        <v>1501</v>
      </c>
      <c r="O2631" t="s">
        <v>1501</v>
      </c>
      <c r="P2631" t="s">
        <v>1501</v>
      </c>
      <c r="Q2631" t="s">
        <v>1501</v>
      </c>
      <c r="R2631" t="s">
        <v>12059</v>
      </c>
      <c r="S2631" t="s">
        <v>12061</v>
      </c>
      <c r="T2631" t="s">
        <v>11887</v>
      </c>
      <c r="U2631" t="s">
        <v>12062</v>
      </c>
    </row>
    <row r="2632" spans="1:21" x14ac:dyDescent="0.25">
      <c r="A2632" t="s">
        <v>12063</v>
      </c>
      <c r="B2632" t="s">
        <v>38</v>
      </c>
      <c r="C2632" t="s">
        <v>12064</v>
      </c>
      <c r="D2632">
        <f t="shared" si="73"/>
        <v>-8000408503</v>
      </c>
      <c r="E2632" t="s">
        <v>12065</v>
      </c>
      <c r="F2632" t="s">
        <v>11879</v>
      </c>
      <c r="G2632" t="s">
        <v>11880</v>
      </c>
      <c r="H2632">
        <v>-100.338928</v>
      </c>
      <c r="I2632">
        <v>25.649089</v>
      </c>
      <c r="J2632">
        <v>33</v>
      </c>
      <c r="K2632" t="s">
        <v>1501</v>
      </c>
      <c r="L2632" t="s">
        <v>1501</v>
      </c>
      <c r="M2632" t="s">
        <v>1501</v>
      </c>
      <c r="N2632" t="s">
        <v>1501</v>
      </c>
      <c r="O2632" t="s">
        <v>1501</v>
      </c>
      <c r="P2632" t="s">
        <v>1501</v>
      </c>
      <c r="Q2632" t="s">
        <v>1501</v>
      </c>
      <c r="R2632" t="s">
        <v>12064</v>
      </c>
      <c r="S2632" t="s">
        <v>12066</v>
      </c>
      <c r="T2632" t="s">
        <v>12067</v>
      </c>
      <c r="U2632" t="s">
        <v>12068</v>
      </c>
    </row>
    <row r="2633" spans="1:21" x14ac:dyDescent="0.25">
      <c r="A2633" t="s">
        <v>12069</v>
      </c>
      <c r="B2633" t="s">
        <v>22</v>
      </c>
      <c r="C2633" t="s">
        <v>12070</v>
      </c>
      <c r="D2633">
        <f t="shared" si="73"/>
        <v>-8000408503</v>
      </c>
      <c r="E2633" t="s">
        <v>12071</v>
      </c>
      <c r="F2633" t="s">
        <v>11879</v>
      </c>
      <c r="G2633" t="s">
        <v>11880</v>
      </c>
      <c r="H2633">
        <v>-98.768106000000003</v>
      </c>
      <c r="I2633">
        <v>20.098472999999998</v>
      </c>
      <c r="J2633">
        <v>30</v>
      </c>
      <c r="K2633" t="s">
        <v>1501</v>
      </c>
      <c r="L2633" t="s">
        <v>1501</v>
      </c>
      <c r="M2633" t="s">
        <v>1501</v>
      </c>
      <c r="N2633" t="s">
        <v>1501</v>
      </c>
      <c r="O2633" t="s">
        <v>1501</v>
      </c>
      <c r="P2633" t="s">
        <v>1501</v>
      </c>
      <c r="Q2633" t="s">
        <v>1501</v>
      </c>
      <c r="R2633" t="s">
        <v>12070</v>
      </c>
      <c r="S2633" t="s">
        <v>12072</v>
      </c>
      <c r="T2633" t="s">
        <v>12073</v>
      </c>
      <c r="U2633" t="s">
        <v>12074</v>
      </c>
    </row>
    <row r="2634" spans="1:21" x14ac:dyDescent="0.25">
      <c r="A2634" t="s">
        <v>12075</v>
      </c>
      <c r="B2634" t="s">
        <v>38</v>
      </c>
      <c r="C2634" t="s">
        <v>12076</v>
      </c>
      <c r="D2634">
        <f t="shared" si="73"/>
        <v>-8000408503</v>
      </c>
      <c r="E2634" t="s">
        <v>12077</v>
      </c>
      <c r="F2634" t="s">
        <v>11879</v>
      </c>
      <c r="G2634" t="s">
        <v>11880</v>
      </c>
      <c r="H2634">
        <v>-89.630808999999999</v>
      </c>
      <c r="I2634">
        <v>21.039653999999999</v>
      </c>
      <c r="J2634">
        <v>30</v>
      </c>
      <c r="K2634" t="s">
        <v>1035</v>
      </c>
      <c r="L2634" t="s">
        <v>1035</v>
      </c>
      <c r="M2634" t="s">
        <v>1035</v>
      </c>
      <c r="N2634" t="s">
        <v>1035</v>
      </c>
      <c r="O2634" t="s">
        <v>1035</v>
      </c>
      <c r="P2634" t="s">
        <v>1035</v>
      </c>
      <c r="Q2634" t="s">
        <v>1035</v>
      </c>
      <c r="R2634" t="s">
        <v>12076</v>
      </c>
      <c r="S2634" t="s">
        <v>12078</v>
      </c>
      <c r="T2634" t="s">
        <v>12079</v>
      </c>
      <c r="U2634" t="s">
        <v>12080</v>
      </c>
    </row>
    <row r="2635" spans="1:21" x14ac:dyDescent="0.25">
      <c r="A2635" t="s">
        <v>12081</v>
      </c>
      <c r="B2635" t="s">
        <v>38</v>
      </c>
      <c r="C2635" t="s">
        <v>12082</v>
      </c>
      <c r="D2635">
        <f t="shared" si="73"/>
        <v>-8000408503</v>
      </c>
      <c r="E2635" t="s">
        <v>6786</v>
      </c>
      <c r="F2635" t="s">
        <v>11879</v>
      </c>
      <c r="G2635" t="s">
        <v>11880</v>
      </c>
      <c r="H2635">
        <v>-103.468</v>
      </c>
      <c r="I2635">
        <v>20.553000000000001</v>
      </c>
      <c r="J2635">
        <v>30</v>
      </c>
      <c r="K2635" t="s">
        <v>1501</v>
      </c>
      <c r="L2635" t="s">
        <v>1501</v>
      </c>
      <c r="M2635" t="s">
        <v>1501</v>
      </c>
      <c r="N2635" t="s">
        <v>1501</v>
      </c>
      <c r="O2635" t="s">
        <v>1501</v>
      </c>
      <c r="P2635" t="s">
        <v>1501</v>
      </c>
      <c r="Q2635" t="s">
        <v>1501</v>
      </c>
      <c r="R2635" t="s">
        <v>12082</v>
      </c>
      <c r="T2635" t="s">
        <v>11887</v>
      </c>
      <c r="U2635" t="s">
        <v>12083</v>
      </c>
    </row>
    <row r="2636" spans="1:21" x14ac:dyDescent="0.25">
      <c r="A2636" t="s">
        <v>12084</v>
      </c>
      <c r="B2636" t="s">
        <v>38</v>
      </c>
      <c r="C2636" t="s">
        <v>12085</v>
      </c>
      <c r="D2636">
        <f t="shared" si="73"/>
        <v>-8000408503</v>
      </c>
      <c r="E2636" t="s">
        <v>11919</v>
      </c>
      <c r="F2636" t="s">
        <v>11879</v>
      </c>
      <c r="G2636" t="s">
        <v>11880</v>
      </c>
      <c r="H2636">
        <v>-100.396827</v>
      </c>
      <c r="I2636">
        <v>25.733179</v>
      </c>
      <c r="J2636">
        <v>30</v>
      </c>
      <c r="K2636" t="s">
        <v>1501</v>
      </c>
      <c r="L2636" t="s">
        <v>1501</v>
      </c>
      <c r="M2636" t="s">
        <v>1501</v>
      </c>
      <c r="N2636" t="s">
        <v>1501</v>
      </c>
      <c r="O2636" t="s">
        <v>1501</v>
      </c>
      <c r="P2636" t="s">
        <v>1501</v>
      </c>
      <c r="Q2636" t="s">
        <v>1501</v>
      </c>
      <c r="R2636" t="s">
        <v>12085</v>
      </c>
      <c r="S2636" t="s">
        <v>12086</v>
      </c>
      <c r="T2636" t="s">
        <v>11921</v>
      </c>
      <c r="U2636" t="s">
        <v>12087</v>
      </c>
    </row>
    <row r="2637" spans="1:21" x14ac:dyDescent="0.25">
      <c r="A2637" t="s">
        <v>12088</v>
      </c>
      <c r="B2637" t="s">
        <v>22</v>
      </c>
      <c r="C2637" t="s">
        <v>12089</v>
      </c>
      <c r="D2637">
        <f t="shared" si="73"/>
        <v>-8000408503</v>
      </c>
      <c r="E2637" t="s">
        <v>11973</v>
      </c>
      <c r="F2637" t="s">
        <v>11879</v>
      </c>
      <c r="G2637" t="s">
        <v>11880</v>
      </c>
      <c r="H2637">
        <v>-86.851527899999994</v>
      </c>
      <c r="I2637">
        <v>21.161908</v>
      </c>
      <c r="J2637">
        <v>30</v>
      </c>
      <c r="K2637" t="s">
        <v>6588</v>
      </c>
      <c r="L2637" t="s">
        <v>6588</v>
      </c>
      <c r="M2637" t="s">
        <v>6588</v>
      </c>
      <c r="N2637" t="s">
        <v>6588</v>
      </c>
      <c r="O2637" t="s">
        <v>6588</v>
      </c>
      <c r="P2637" t="s">
        <v>6588</v>
      </c>
      <c r="Q2637" t="s">
        <v>6588</v>
      </c>
      <c r="R2637" t="s">
        <v>12089</v>
      </c>
      <c r="S2637" t="s">
        <v>12090</v>
      </c>
      <c r="T2637" t="s">
        <v>11931</v>
      </c>
      <c r="U2637" t="s">
        <v>12091</v>
      </c>
    </row>
    <row r="2638" spans="1:21" x14ac:dyDescent="0.25">
      <c r="A2638" t="s">
        <v>12092</v>
      </c>
      <c r="B2638" t="s">
        <v>22</v>
      </c>
      <c r="C2638" t="s">
        <v>12093</v>
      </c>
      <c r="E2638" t="s">
        <v>12094</v>
      </c>
      <c r="F2638" t="s">
        <v>11879</v>
      </c>
      <c r="G2638" t="s">
        <v>11880</v>
      </c>
      <c r="H2638">
        <v>-103.3496092</v>
      </c>
      <c r="I2638">
        <v>20.659698800000001</v>
      </c>
      <c r="J2638">
        <v>30</v>
      </c>
      <c r="K2638" t="s">
        <v>27</v>
      </c>
      <c r="L2638" t="s">
        <v>27</v>
      </c>
      <c r="M2638" t="s">
        <v>27</v>
      </c>
      <c r="N2638" t="s">
        <v>27</v>
      </c>
      <c r="O2638" t="s">
        <v>27</v>
      </c>
      <c r="P2638" t="s">
        <v>27</v>
      </c>
      <c r="Q2638" t="s">
        <v>27</v>
      </c>
      <c r="R2638" t="s">
        <v>12093</v>
      </c>
      <c r="S2638" t="s">
        <v>12095</v>
      </c>
      <c r="T2638" t="s">
        <v>11887</v>
      </c>
      <c r="U2638" t="s">
        <v>12096</v>
      </c>
    </row>
    <row r="2639" spans="1:21" x14ac:dyDescent="0.25">
      <c r="A2639" t="s">
        <v>12097</v>
      </c>
      <c r="B2639" t="s">
        <v>38</v>
      </c>
      <c r="C2639" t="s">
        <v>12098</v>
      </c>
      <c r="D2639">
        <f t="shared" ref="D2639:D2651" si="74">52-8000408555</f>
        <v>-8000408503</v>
      </c>
      <c r="E2639" t="s">
        <v>12099</v>
      </c>
      <c r="F2639" t="s">
        <v>11879</v>
      </c>
      <c r="G2639" t="s">
        <v>11880</v>
      </c>
      <c r="H2639">
        <v>-99.053215899999998</v>
      </c>
      <c r="I2639">
        <v>19.342082999999999</v>
      </c>
      <c r="J2639">
        <v>30</v>
      </c>
      <c r="K2639" t="s">
        <v>1501</v>
      </c>
      <c r="L2639" t="s">
        <v>1501</v>
      </c>
      <c r="M2639" t="s">
        <v>1501</v>
      </c>
      <c r="N2639" t="s">
        <v>1501</v>
      </c>
      <c r="O2639" t="s">
        <v>1501</v>
      </c>
      <c r="P2639" t="s">
        <v>1501</v>
      </c>
      <c r="Q2639" t="s">
        <v>1501</v>
      </c>
      <c r="R2639" t="s">
        <v>12098</v>
      </c>
      <c r="T2639" t="s">
        <v>11904</v>
      </c>
      <c r="U2639" t="s">
        <v>12100</v>
      </c>
    </row>
    <row r="2640" spans="1:21" x14ac:dyDescent="0.25">
      <c r="A2640" t="s">
        <v>12101</v>
      </c>
      <c r="B2640" t="s">
        <v>38</v>
      </c>
      <c r="C2640" t="s">
        <v>12102</v>
      </c>
      <c r="D2640">
        <f t="shared" si="74"/>
        <v>-8000408503</v>
      </c>
      <c r="E2640" t="s">
        <v>11939</v>
      </c>
      <c r="F2640" t="s">
        <v>11879</v>
      </c>
      <c r="G2640" t="s">
        <v>11880</v>
      </c>
      <c r="H2640">
        <v>-98.172955999999999</v>
      </c>
      <c r="I2640">
        <v>19.071141000000001</v>
      </c>
      <c r="J2640">
        <v>30</v>
      </c>
      <c r="K2640" t="s">
        <v>1501</v>
      </c>
      <c r="L2640" t="s">
        <v>1501</v>
      </c>
      <c r="M2640" t="s">
        <v>1501</v>
      </c>
      <c r="N2640" t="s">
        <v>1501</v>
      </c>
      <c r="O2640" t="s">
        <v>1501</v>
      </c>
      <c r="P2640" t="s">
        <v>1501</v>
      </c>
      <c r="Q2640" t="s">
        <v>1501</v>
      </c>
      <c r="R2640" t="s">
        <v>12102</v>
      </c>
      <c r="S2640" t="s">
        <v>12103</v>
      </c>
      <c r="T2640" t="s">
        <v>11939</v>
      </c>
      <c r="U2640" t="s">
        <v>12104</v>
      </c>
    </row>
    <row r="2641" spans="1:21" x14ac:dyDescent="0.25">
      <c r="A2641" t="s">
        <v>12105</v>
      </c>
      <c r="B2641" t="s">
        <v>38</v>
      </c>
      <c r="C2641" t="s">
        <v>12106</v>
      </c>
      <c r="D2641">
        <f t="shared" si="74"/>
        <v>-8000408503</v>
      </c>
      <c r="E2641" t="s">
        <v>12107</v>
      </c>
      <c r="F2641" t="s">
        <v>11879</v>
      </c>
      <c r="G2641" t="s">
        <v>11880</v>
      </c>
      <c r="H2641">
        <v>-103.406786099999</v>
      </c>
      <c r="I2641">
        <v>25.542844299999999</v>
      </c>
      <c r="J2641">
        <v>30</v>
      </c>
      <c r="K2641" t="s">
        <v>1501</v>
      </c>
      <c r="L2641" t="s">
        <v>1501</v>
      </c>
      <c r="M2641" t="s">
        <v>1501</v>
      </c>
      <c r="N2641" t="s">
        <v>1501</v>
      </c>
      <c r="O2641" t="s">
        <v>1501</v>
      </c>
      <c r="P2641" t="s">
        <v>1501</v>
      </c>
      <c r="Q2641" t="s">
        <v>1501</v>
      </c>
      <c r="R2641" t="s">
        <v>12106</v>
      </c>
      <c r="S2641" t="s">
        <v>12108</v>
      </c>
      <c r="T2641" t="s">
        <v>12067</v>
      </c>
      <c r="U2641" t="s">
        <v>12109</v>
      </c>
    </row>
    <row r="2642" spans="1:21" x14ac:dyDescent="0.25">
      <c r="A2642" t="s">
        <v>12110</v>
      </c>
      <c r="B2642" t="s">
        <v>22</v>
      </c>
      <c r="C2642" t="s">
        <v>12111</v>
      </c>
      <c r="D2642">
        <f t="shared" si="74"/>
        <v>-8000408503</v>
      </c>
      <c r="E2642" t="s">
        <v>11891</v>
      </c>
      <c r="F2642" t="s">
        <v>11879</v>
      </c>
      <c r="G2642" t="s">
        <v>11880</v>
      </c>
      <c r="H2642">
        <v>-100.3560229</v>
      </c>
      <c r="I2642">
        <v>20.631007199999999</v>
      </c>
      <c r="J2642">
        <v>30</v>
      </c>
      <c r="K2642" t="s">
        <v>1501</v>
      </c>
      <c r="L2642" t="s">
        <v>1501</v>
      </c>
      <c r="M2642" t="s">
        <v>1501</v>
      </c>
      <c r="N2642" t="s">
        <v>1501</v>
      </c>
      <c r="O2642" t="s">
        <v>1501</v>
      </c>
      <c r="P2642" t="s">
        <v>1501</v>
      </c>
      <c r="Q2642" t="s">
        <v>1501</v>
      </c>
      <c r="R2642" t="s">
        <v>12111</v>
      </c>
      <c r="S2642" t="s">
        <v>12112</v>
      </c>
      <c r="T2642" t="s">
        <v>11893</v>
      </c>
      <c r="U2642" t="s">
        <v>12113</v>
      </c>
    </row>
    <row r="2643" spans="1:21" x14ac:dyDescent="0.25">
      <c r="A2643" t="s">
        <v>12114</v>
      </c>
      <c r="B2643" t="s">
        <v>38</v>
      </c>
      <c r="C2643" t="s">
        <v>12115</v>
      </c>
      <c r="D2643">
        <f t="shared" si="74"/>
        <v>-8000408503</v>
      </c>
      <c r="E2643" t="s">
        <v>11939</v>
      </c>
      <c r="F2643" t="s">
        <v>11879</v>
      </c>
      <c r="G2643" t="s">
        <v>11880</v>
      </c>
      <c r="H2643">
        <v>-98.277849200000006</v>
      </c>
      <c r="I2643">
        <v>19.071108899999999</v>
      </c>
      <c r="J2643">
        <v>30</v>
      </c>
      <c r="K2643" t="s">
        <v>1501</v>
      </c>
      <c r="L2643" t="s">
        <v>1501</v>
      </c>
      <c r="M2643" t="s">
        <v>1501</v>
      </c>
      <c r="N2643" t="s">
        <v>1501</v>
      </c>
      <c r="O2643" t="s">
        <v>1501</v>
      </c>
      <c r="P2643" t="s">
        <v>1501</v>
      </c>
      <c r="Q2643" t="s">
        <v>1501</v>
      </c>
      <c r="R2643" t="s">
        <v>12115</v>
      </c>
      <c r="T2643" t="s">
        <v>11939</v>
      </c>
      <c r="U2643" t="s">
        <v>12116</v>
      </c>
    </row>
    <row r="2644" spans="1:21" x14ac:dyDescent="0.25">
      <c r="A2644" t="s">
        <v>12117</v>
      </c>
      <c r="B2644" t="s">
        <v>38</v>
      </c>
      <c r="C2644" t="s">
        <v>12118</v>
      </c>
      <c r="D2644">
        <f t="shared" si="74"/>
        <v>-8000408503</v>
      </c>
      <c r="E2644" t="s">
        <v>12035</v>
      </c>
      <c r="F2644" t="s">
        <v>11879</v>
      </c>
      <c r="G2644" t="s">
        <v>11880</v>
      </c>
      <c r="H2644">
        <v>-99.221565900000002</v>
      </c>
      <c r="I2644">
        <v>18.9242095</v>
      </c>
      <c r="J2644">
        <v>30</v>
      </c>
      <c r="K2644" t="s">
        <v>1501</v>
      </c>
      <c r="L2644" t="s">
        <v>1501</v>
      </c>
      <c r="M2644" t="s">
        <v>1501</v>
      </c>
      <c r="N2644" t="s">
        <v>1501</v>
      </c>
      <c r="O2644" t="s">
        <v>1501</v>
      </c>
      <c r="P2644" t="s">
        <v>1501</v>
      </c>
      <c r="Q2644" t="s">
        <v>1501</v>
      </c>
      <c r="R2644" t="s">
        <v>12118</v>
      </c>
      <c r="S2644" t="s">
        <v>12119</v>
      </c>
      <c r="T2644" t="s">
        <v>12037</v>
      </c>
      <c r="U2644" t="s">
        <v>12120</v>
      </c>
    </row>
    <row r="2645" spans="1:21" x14ac:dyDescent="0.25">
      <c r="A2645" t="s">
        <v>12121</v>
      </c>
      <c r="B2645" t="s">
        <v>22</v>
      </c>
      <c r="C2645" t="s">
        <v>12122</v>
      </c>
      <c r="D2645">
        <f t="shared" si="74"/>
        <v>-8000408503</v>
      </c>
      <c r="E2645" t="s">
        <v>12077</v>
      </c>
      <c r="F2645" t="s">
        <v>11879</v>
      </c>
      <c r="G2645" t="s">
        <v>11880</v>
      </c>
      <c r="H2645">
        <v>-89.596102400000007</v>
      </c>
      <c r="I2645">
        <v>21.056971999999998</v>
      </c>
      <c r="J2645">
        <v>30</v>
      </c>
      <c r="K2645" t="s">
        <v>1035</v>
      </c>
      <c r="L2645" t="s">
        <v>1035</v>
      </c>
      <c r="M2645" t="s">
        <v>1035</v>
      </c>
      <c r="N2645" t="s">
        <v>1035</v>
      </c>
      <c r="O2645" t="s">
        <v>1035</v>
      </c>
      <c r="P2645" t="s">
        <v>1035</v>
      </c>
      <c r="Q2645" t="s">
        <v>1035</v>
      </c>
      <c r="R2645" t="s">
        <v>12122</v>
      </c>
      <c r="T2645" t="s">
        <v>12079</v>
      </c>
      <c r="U2645" t="s">
        <v>12123</v>
      </c>
    </row>
    <row r="2646" spans="1:21" x14ac:dyDescent="0.25">
      <c r="A2646" t="s">
        <v>12124</v>
      </c>
      <c r="B2646" t="s">
        <v>22</v>
      </c>
      <c r="C2646" t="s">
        <v>12125</v>
      </c>
      <c r="D2646">
        <f t="shared" si="74"/>
        <v>-8000408503</v>
      </c>
      <c r="E2646" t="s">
        <v>12126</v>
      </c>
      <c r="F2646" t="s">
        <v>11879</v>
      </c>
      <c r="G2646" t="s">
        <v>11880</v>
      </c>
      <c r="H2646">
        <v>-97.905497299999993</v>
      </c>
      <c r="I2646">
        <v>22.2669672</v>
      </c>
      <c r="J2646">
        <v>30</v>
      </c>
      <c r="K2646" t="s">
        <v>1501</v>
      </c>
      <c r="L2646" t="s">
        <v>1501</v>
      </c>
      <c r="M2646" t="s">
        <v>1501</v>
      </c>
      <c r="N2646" t="s">
        <v>1501</v>
      </c>
      <c r="O2646" t="s">
        <v>1501</v>
      </c>
      <c r="P2646" t="s">
        <v>1501</v>
      </c>
      <c r="Q2646" t="s">
        <v>1501</v>
      </c>
      <c r="R2646" t="s">
        <v>12125</v>
      </c>
      <c r="T2646" t="s">
        <v>12127</v>
      </c>
      <c r="U2646" t="s">
        <v>12128</v>
      </c>
    </row>
    <row r="2647" spans="1:21" x14ac:dyDescent="0.25">
      <c r="A2647" t="s">
        <v>12129</v>
      </c>
      <c r="B2647" t="s">
        <v>38</v>
      </c>
      <c r="C2647" t="s">
        <v>12130</v>
      </c>
      <c r="D2647">
        <f t="shared" si="74"/>
        <v>-8000408503</v>
      </c>
      <c r="E2647" t="s">
        <v>6786</v>
      </c>
      <c r="F2647" t="s">
        <v>11879</v>
      </c>
      <c r="G2647" t="s">
        <v>11880</v>
      </c>
      <c r="H2647">
        <v>-103.3496092</v>
      </c>
      <c r="I2647">
        <v>20.659698800000001</v>
      </c>
      <c r="J2647">
        <v>30</v>
      </c>
      <c r="K2647" t="s">
        <v>1501</v>
      </c>
      <c r="L2647" t="s">
        <v>1501</v>
      </c>
      <c r="M2647" t="s">
        <v>1501</v>
      </c>
      <c r="N2647" t="s">
        <v>1501</v>
      </c>
      <c r="O2647" t="s">
        <v>1501</v>
      </c>
      <c r="P2647" t="s">
        <v>1501</v>
      </c>
      <c r="Q2647" t="s">
        <v>1501</v>
      </c>
      <c r="R2647" t="s">
        <v>12130</v>
      </c>
      <c r="S2647" t="s">
        <v>12131</v>
      </c>
      <c r="T2647" t="s">
        <v>11887</v>
      </c>
      <c r="U2647" t="s">
        <v>12132</v>
      </c>
    </row>
    <row r="2648" spans="1:21" x14ac:dyDescent="0.25">
      <c r="A2648" t="s">
        <v>12133</v>
      </c>
      <c r="B2648" t="s">
        <v>22</v>
      </c>
      <c r="C2648" t="s">
        <v>12134</v>
      </c>
      <c r="D2648">
        <f t="shared" si="74"/>
        <v>-8000408503</v>
      </c>
      <c r="E2648" t="s">
        <v>12135</v>
      </c>
      <c r="F2648" t="s">
        <v>11879</v>
      </c>
      <c r="G2648" t="s">
        <v>11880</v>
      </c>
      <c r="H2648">
        <v>-102.289734</v>
      </c>
      <c r="I2648">
        <v>21.924502</v>
      </c>
      <c r="J2648">
        <v>30</v>
      </c>
      <c r="K2648" t="s">
        <v>1501</v>
      </c>
      <c r="L2648" t="s">
        <v>1501</v>
      </c>
      <c r="M2648" t="s">
        <v>1501</v>
      </c>
      <c r="N2648" t="s">
        <v>1501</v>
      </c>
      <c r="O2648" t="s">
        <v>1501</v>
      </c>
      <c r="P2648" t="s">
        <v>1501</v>
      </c>
      <c r="Q2648" t="s">
        <v>1501</v>
      </c>
      <c r="R2648" t="s">
        <v>12134</v>
      </c>
      <c r="T2648" t="s">
        <v>12135</v>
      </c>
      <c r="U2648" t="s">
        <v>12136</v>
      </c>
    </row>
    <row r="2649" spans="1:21" x14ac:dyDescent="0.25">
      <c r="A2649" t="s">
        <v>12137</v>
      </c>
      <c r="B2649" t="s">
        <v>22</v>
      </c>
      <c r="C2649" t="s">
        <v>12138</v>
      </c>
      <c r="D2649">
        <f t="shared" si="74"/>
        <v>-8000408503</v>
      </c>
      <c r="E2649" t="s">
        <v>12139</v>
      </c>
      <c r="F2649" t="s">
        <v>11879</v>
      </c>
      <c r="G2649" t="s">
        <v>11880</v>
      </c>
      <c r="H2649">
        <v>-106.11496579999999</v>
      </c>
      <c r="I2649">
        <v>28.622718500000001</v>
      </c>
      <c r="J2649">
        <v>10</v>
      </c>
      <c r="K2649" t="s">
        <v>1035</v>
      </c>
      <c r="L2649" t="s">
        <v>1035</v>
      </c>
      <c r="M2649" t="s">
        <v>1035</v>
      </c>
      <c r="N2649" t="s">
        <v>1035</v>
      </c>
      <c r="O2649" t="s">
        <v>1035</v>
      </c>
      <c r="P2649" t="s">
        <v>1035</v>
      </c>
      <c r="Q2649" t="s">
        <v>1035</v>
      </c>
      <c r="R2649" t="s">
        <v>12138</v>
      </c>
      <c r="S2649" t="s">
        <v>12140</v>
      </c>
      <c r="T2649" t="s">
        <v>12139</v>
      </c>
      <c r="U2649" t="s">
        <v>12141</v>
      </c>
    </row>
    <row r="2650" spans="1:21" x14ac:dyDescent="0.25">
      <c r="A2650" t="s">
        <v>12142</v>
      </c>
      <c r="B2650" t="s">
        <v>22</v>
      </c>
      <c r="C2650" t="s">
        <v>12143</v>
      </c>
      <c r="D2650">
        <f t="shared" si="74"/>
        <v>-8000408503</v>
      </c>
      <c r="E2650" t="s">
        <v>11878</v>
      </c>
      <c r="F2650" t="s">
        <v>11879</v>
      </c>
      <c r="G2650" t="s">
        <v>11880</v>
      </c>
      <c r="H2650">
        <v>-99.107860000000002</v>
      </c>
      <c r="I2650">
        <v>19.439697200000001</v>
      </c>
      <c r="J2650">
        <v>30</v>
      </c>
      <c r="R2650" t="s">
        <v>12144</v>
      </c>
      <c r="T2650" t="s">
        <v>11904</v>
      </c>
      <c r="U2650" t="s">
        <v>12145</v>
      </c>
    </row>
    <row r="2651" spans="1:21" x14ac:dyDescent="0.25">
      <c r="A2651" t="s">
        <v>12146</v>
      </c>
      <c r="B2651" t="s">
        <v>22</v>
      </c>
      <c r="C2651" t="s">
        <v>12147</v>
      </c>
      <c r="D2651">
        <f t="shared" si="74"/>
        <v>-8000408503</v>
      </c>
      <c r="E2651" t="s">
        <v>11919</v>
      </c>
      <c r="F2651" t="s">
        <v>11879</v>
      </c>
      <c r="G2651" t="s">
        <v>11880</v>
      </c>
      <c r="H2651">
        <v>-100.353752</v>
      </c>
      <c r="I2651">
        <v>25.6817958</v>
      </c>
      <c r="J2651">
        <v>33</v>
      </c>
      <c r="K2651" t="s">
        <v>1501</v>
      </c>
      <c r="L2651" t="s">
        <v>1501</v>
      </c>
      <c r="M2651" t="s">
        <v>1501</v>
      </c>
      <c r="N2651" t="s">
        <v>1501</v>
      </c>
      <c r="O2651" t="s">
        <v>1501</v>
      </c>
      <c r="P2651" t="s">
        <v>1501</v>
      </c>
      <c r="Q2651" t="s">
        <v>1501</v>
      </c>
      <c r="R2651" t="s">
        <v>12147</v>
      </c>
      <c r="S2651" t="s">
        <v>12148</v>
      </c>
      <c r="T2651" t="s">
        <v>11921</v>
      </c>
      <c r="U2651" t="s">
        <v>12149</v>
      </c>
    </row>
    <row r="2652" spans="1:21" x14ac:dyDescent="0.25">
      <c r="A2652" t="s">
        <v>12150</v>
      </c>
      <c r="B2652" t="s">
        <v>2322</v>
      </c>
      <c r="C2652" t="s">
        <v>12151</v>
      </c>
      <c r="D2652">
        <f>603-21412062</f>
        <v>-21411459</v>
      </c>
      <c r="E2652" t="s">
        <v>12152</v>
      </c>
      <c r="F2652" t="s">
        <v>12153</v>
      </c>
      <c r="G2652" t="s">
        <v>12154</v>
      </c>
      <c r="H2652">
        <v>101.711715459823</v>
      </c>
      <c r="I2652">
        <v>3.1465366370960899</v>
      </c>
      <c r="J2652">
        <v>215</v>
      </c>
      <c r="K2652" t="s">
        <v>27</v>
      </c>
      <c r="L2652" t="s">
        <v>27</v>
      </c>
      <c r="M2652" t="s">
        <v>27</v>
      </c>
      <c r="N2652" t="s">
        <v>27</v>
      </c>
      <c r="O2652" t="s">
        <v>27</v>
      </c>
      <c r="P2652" t="s">
        <v>27</v>
      </c>
      <c r="Q2652" t="s">
        <v>27</v>
      </c>
      <c r="R2652" t="s">
        <v>12155</v>
      </c>
      <c r="S2652" t="s">
        <v>12156</v>
      </c>
      <c r="U2652" t="s">
        <v>12157</v>
      </c>
    </row>
    <row r="2653" spans="1:21" x14ac:dyDescent="0.25">
      <c r="A2653" t="s">
        <v>12158</v>
      </c>
      <c r="B2653" t="s">
        <v>22</v>
      </c>
      <c r="C2653" t="s">
        <v>12159</v>
      </c>
      <c r="D2653">
        <f>603-33456230</f>
        <v>-33455627</v>
      </c>
      <c r="E2653" t="s">
        <v>12152</v>
      </c>
      <c r="F2653" t="s">
        <v>12153</v>
      </c>
      <c r="G2653" t="s">
        <v>12154</v>
      </c>
      <c r="H2653">
        <v>101.460758</v>
      </c>
      <c r="I2653">
        <v>3.1095540000000002</v>
      </c>
      <c r="J2653">
        <v>215</v>
      </c>
      <c r="K2653" t="s">
        <v>27</v>
      </c>
      <c r="L2653" t="s">
        <v>27</v>
      </c>
      <c r="M2653" t="s">
        <v>27</v>
      </c>
      <c r="N2653" t="s">
        <v>27</v>
      </c>
      <c r="O2653" t="s">
        <v>27</v>
      </c>
      <c r="P2653" t="s">
        <v>27</v>
      </c>
      <c r="Q2653" t="s">
        <v>27</v>
      </c>
      <c r="R2653" t="s">
        <v>12160</v>
      </c>
      <c r="S2653" t="s">
        <v>12161</v>
      </c>
      <c r="U2653" t="s">
        <v>12162</v>
      </c>
    </row>
    <row r="2654" spans="1:21" x14ac:dyDescent="0.25">
      <c r="A2654" t="s">
        <v>12163</v>
      </c>
      <c r="B2654" t="s">
        <v>22</v>
      </c>
      <c r="C2654" t="s">
        <v>12164</v>
      </c>
      <c r="D2654">
        <f>603-78028766</f>
        <v>-78028163</v>
      </c>
      <c r="E2654" t="s">
        <v>12152</v>
      </c>
      <c r="F2654" t="s">
        <v>12153</v>
      </c>
      <c r="G2654" t="s">
        <v>12154</v>
      </c>
      <c r="H2654">
        <v>101.596058</v>
      </c>
      <c r="I2654">
        <v>3.105172</v>
      </c>
      <c r="J2654">
        <v>215</v>
      </c>
      <c r="K2654" t="s">
        <v>27</v>
      </c>
      <c r="L2654" t="s">
        <v>27</v>
      </c>
      <c r="M2654" t="s">
        <v>27</v>
      </c>
      <c r="N2654" t="s">
        <v>27</v>
      </c>
      <c r="O2654" t="s">
        <v>27</v>
      </c>
      <c r="P2654" t="s">
        <v>27</v>
      </c>
      <c r="Q2654" t="s">
        <v>27</v>
      </c>
      <c r="R2654" t="s">
        <v>12165</v>
      </c>
      <c r="S2654" t="s">
        <v>12166</v>
      </c>
      <c r="U2654" t="s">
        <v>12167</v>
      </c>
    </row>
    <row r="2655" spans="1:21" x14ac:dyDescent="0.25">
      <c r="A2655" t="s">
        <v>12168</v>
      </c>
      <c r="B2655" t="s">
        <v>22</v>
      </c>
      <c r="C2655" t="s">
        <v>12169</v>
      </c>
      <c r="D2655">
        <f>603-77221397</f>
        <v>-77220794</v>
      </c>
      <c r="E2655" t="s">
        <v>12152</v>
      </c>
      <c r="F2655" t="s">
        <v>12153</v>
      </c>
      <c r="G2655" t="s">
        <v>12154</v>
      </c>
      <c r="H2655">
        <v>101.61540100000001</v>
      </c>
      <c r="I2655">
        <v>3.1508029999999998</v>
      </c>
      <c r="J2655">
        <v>215</v>
      </c>
      <c r="K2655" t="s">
        <v>27</v>
      </c>
      <c r="L2655" t="s">
        <v>27</v>
      </c>
      <c r="M2655" t="s">
        <v>27</v>
      </c>
      <c r="N2655" t="s">
        <v>27</v>
      </c>
      <c r="O2655" t="s">
        <v>77</v>
      </c>
      <c r="P2655" t="s">
        <v>77</v>
      </c>
      <c r="Q2655" t="s">
        <v>27</v>
      </c>
      <c r="R2655" t="s">
        <v>12170</v>
      </c>
      <c r="S2655" t="s">
        <v>12171</v>
      </c>
      <c r="U2655" t="s">
        <v>12172</v>
      </c>
    </row>
    <row r="2656" spans="1:21" x14ac:dyDescent="0.25">
      <c r="A2656" t="s">
        <v>12173</v>
      </c>
      <c r="B2656" t="s">
        <v>22</v>
      </c>
      <c r="C2656" t="s">
        <v>12174</v>
      </c>
      <c r="D2656">
        <f>604-2189101</f>
        <v>-2188497</v>
      </c>
      <c r="E2656" t="s">
        <v>12175</v>
      </c>
      <c r="F2656" t="s">
        <v>12153</v>
      </c>
      <c r="G2656" t="s">
        <v>12154</v>
      </c>
      <c r="H2656">
        <v>100.31124</v>
      </c>
      <c r="I2656">
        <v>5.4360280000000003</v>
      </c>
      <c r="J2656">
        <v>215</v>
      </c>
      <c r="K2656" t="s">
        <v>27</v>
      </c>
      <c r="L2656" t="s">
        <v>27</v>
      </c>
      <c r="M2656" t="s">
        <v>27</v>
      </c>
      <c r="N2656" t="s">
        <v>27</v>
      </c>
      <c r="O2656" t="s">
        <v>27</v>
      </c>
      <c r="P2656" t="s">
        <v>27</v>
      </c>
      <c r="Q2656" t="s">
        <v>27</v>
      </c>
      <c r="R2656" t="s">
        <v>12176</v>
      </c>
      <c r="S2656" t="s">
        <v>12177</v>
      </c>
      <c r="U2656" t="s">
        <v>12178</v>
      </c>
    </row>
    <row r="2657" spans="1:21" x14ac:dyDescent="0.25">
      <c r="A2657" t="s">
        <v>12179</v>
      </c>
      <c r="B2657" t="s">
        <v>32</v>
      </c>
      <c r="C2657" t="s">
        <v>12180</v>
      </c>
      <c r="D2657">
        <f>603-21646389</f>
        <v>-21645786</v>
      </c>
      <c r="E2657" t="s">
        <v>12152</v>
      </c>
      <c r="F2657" t="s">
        <v>12153</v>
      </c>
      <c r="G2657" t="s">
        <v>12154</v>
      </c>
      <c r="H2657">
        <v>101.713385</v>
      </c>
      <c r="I2657">
        <v>3.159348</v>
      </c>
      <c r="J2657">
        <v>227</v>
      </c>
      <c r="K2657" t="s">
        <v>27</v>
      </c>
      <c r="L2657" t="s">
        <v>27</v>
      </c>
      <c r="M2657" t="s">
        <v>27</v>
      </c>
      <c r="N2657" t="s">
        <v>27</v>
      </c>
      <c r="O2657" t="s">
        <v>27</v>
      </c>
      <c r="P2657" t="s">
        <v>27</v>
      </c>
      <c r="Q2657" t="s">
        <v>27</v>
      </c>
      <c r="R2657" t="s">
        <v>12181</v>
      </c>
      <c r="S2657" t="s">
        <v>12182</v>
      </c>
      <c r="U2657" t="s">
        <v>12183</v>
      </c>
    </row>
    <row r="2658" spans="1:21" x14ac:dyDescent="0.25">
      <c r="A2658" t="s">
        <v>12184</v>
      </c>
      <c r="B2658" t="s">
        <v>22</v>
      </c>
      <c r="C2658" t="s">
        <v>12185</v>
      </c>
      <c r="D2658">
        <f>604-2611448</f>
        <v>-2610844</v>
      </c>
      <c r="E2658" t="s">
        <v>12175</v>
      </c>
      <c r="F2658" t="s">
        <v>12153</v>
      </c>
      <c r="G2658" t="s">
        <v>12154</v>
      </c>
      <c r="H2658">
        <v>100.331433</v>
      </c>
      <c r="I2658">
        <v>5.4134630000000001</v>
      </c>
      <c r="J2658">
        <v>215</v>
      </c>
      <c r="K2658" t="s">
        <v>27</v>
      </c>
      <c r="L2658" t="s">
        <v>27</v>
      </c>
      <c r="M2658" t="s">
        <v>27</v>
      </c>
      <c r="N2658" t="s">
        <v>27</v>
      </c>
      <c r="O2658" t="s">
        <v>27</v>
      </c>
      <c r="P2658" t="s">
        <v>27</v>
      </c>
      <c r="Q2658" t="s">
        <v>27</v>
      </c>
      <c r="R2658" t="s">
        <v>12186</v>
      </c>
      <c r="S2658" t="s">
        <v>12187</v>
      </c>
      <c r="U2658" t="s">
        <v>12188</v>
      </c>
    </row>
    <row r="2659" spans="1:21" x14ac:dyDescent="0.25">
      <c r="A2659" t="s">
        <v>12189</v>
      </c>
      <c r="B2659" t="s">
        <v>22</v>
      </c>
      <c r="C2659" t="s">
        <v>12190</v>
      </c>
      <c r="D2659">
        <f>603-56137288</f>
        <v>-56136685</v>
      </c>
      <c r="E2659" t="s">
        <v>12152</v>
      </c>
      <c r="F2659" t="s">
        <v>12153</v>
      </c>
      <c r="G2659" t="s">
        <v>12154</v>
      </c>
      <c r="H2659">
        <v>101.605496</v>
      </c>
      <c r="I2659">
        <v>3.0734710000000001</v>
      </c>
      <c r="J2659">
        <v>215</v>
      </c>
      <c r="K2659" t="s">
        <v>27</v>
      </c>
      <c r="L2659" t="s">
        <v>27</v>
      </c>
      <c r="M2659" t="s">
        <v>27</v>
      </c>
      <c r="N2659" t="s">
        <v>27</v>
      </c>
      <c r="O2659" t="s">
        <v>27</v>
      </c>
      <c r="P2659" t="s">
        <v>27</v>
      </c>
      <c r="Q2659" t="s">
        <v>27</v>
      </c>
      <c r="R2659" t="s">
        <v>12191</v>
      </c>
      <c r="S2659" t="s">
        <v>12192</v>
      </c>
      <c r="U2659" t="s">
        <v>12193</v>
      </c>
    </row>
    <row r="2660" spans="1:21" x14ac:dyDescent="0.25">
      <c r="A2660" t="s">
        <v>12194</v>
      </c>
      <c r="B2660" t="s">
        <v>22</v>
      </c>
      <c r="C2660" t="s">
        <v>12195</v>
      </c>
      <c r="D2660">
        <f>603-89539554</f>
        <v>-89538951</v>
      </c>
      <c r="E2660" t="s">
        <v>12152</v>
      </c>
      <c r="F2660" t="s">
        <v>12153</v>
      </c>
      <c r="G2660" t="s">
        <v>12154</v>
      </c>
      <c r="H2660">
        <v>101.713341</v>
      </c>
      <c r="I2660">
        <v>2.9703810000000002</v>
      </c>
      <c r="J2660">
        <v>215</v>
      </c>
      <c r="K2660" t="s">
        <v>27</v>
      </c>
      <c r="L2660" t="s">
        <v>27</v>
      </c>
      <c r="M2660" t="s">
        <v>27</v>
      </c>
      <c r="N2660" t="s">
        <v>27</v>
      </c>
      <c r="O2660" t="s">
        <v>27</v>
      </c>
      <c r="P2660" t="s">
        <v>27</v>
      </c>
      <c r="Q2660" t="s">
        <v>27</v>
      </c>
      <c r="R2660" t="s">
        <v>12195</v>
      </c>
      <c r="S2660" t="s">
        <v>12196</v>
      </c>
      <c r="U2660" t="s">
        <v>12197</v>
      </c>
    </row>
    <row r="2661" spans="1:21" x14ac:dyDescent="0.25">
      <c r="A2661" t="s">
        <v>12198</v>
      </c>
      <c r="B2661" t="s">
        <v>22</v>
      </c>
      <c r="C2661" t="s">
        <v>12199</v>
      </c>
      <c r="D2661">
        <f>603-62010755</f>
        <v>-62010152</v>
      </c>
      <c r="E2661" t="s">
        <v>12152</v>
      </c>
      <c r="F2661" t="s">
        <v>12153</v>
      </c>
      <c r="G2661" t="s">
        <v>12154</v>
      </c>
      <c r="H2661">
        <v>101.653172</v>
      </c>
      <c r="I2661">
        <v>3.1657320000000002</v>
      </c>
      <c r="J2661">
        <v>215</v>
      </c>
      <c r="K2661" t="s">
        <v>1035</v>
      </c>
      <c r="L2661" t="s">
        <v>1035</v>
      </c>
      <c r="M2661" t="s">
        <v>1035</v>
      </c>
      <c r="N2661" t="s">
        <v>1035</v>
      </c>
      <c r="O2661" t="s">
        <v>1035</v>
      </c>
      <c r="P2661" t="s">
        <v>1035</v>
      </c>
      <c r="Q2661" t="s">
        <v>1035</v>
      </c>
      <c r="R2661" t="s">
        <v>12200</v>
      </c>
      <c r="S2661" t="s">
        <v>12201</v>
      </c>
      <c r="U2661" t="s">
        <v>12202</v>
      </c>
    </row>
    <row r="2662" spans="1:21" x14ac:dyDescent="0.25">
      <c r="A2662" t="s">
        <v>12203</v>
      </c>
      <c r="B2662" t="s">
        <v>22</v>
      </c>
      <c r="C2662" t="s">
        <v>12204</v>
      </c>
      <c r="D2662">
        <f>606-2821440</f>
        <v>-2820834</v>
      </c>
      <c r="E2662" t="s">
        <v>12205</v>
      </c>
      <c r="F2662" t="s">
        <v>12153</v>
      </c>
      <c r="G2662" t="s">
        <v>12154</v>
      </c>
      <c r="H2662">
        <v>102.25246</v>
      </c>
      <c r="I2662">
        <v>2.190096</v>
      </c>
      <c r="J2662">
        <v>215</v>
      </c>
      <c r="K2662" t="s">
        <v>27</v>
      </c>
      <c r="L2662" t="s">
        <v>27</v>
      </c>
      <c r="M2662" t="s">
        <v>27</v>
      </c>
      <c r="N2662" t="s">
        <v>27</v>
      </c>
      <c r="O2662" t="s">
        <v>27</v>
      </c>
      <c r="P2662" t="s">
        <v>27</v>
      </c>
      <c r="Q2662" t="s">
        <v>27</v>
      </c>
      <c r="R2662" t="s">
        <v>12206</v>
      </c>
      <c r="S2662" t="s">
        <v>12207</v>
      </c>
      <c r="U2662" t="s">
        <v>12208</v>
      </c>
    </row>
    <row r="2663" spans="1:21" x14ac:dyDescent="0.25">
      <c r="A2663" t="s">
        <v>12209</v>
      </c>
      <c r="B2663" t="s">
        <v>22</v>
      </c>
      <c r="C2663" t="s">
        <v>12210</v>
      </c>
      <c r="D2663">
        <f>607-2070540</f>
        <v>-2069933</v>
      </c>
      <c r="E2663" t="s">
        <v>12211</v>
      </c>
      <c r="F2663" t="s">
        <v>12153</v>
      </c>
      <c r="G2663" t="s">
        <v>12154</v>
      </c>
      <c r="H2663">
        <v>103.76369099999999</v>
      </c>
      <c r="I2663">
        <v>1.4620949999999999</v>
      </c>
      <c r="J2663">
        <v>215</v>
      </c>
      <c r="K2663" t="s">
        <v>27</v>
      </c>
      <c r="L2663" t="s">
        <v>27</v>
      </c>
      <c r="M2663" t="s">
        <v>27</v>
      </c>
      <c r="N2663" t="s">
        <v>27</v>
      </c>
      <c r="O2663" t="s">
        <v>27</v>
      </c>
      <c r="P2663" t="s">
        <v>27</v>
      </c>
      <c r="Q2663" t="s">
        <v>27</v>
      </c>
      <c r="R2663" t="s">
        <v>12212</v>
      </c>
      <c r="S2663" t="s">
        <v>12213</v>
      </c>
      <c r="U2663" t="s">
        <v>12214</v>
      </c>
    </row>
    <row r="2664" spans="1:21" x14ac:dyDescent="0.25">
      <c r="A2664" t="s">
        <v>12215</v>
      </c>
      <c r="B2664" t="s">
        <v>22</v>
      </c>
      <c r="C2664" t="s">
        <v>12216</v>
      </c>
      <c r="D2664">
        <f>608-2232494</f>
        <v>-2231886</v>
      </c>
      <c r="E2664" t="s">
        <v>12217</v>
      </c>
      <c r="F2664" t="s">
        <v>12153</v>
      </c>
      <c r="G2664" t="s">
        <v>12154</v>
      </c>
      <c r="H2664">
        <v>110.358042</v>
      </c>
      <c r="I2664">
        <v>1.5361750000000001</v>
      </c>
      <c r="J2664">
        <v>215</v>
      </c>
      <c r="K2664" t="s">
        <v>27</v>
      </c>
      <c r="L2664" t="s">
        <v>27</v>
      </c>
      <c r="M2664" t="s">
        <v>27</v>
      </c>
      <c r="N2664" t="s">
        <v>27</v>
      </c>
      <c r="O2664" t="s">
        <v>27</v>
      </c>
      <c r="P2664" t="s">
        <v>27</v>
      </c>
      <c r="Q2664" t="s">
        <v>27</v>
      </c>
      <c r="R2664" t="s">
        <v>12218</v>
      </c>
      <c r="S2664" t="s">
        <v>12219</v>
      </c>
      <c r="U2664" t="s">
        <v>12220</v>
      </c>
    </row>
    <row r="2665" spans="1:21" x14ac:dyDescent="0.25">
      <c r="A2665" t="s">
        <v>12221</v>
      </c>
      <c r="B2665" t="s">
        <v>22</v>
      </c>
      <c r="C2665" t="s">
        <v>12222</v>
      </c>
      <c r="D2665">
        <f>603-22765650</f>
        <v>-22765047</v>
      </c>
      <c r="E2665" t="s">
        <v>12152</v>
      </c>
      <c r="F2665" t="s">
        <v>12153</v>
      </c>
      <c r="G2665" t="s">
        <v>12154</v>
      </c>
      <c r="H2665">
        <v>101.687134</v>
      </c>
      <c r="I2665">
        <v>3.1332429999999998</v>
      </c>
      <c r="J2665">
        <v>215</v>
      </c>
      <c r="K2665" t="s">
        <v>27</v>
      </c>
      <c r="L2665" t="s">
        <v>27</v>
      </c>
      <c r="M2665" t="s">
        <v>27</v>
      </c>
      <c r="N2665" t="s">
        <v>27</v>
      </c>
      <c r="O2665" t="s">
        <v>27</v>
      </c>
      <c r="P2665" t="s">
        <v>27</v>
      </c>
      <c r="Q2665" t="s">
        <v>27</v>
      </c>
      <c r="R2665" t="s">
        <v>12223</v>
      </c>
      <c r="S2665" t="s">
        <v>12224</v>
      </c>
      <c r="U2665" t="s">
        <v>12225</v>
      </c>
    </row>
    <row r="2666" spans="1:21" x14ac:dyDescent="0.25">
      <c r="A2666" t="s">
        <v>12226</v>
      </c>
      <c r="B2666" t="s">
        <v>22</v>
      </c>
      <c r="C2666" t="s">
        <v>12227</v>
      </c>
      <c r="D2666">
        <f>608-8274350</f>
        <v>-8273742</v>
      </c>
      <c r="E2666" t="s">
        <v>12228</v>
      </c>
      <c r="F2666" t="s">
        <v>12153</v>
      </c>
      <c r="G2666" t="s">
        <v>12154</v>
      </c>
      <c r="H2666">
        <v>116.066063</v>
      </c>
      <c r="I2666">
        <v>5.970682</v>
      </c>
      <c r="J2666">
        <v>215</v>
      </c>
      <c r="K2666" t="s">
        <v>27</v>
      </c>
      <c r="L2666" t="s">
        <v>27</v>
      </c>
      <c r="M2666" t="s">
        <v>27</v>
      </c>
      <c r="N2666" t="s">
        <v>27</v>
      </c>
      <c r="O2666" t="s">
        <v>27</v>
      </c>
      <c r="P2666" t="s">
        <v>27</v>
      </c>
      <c r="Q2666" t="s">
        <v>27</v>
      </c>
      <c r="R2666" t="s">
        <v>12229</v>
      </c>
      <c r="S2666" t="s">
        <v>12230</v>
      </c>
      <c r="U2666" t="s">
        <v>12231</v>
      </c>
    </row>
    <row r="2667" spans="1:21" x14ac:dyDescent="0.25">
      <c r="A2667" t="s">
        <v>12232</v>
      </c>
      <c r="B2667" t="s">
        <v>22</v>
      </c>
      <c r="C2667" t="s">
        <v>12233</v>
      </c>
      <c r="D2667">
        <f>603-26021838</f>
        <v>-26021235</v>
      </c>
      <c r="E2667" t="s">
        <v>12152</v>
      </c>
      <c r="F2667" t="s">
        <v>12153</v>
      </c>
      <c r="G2667" t="s">
        <v>12154</v>
      </c>
      <c r="H2667">
        <v>101.70034362161201</v>
      </c>
      <c r="I2667">
        <v>3.1596999041964899</v>
      </c>
      <c r="J2667">
        <v>215</v>
      </c>
      <c r="K2667" t="s">
        <v>1501</v>
      </c>
      <c r="L2667" t="s">
        <v>1501</v>
      </c>
      <c r="M2667" t="s">
        <v>1501</v>
      </c>
      <c r="N2667" t="s">
        <v>1501</v>
      </c>
      <c r="O2667" t="s">
        <v>1501</v>
      </c>
      <c r="P2667" t="s">
        <v>1501</v>
      </c>
      <c r="Q2667" t="s">
        <v>1501</v>
      </c>
      <c r="R2667" t="s">
        <v>12234</v>
      </c>
      <c r="S2667" t="s">
        <v>12235</v>
      </c>
      <c r="U2667" t="s">
        <v>12236</v>
      </c>
    </row>
    <row r="2668" spans="1:21" x14ac:dyDescent="0.25">
      <c r="A2668" t="s">
        <v>12237</v>
      </c>
      <c r="B2668" t="s">
        <v>22</v>
      </c>
      <c r="C2668" t="s">
        <v>12238</v>
      </c>
      <c r="D2668">
        <f>604-7313926</f>
        <v>-7313322</v>
      </c>
      <c r="E2668" t="s">
        <v>12239</v>
      </c>
      <c r="F2668" t="s">
        <v>12153</v>
      </c>
      <c r="G2668" t="s">
        <v>12154</v>
      </c>
      <c r="H2668">
        <v>100.36639700000001</v>
      </c>
      <c r="I2668">
        <v>6.1251290000000003</v>
      </c>
      <c r="J2668">
        <v>215</v>
      </c>
      <c r="K2668" t="s">
        <v>27</v>
      </c>
      <c r="L2668" t="s">
        <v>27</v>
      </c>
      <c r="M2668" t="s">
        <v>27</v>
      </c>
      <c r="N2668" t="s">
        <v>27</v>
      </c>
      <c r="O2668" t="s">
        <v>27</v>
      </c>
      <c r="P2668" t="s">
        <v>27</v>
      </c>
      <c r="Q2668" t="s">
        <v>27</v>
      </c>
      <c r="R2668" t="s">
        <v>12240</v>
      </c>
      <c r="S2668" t="s">
        <v>12241</v>
      </c>
      <c r="U2668" t="s">
        <v>12242</v>
      </c>
    </row>
    <row r="2669" spans="1:21" x14ac:dyDescent="0.25">
      <c r="A2669" t="s">
        <v>12243</v>
      </c>
      <c r="B2669" t="s">
        <v>22</v>
      </c>
      <c r="C2669" t="s">
        <v>12244</v>
      </c>
      <c r="D2669">
        <f>60-392868561</f>
        <v>-392868501</v>
      </c>
      <c r="E2669" t="s">
        <v>12152</v>
      </c>
      <c r="F2669" t="s">
        <v>12153</v>
      </c>
      <c r="G2669" t="s">
        <v>12154</v>
      </c>
      <c r="H2669">
        <v>101.732492699999</v>
      </c>
      <c r="I2669">
        <v>3.1391990000000001</v>
      </c>
      <c r="J2669">
        <v>215</v>
      </c>
      <c r="K2669" t="s">
        <v>27</v>
      </c>
      <c r="L2669" t="s">
        <v>27</v>
      </c>
      <c r="M2669" t="s">
        <v>27</v>
      </c>
      <c r="N2669" t="s">
        <v>27</v>
      </c>
      <c r="O2669" t="s">
        <v>27</v>
      </c>
      <c r="P2669" t="s">
        <v>27</v>
      </c>
      <c r="Q2669" t="s">
        <v>27</v>
      </c>
      <c r="R2669" t="s">
        <v>12245</v>
      </c>
      <c r="S2669" t="s">
        <v>12246</v>
      </c>
      <c r="U2669" t="s">
        <v>12247</v>
      </c>
    </row>
    <row r="2670" spans="1:21" x14ac:dyDescent="0.25">
      <c r="A2670" t="s">
        <v>12248</v>
      </c>
      <c r="B2670" t="s">
        <v>22</v>
      </c>
      <c r="C2670" t="s">
        <v>12249</v>
      </c>
      <c r="D2670">
        <f>60-62925742</f>
        <v>-62925682</v>
      </c>
      <c r="E2670" t="s">
        <v>12205</v>
      </c>
      <c r="F2670" t="s">
        <v>12153</v>
      </c>
      <c r="G2670" t="s">
        <v>12154</v>
      </c>
      <c r="H2670">
        <v>102.248373</v>
      </c>
      <c r="I2670">
        <v>2.1948029999999998</v>
      </c>
      <c r="J2670">
        <v>215</v>
      </c>
      <c r="K2670" t="s">
        <v>27</v>
      </c>
      <c r="L2670" t="s">
        <v>27</v>
      </c>
      <c r="M2670" t="s">
        <v>27</v>
      </c>
      <c r="N2670" t="s">
        <v>27</v>
      </c>
      <c r="O2670" t="s">
        <v>27</v>
      </c>
      <c r="P2670" t="s">
        <v>27</v>
      </c>
      <c r="Q2670" t="s">
        <v>27</v>
      </c>
      <c r="R2670" t="s">
        <v>12250</v>
      </c>
      <c r="S2670" t="s">
        <v>12251</v>
      </c>
      <c r="U2670" t="s">
        <v>12252</v>
      </c>
    </row>
    <row r="2671" spans="1:21" x14ac:dyDescent="0.25">
      <c r="A2671" t="s">
        <v>12253</v>
      </c>
      <c r="B2671" t="s">
        <v>22</v>
      </c>
      <c r="C2671" t="s">
        <v>12254</v>
      </c>
      <c r="D2671">
        <f>605-2914892</f>
        <v>-2914287</v>
      </c>
      <c r="E2671" t="s">
        <v>12255</v>
      </c>
      <c r="F2671" t="s">
        <v>12153</v>
      </c>
      <c r="G2671" t="s">
        <v>12154</v>
      </c>
      <c r="H2671">
        <v>101.123002</v>
      </c>
      <c r="I2671">
        <v>4.6773239999999996</v>
      </c>
      <c r="J2671">
        <v>215</v>
      </c>
      <c r="K2671" t="s">
        <v>27</v>
      </c>
      <c r="L2671" t="s">
        <v>27</v>
      </c>
      <c r="M2671" t="s">
        <v>27</v>
      </c>
      <c r="N2671" t="s">
        <v>27</v>
      </c>
      <c r="O2671" t="s">
        <v>77</v>
      </c>
      <c r="P2671" t="s">
        <v>77</v>
      </c>
      <c r="Q2671" t="s">
        <v>27</v>
      </c>
      <c r="R2671" t="s">
        <v>12256</v>
      </c>
      <c r="S2671" t="s">
        <v>12257</v>
      </c>
      <c r="U2671" t="s">
        <v>12258</v>
      </c>
    </row>
    <row r="2672" spans="1:21" x14ac:dyDescent="0.25">
      <c r="A2672" t="s">
        <v>12259</v>
      </c>
      <c r="B2672" t="s">
        <v>38</v>
      </c>
      <c r="C2672" t="s">
        <v>12260</v>
      </c>
      <c r="D2672">
        <f>608-2241540</f>
        <v>-2240932</v>
      </c>
      <c r="E2672" t="s">
        <v>12217</v>
      </c>
      <c r="F2672" t="s">
        <v>12153</v>
      </c>
      <c r="G2672" t="s">
        <v>12154</v>
      </c>
      <c r="H2672">
        <v>110.34421500000001</v>
      </c>
      <c r="I2672">
        <v>1.5583389999999999</v>
      </c>
      <c r="J2672">
        <v>215</v>
      </c>
      <c r="K2672" t="s">
        <v>27</v>
      </c>
      <c r="L2672" t="s">
        <v>27</v>
      </c>
      <c r="M2672" t="s">
        <v>27</v>
      </c>
      <c r="N2672" t="s">
        <v>27</v>
      </c>
      <c r="O2672" t="s">
        <v>27</v>
      </c>
      <c r="P2672" t="s">
        <v>27</v>
      </c>
      <c r="Q2672" t="s">
        <v>27</v>
      </c>
      <c r="R2672" t="s">
        <v>12261</v>
      </c>
      <c r="S2672" t="s">
        <v>12262</v>
      </c>
      <c r="U2672" t="s">
        <v>12263</v>
      </c>
    </row>
    <row r="2673" spans="1:21" x14ac:dyDescent="0.25">
      <c r="A2673" t="s">
        <v>12264</v>
      </c>
      <c r="B2673" t="s">
        <v>38</v>
      </c>
      <c r="C2673" t="s">
        <v>12265</v>
      </c>
      <c r="D2673">
        <f>607-7715696</f>
        <v>-7715089</v>
      </c>
      <c r="E2673" t="s">
        <v>12266</v>
      </c>
      <c r="F2673" t="s">
        <v>12153</v>
      </c>
      <c r="G2673" t="s">
        <v>12154</v>
      </c>
      <c r="H2673">
        <v>103.320509</v>
      </c>
      <c r="I2673">
        <v>2.0404330000000002</v>
      </c>
      <c r="J2673">
        <v>215</v>
      </c>
      <c r="K2673" t="s">
        <v>27</v>
      </c>
      <c r="L2673" t="s">
        <v>27</v>
      </c>
      <c r="M2673" t="s">
        <v>27</v>
      </c>
      <c r="N2673" t="s">
        <v>27</v>
      </c>
      <c r="O2673" t="s">
        <v>27</v>
      </c>
      <c r="P2673" t="s">
        <v>27</v>
      </c>
      <c r="Q2673" t="s">
        <v>27</v>
      </c>
      <c r="R2673" t="s">
        <v>12267</v>
      </c>
      <c r="S2673" t="s">
        <v>12268</v>
      </c>
      <c r="U2673" t="s">
        <v>12269</v>
      </c>
    </row>
    <row r="2674" spans="1:21" x14ac:dyDescent="0.25">
      <c r="A2674" t="s">
        <v>12270</v>
      </c>
      <c r="B2674" t="s">
        <v>38</v>
      </c>
      <c r="C2674" t="s">
        <v>12271</v>
      </c>
      <c r="D2674">
        <f>603-55247801</f>
        <v>-55247198</v>
      </c>
      <c r="E2674" t="s">
        <v>12152</v>
      </c>
      <c r="F2674" t="s">
        <v>12153</v>
      </c>
      <c r="G2674" t="s">
        <v>12154</v>
      </c>
      <c r="H2674">
        <v>101.548247</v>
      </c>
      <c r="I2674">
        <v>3.076441</v>
      </c>
      <c r="J2674">
        <v>215</v>
      </c>
      <c r="K2674" t="s">
        <v>27</v>
      </c>
      <c r="L2674" t="s">
        <v>27</v>
      </c>
      <c r="M2674" t="s">
        <v>27</v>
      </c>
      <c r="N2674" t="s">
        <v>27</v>
      </c>
      <c r="O2674" t="s">
        <v>27</v>
      </c>
      <c r="P2674" t="s">
        <v>27</v>
      </c>
      <c r="Q2674" t="s">
        <v>27</v>
      </c>
      <c r="R2674" t="s">
        <v>12272</v>
      </c>
      <c r="S2674" t="s">
        <v>12273</v>
      </c>
      <c r="U2674" t="s">
        <v>12274</v>
      </c>
    </row>
    <row r="2675" spans="1:21" x14ac:dyDescent="0.25">
      <c r="A2675" t="s">
        <v>12275</v>
      </c>
      <c r="B2675" t="s">
        <v>38</v>
      </c>
      <c r="C2675" t="s">
        <v>12276</v>
      </c>
      <c r="D2675">
        <f>609-7422142</f>
        <v>-7421533</v>
      </c>
      <c r="E2675" t="s">
        <v>12277</v>
      </c>
      <c r="F2675" t="s">
        <v>12153</v>
      </c>
      <c r="G2675" t="s">
        <v>12154</v>
      </c>
      <c r="H2675">
        <v>102.23084799999999</v>
      </c>
      <c r="I2675">
        <v>6.110989</v>
      </c>
      <c r="J2675">
        <v>215</v>
      </c>
      <c r="K2675" t="s">
        <v>27</v>
      </c>
      <c r="L2675" t="s">
        <v>27</v>
      </c>
      <c r="M2675" t="s">
        <v>27</v>
      </c>
      <c r="N2675" t="s">
        <v>27</v>
      </c>
      <c r="O2675" t="s">
        <v>27</v>
      </c>
      <c r="P2675" t="s">
        <v>27</v>
      </c>
      <c r="Q2675" t="s">
        <v>27</v>
      </c>
      <c r="R2675" t="s">
        <v>12278</v>
      </c>
      <c r="S2675" t="s">
        <v>12279</v>
      </c>
      <c r="U2675" t="s">
        <v>12280</v>
      </c>
    </row>
    <row r="2676" spans="1:21" x14ac:dyDescent="0.25">
      <c r="A2676" t="s">
        <v>12281</v>
      </c>
      <c r="B2676" t="s">
        <v>38</v>
      </c>
      <c r="C2676" t="s">
        <v>12282</v>
      </c>
      <c r="D2676">
        <f>603-41415135</f>
        <v>-41414532</v>
      </c>
      <c r="E2676" t="s">
        <v>12152</v>
      </c>
      <c r="F2676" t="s">
        <v>12153</v>
      </c>
      <c r="G2676" t="s">
        <v>12154</v>
      </c>
      <c r="H2676">
        <v>101.72073</v>
      </c>
      <c r="I2676">
        <v>3.2045560000000002</v>
      </c>
      <c r="J2676">
        <v>215</v>
      </c>
      <c r="K2676" t="s">
        <v>27</v>
      </c>
      <c r="L2676" t="s">
        <v>27</v>
      </c>
      <c r="M2676" t="s">
        <v>27</v>
      </c>
      <c r="N2676" t="s">
        <v>27</v>
      </c>
      <c r="O2676" t="s">
        <v>27</v>
      </c>
      <c r="P2676" t="s">
        <v>27</v>
      </c>
      <c r="Q2676" t="s">
        <v>27</v>
      </c>
      <c r="R2676" t="s">
        <v>12283</v>
      </c>
      <c r="S2676" t="s">
        <v>12284</v>
      </c>
      <c r="U2676" t="s">
        <v>12285</v>
      </c>
    </row>
    <row r="2677" spans="1:21" x14ac:dyDescent="0.25">
      <c r="A2677" t="s">
        <v>12286</v>
      </c>
      <c r="B2677" t="s">
        <v>38</v>
      </c>
      <c r="C2677" t="s">
        <v>12287</v>
      </c>
      <c r="D2677">
        <f>603-40417750</f>
        <v>-40417147</v>
      </c>
      <c r="E2677" t="s">
        <v>12152</v>
      </c>
      <c r="F2677" t="s">
        <v>12153</v>
      </c>
      <c r="G2677" t="s">
        <v>12154</v>
      </c>
      <c r="H2677">
        <v>101.692255</v>
      </c>
      <c r="I2677">
        <v>3.1660910000000002</v>
      </c>
      <c r="J2677">
        <v>215</v>
      </c>
      <c r="K2677" t="s">
        <v>27</v>
      </c>
      <c r="L2677" t="s">
        <v>27</v>
      </c>
      <c r="M2677" t="s">
        <v>27</v>
      </c>
      <c r="N2677" t="s">
        <v>27</v>
      </c>
      <c r="O2677" t="s">
        <v>27</v>
      </c>
      <c r="P2677" t="s">
        <v>27</v>
      </c>
      <c r="Q2677" t="s">
        <v>27</v>
      </c>
      <c r="R2677" t="s">
        <v>12288</v>
      </c>
      <c r="S2677" t="s">
        <v>12289</v>
      </c>
      <c r="U2677" t="s">
        <v>12290</v>
      </c>
    </row>
    <row r="2678" spans="1:21" x14ac:dyDescent="0.25">
      <c r="A2678" t="s">
        <v>12291</v>
      </c>
      <c r="B2678" t="s">
        <v>38</v>
      </c>
      <c r="C2678" t="s">
        <v>12292</v>
      </c>
      <c r="D2678">
        <f>603-87871450</f>
        <v>-87870847</v>
      </c>
      <c r="E2678" t="s">
        <v>12152</v>
      </c>
      <c r="F2678" t="s">
        <v>12153</v>
      </c>
      <c r="G2678" t="s">
        <v>12154</v>
      </c>
      <c r="H2678">
        <v>101.68563899999999</v>
      </c>
      <c r="I2678">
        <v>2.7441800000000001</v>
      </c>
      <c r="J2678">
        <v>215</v>
      </c>
      <c r="K2678" t="s">
        <v>12293</v>
      </c>
      <c r="L2678" t="s">
        <v>12293</v>
      </c>
      <c r="M2678" t="s">
        <v>12293</v>
      </c>
      <c r="N2678" t="s">
        <v>12293</v>
      </c>
      <c r="O2678" t="s">
        <v>12293</v>
      </c>
      <c r="P2678" t="s">
        <v>12293</v>
      </c>
      <c r="Q2678" t="s">
        <v>12293</v>
      </c>
      <c r="R2678" t="s">
        <v>12294</v>
      </c>
      <c r="S2678" t="s">
        <v>12295</v>
      </c>
      <c r="U2678" t="s">
        <v>12296</v>
      </c>
    </row>
    <row r="2679" spans="1:21" x14ac:dyDescent="0.25">
      <c r="A2679" t="s">
        <v>12297</v>
      </c>
      <c r="B2679" t="s">
        <v>38</v>
      </c>
      <c r="C2679" t="s">
        <v>12298</v>
      </c>
      <c r="D2679">
        <f>60-73572950</f>
        <v>-73572890</v>
      </c>
      <c r="E2679" t="s">
        <v>12211</v>
      </c>
      <c r="F2679" t="s">
        <v>12153</v>
      </c>
      <c r="G2679" t="s">
        <v>12154</v>
      </c>
      <c r="H2679">
        <v>103.79597699999999</v>
      </c>
      <c r="I2679">
        <v>1.549331</v>
      </c>
      <c r="J2679">
        <v>215</v>
      </c>
      <c r="K2679" t="s">
        <v>27</v>
      </c>
      <c r="L2679" t="s">
        <v>27</v>
      </c>
      <c r="M2679" t="s">
        <v>27</v>
      </c>
      <c r="N2679" t="s">
        <v>27</v>
      </c>
      <c r="O2679" t="s">
        <v>34</v>
      </c>
      <c r="P2679" t="s">
        <v>34</v>
      </c>
      <c r="Q2679" t="s">
        <v>27</v>
      </c>
      <c r="R2679" t="s">
        <v>12299</v>
      </c>
      <c r="S2679" t="s">
        <v>12300</v>
      </c>
      <c r="U2679" t="s">
        <v>12301</v>
      </c>
    </row>
    <row r="2680" spans="1:21" x14ac:dyDescent="0.25">
      <c r="A2680" t="s">
        <v>12302</v>
      </c>
      <c r="B2680" t="s">
        <v>38</v>
      </c>
      <c r="C2680" t="s">
        <v>12303</v>
      </c>
      <c r="D2680">
        <f>603-79323801</f>
        <v>-79323198</v>
      </c>
      <c r="E2680" t="s">
        <v>12152</v>
      </c>
      <c r="F2680" t="s">
        <v>12153</v>
      </c>
      <c r="G2680" t="s">
        <v>12154</v>
      </c>
      <c r="H2680">
        <v>101.663042</v>
      </c>
      <c r="I2680">
        <v>3.1137359999999998</v>
      </c>
      <c r="J2680">
        <v>215</v>
      </c>
      <c r="K2680" t="s">
        <v>1501</v>
      </c>
      <c r="L2680" t="s">
        <v>1501</v>
      </c>
      <c r="M2680" t="s">
        <v>1501</v>
      </c>
      <c r="N2680" t="s">
        <v>1501</v>
      </c>
      <c r="O2680" t="s">
        <v>1501</v>
      </c>
      <c r="P2680" t="s">
        <v>1501</v>
      </c>
      <c r="Q2680" t="s">
        <v>1501</v>
      </c>
      <c r="R2680" t="s">
        <v>12304</v>
      </c>
      <c r="S2680" t="s">
        <v>12305</v>
      </c>
      <c r="U2680" t="s">
        <v>12306</v>
      </c>
    </row>
    <row r="2681" spans="1:21" x14ac:dyDescent="0.25">
      <c r="A2681" t="s">
        <v>12307</v>
      </c>
      <c r="B2681" t="s">
        <v>38</v>
      </c>
      <c r="C2681" t="s">
        <v>12308</v>
      </c>
      <c r="D2681">
        <f>60-392867801</f>
        <v>-392867741</v>
      </c>
      <c r="E2681" t="s">
        <v>12152</v>
      </c>
      <c r="F2681" t="s">
        <v>12153</v>
      </c>
      <c r="G2681" t="s">
        <v>12154</v>
      </c>
      <c r="H2681">
        <v>101.724508</v>
      </c>
      <c r="I2681">
        <v>3.127821</v>
      </c>
      <c r="J2681">
        <v>215</v>
      </c>
      <c r="K2681" t="s">
        <v>27</v>
      </c>
      <c r="L2681" t="s">
        <v>27</v>
      </c>
      <c r="M2681" t="s">
        <v>27</v>
      </c>
      <c r="N2681" t="s">
        <v>27</v>
      </c>
      <c r="O2681" t="s">
        <v>27</v>
      </c>
      <c r="P2681" t="s">
        <v>27</v>
      </c>
      <c r="Q2681" t="s">
        <v>27</v>
      </c>
      <c r="R2681" t="s">
        <v>12309</v>
      </c>
      <c r="S2681" t="s">
        <v>12310</v>
      </c>
      <c r="U2681" t="s">
        <v>12311</v>
      </c>
    </row>
    <row r="2682" spans="1:21" x14ac:dyDescent="0.25">
      <c r="A2682" t="s">
        <v>12312</v>
      </c>
      <c r="B2682" t="s">
        <v>38</v>
      </c>
      <c r="C2682" t="s">
        <v>12313</v>
      </c>
      <c r="D2682">
        <f>607-2448943</f>
        <v>-2448336</v>
      </c>
      <c r="E2682" t="s">
        <v>12211</v>
      </c>
      <c r="F2682" t="s">
        <v>12153</v>
      </c>
      <c r="G2682" t="s">
        <v>12154</v>
      </c>
      <c r="H2682">
        <v>103.685552</v>
      </c>
      <c r="I2682">
        <v>1.516151</v>
      </c>
      <c r="J2682">
        <v>215</v>
      </c>
      <c r="K2682" t="s">
        <v>27</v>
      </c>
      <c r="L2682" t="s">
        <v>27</v>
      </c>
      <c r="M2682" t="s">
        <v>27</v>
      </c>
      <c r="N2682" t="s">
        <v>27</v>
      </c>
      <c r="O2682" t="s">
        <v>27</v>
      </c>
      <c r="P2682" t="s">
        <v>27</v>
      </c>
      <c r="Q2682" t="s">
        <v>27</v>
      </c>
      <c r="R2682" t="s">
        <v>12314</v>
      </c>
      <c r="S2682" t="s">
        <v>12315</v>
      </c>
      <c r="U2682" t="s">
        <v>12316</v>
      </c>
    </row>
    <row r="2683" spans="1:21" x14ac:dyDescent="0.25">
      <c r="A2683" t="s">
        <v>12317</v>
      </c>
      <c r="B2683" t="s">
        <v>22</v>
      </c>
      <c r="C2683" t="s">
        <v>12318</v>
      </c>
      <c r="D2683">
        <f>603-61011197</f>
        <v>-61010594</v>
      </c>
      <c r="E2683" t="s">
        <v>12319</v>
      </c>
      <c r="F2683" t="s">
        <v>12153</v>
      </c>
      <c r="G2683" t="s">
        <v>12154</v>
      </c>
      <c r="H2683">
        <v>101.794218</v>
      </c>
      <c r="I2683">
        <v>3.4260730000000001</v>
      </c>
      <c r="J2683">
        <v>215</v>
      </c>
      <c r="K2683" t="s">
        <v>27</v>
      </c>
      <c r="L2683" t="s">
        <v>27</v>
      </c>
      <c r="M2683" t="s">
        <v>27</v>
      </c>
      <c r="N2683" t="s">
        <v>27</v>
      </c>
      <c r="O2683" t="s">
        <v>27</v>
      </c>
      <c r="P2683" t="s">
        <v>27</v>
      </c>
      <c r="Q2683" t="s">
        <v>27</v>
      </c>
      <c r="R2683" t="s">
        <v>12320</v>
      </c>
      <c r="S2683" t="s">
        <v>12321</v>
      </c>
      <c r="U2683" t="s">
        <v>12322</v>
      </c>
    </row>
    <row r="2684" spans="1:21" x14ac:dyDescent="0.25">
      <c r="A2684" t="s">
        <v>12323</v>
      </c>
      <c r="B2684" t="s">
        <v>38</v>
      </c>
      <c r="C2684" t="s">
        <v>12324</v>
      </c>
      <c r="D2684">
        <f>607-3648702</f>
        <v>-3648095</v>
      </c>
      <c r="E2684" t="s">
        <v>12211</v>
      </c>
      <c r="F2684" t="s">
        <v>12153</v>
      </c>
      <c r="G2684" t="s">
        <v>12154</v>
      </c>
      <c r="H2684">
        <v>103.734587</v>
      </c>
      <c r="I2684">
        <v>1.5639559999999999</v>
      </c>
      <c r="J2684">
        <v>215</v>
      </c>
      <c r="K2684" t="s">
        <v>27</v>
      </c>
      <c r="L2684" t="s">
        <v>27</v>
      </c>
      <c r="M2684" t="s">
        <v>27</v>
      </c>
      <c r="N2684" t="s">
        <v>27</v>
      </c>
      <c r="O2684" t="s">
        <v>27</v>
      </c>
      <c r="P2684" t="s">
        <v>27</v>
      </c>
      <c r="Q2684" t="s">
        <v>27</v>
      </c>
      <c r="R2684" t="s">
        <v>12325</v>
      </c>
      <c r="S2684" t="s">
        <v>12326</v>
      </c>
      <c r="U2684" t="s">
        <v>12327</v>
      </c>
    </row>
    <row r="2685" spans="1:21" x14ac:dyDescent="0.25">
      <c r="A2685" t="s">
        <v>12328</v>
      </c>
      <c r="B2685" t="s">
        <v>38</v>
      </c>
      <c r="C2685" t="s">
        <v>12329</v>
      </c>
      <c r="D2685">
        <f>608-5421086</f>
        <v>-5420478</v>
      </c>
      <c r="E2685" t="s">
        <v>12330</v>
      </c>
      <c r="F2685" t="s">
        <v>12153</v>
      </c>
      <c r="G2685" t="s">
        <v>12154</v>
      </c>
      <c r="H2685">
        <v>113.993295</v>
      </c>
      <c r="I2685">
        <v>4.3974120000000001</v>
      </c>
      <c r="J2685">
        <v>215</v>
      </c>
      <c r="K2685" t="s">
        <v>27</v>
      </c>
      <c r="L2685" t="s">
        <v>27</v>
      </c>
      <c r="M2685" t="s">
        <v>27</v>
      </c>
      <c r="N2685" t="s">
        <v>27</v>
      </c>
      <c r="O2685" t="s">
        <v>27</v>
      </c>
      <c r="P2685" t="s">
        <v>27</v>
      </c>
      <c r="Q2685" t="s">
        <v>27</v>
      </c>
      <c r="R2685" t="s">
        <v>12331</v>
      </c>
      <c r="S2685" t="s">
        <v>12332</v>
      </c>
      <c r="U2685" t="s">
        <v>12333</v>
      </c>
    </row>
    <row r="2686" spans="1:21" x14ac:dyDescent="0.25">
      <c r="A2686" t="s">
        <v>12334</v>
      </c>
      <c r="B2686" t="s">
        <v>38</v>
      </c>
      <c r="C2686" t="s">
        <v>12335</v>
      </c>
      <c r="D2686">
        <f>60-86344007</f>
        <v>-86343947</v>
      </c>
      <c r="E2686" t="s">
        <v>12336</v>
      </c>
      <c r="F2686" t="s">
        <v>12153</v>
      </c>
      <c r="G2686" t="s">
        <v>12154</v>
      </c>
      <c r="H2686">
        <v>113.04190689999901</v>
      </c>
      <c r="I2686">
        <v>3.171322</v>
      </c>
      <c r="J2686">
        <v>215</v>
      </c>
      <c r="K2686" t="s">
        <v>27</v>
      </c>
      <c r="L2686" t="s">
        <v>27</v>
      </c>
      <c r="M2686" t="s">
        <v>27</v>
      </c>
      <c r="N2686" t="s">
        <v>27</v>
      </c>
      <c r="O2686" t="s">
        <v>27</v>
      </c>
      <c r="P2686" t="s">
        <v>27</v>
      </c>
      <c r="Q2686" t="s">
        <v>27</v>
      </c>
      <c r="R2686" t="s">
        <v>12337</v>
      </c>
      <c r="S2686" t="s">
        <v>12338</v>
      </c>
      <c r="U2686" t="s">
        <v>12339</v>
      </c>
    </row>
    <row r="2687" spans="1:21" x14ac:dyDescent="0.25">
      <c r="A2687" t="s">
        <v>12340</v>
      </c>
      <c r="B2687" t="s">
        <v>38</v>
      </c>
      <c r="C2687" t="s">
        <v>12341</v>
      </c>
      <c r="D2687">
        <f>603-77318139</f>
        <v>-77317536</v>
      </c>
      <c r="E2687" t="s">
        <v>12152</v>
      </c>
      <c r="F2687" t="s">
        <v>12153</v>
      </c>
      <c r="G2687" t="s">
        <v>12154</v>
      </c>
      <c r="H2687">
        <v>101.611366</v>
      </c>
      <c r="I2687">
        <v>3.1563050000000001</v>
      </c>
      <c r="J2687">
        <v>215</v>
      </c>
      <c r="K2687" t="s">
        <v>27</v>
      </c>
      <c r="L2687" t="s">
        <v>27</v>
      </c>
      <c r="M2687" t="s">
        <v>27</v>
      </c>
      <c r="N2687" t="s">
        <v>27</v>
      </c>
      <c r="O2687" t="s">
        <v>27</v>
      </c>
      <c r="P2687" t="s">
        <v>27</v>
      </c>
      <c r="Q2687" t="s">
        <v>27</v>
      </c>
      <c r="R2687" t="s">
        <v>12342</v>
      </c>
      <c r="S2687" t="s">
        <v>12343</v>
      </c>
      <c r="U2687" t="s">
        <v>12344</v>
      </c>
    </row>
    <row r="2688" spans="1:21" x14ac:dyDescent="0.25">
      <c r="A2688" t="s">
        <v>12345</v>
      </c>
      <c r="B2688" t="s">
        <v>38</v>
      </c>
      <c r="C2688" t="s">
        <v>12346</v>
      </c>
      <c r="E2688" t="s">
        <v>12152</v>
      </c>
      <c r="F2688" t="s">
        <v>12153</v>
      </c>
      <c r="G2688" t="s">
        <v>12154</v>
      </c>
      <c r="H2688">
        <v>101.686854999999</v>
      </c>
      <c r="I2688">
        <v>3.1390030000000002</v>
      </c>
      <c r="J2688">
        <v>227</v>
      </c>
      <c r="K2688" t="s">
        <v>1501</v>
      </c>
      <c r="L2688" t="s">
        <v>1501</v>
      </c>
      <c r="M2688" t="s">
        <v>1501</v>
      </c>
      <c r="N2688" t="s">
        <v>1501</v>
      </c>
      <c r="O2688" t="s">
        <v>1501</v>
      </c>
      <c r="P2688" t="s">
        <v>1501</v>
      </c>
      <c r="Q2688" t="s">
        <v>1501</v>
      </c>
      <c r="R2688" t="s">
        <v>12347</v>
      </c>
      <c r="S2688" t="s">
        <v>12348</v>
      </c>
      <c r="U2688" t="s">
        <v>12349</v>
      </c>
    </row>
    <row r="2689" spans="1:21" x14ac:dyDescent="0.25">
      <c r="A2689" t="s">
        <v>12350</v>
      </c>
      <c r="B2689" t="s">
        <v>38</v>
      </c>
      <c r="C2689" t="s">
        <v>12351</v>
      </c>
      <c r="D2689">
        <f>60-67656688</f>
        <v>-67656628</v>
      </c>
      <c r="E2689" t="s">
        <v>12152</v>
      </c>
      <c r="F2689" t="s">
        <v>12153</v>
      </c>
      <c r="G2689" t="s">
        <v>12154</v>
      </c>
      <c r="H2689">
        <v>101.922971</v>
      </c>
      <c r="I2689">
        <v>2.7202639999999998</v>
      </c>
      <c r="J2689">
        <v>215</v>
      </c>
      <c r="K2689" t="s">
        <v>27</v>
      </c>
      <c r="L2689" t="s">
        <v>27</v>
      </c>
      <c r="M2689" t="s">
        <v>27</v>
      </c>
      <c r="N2689" t="s">
        <v>27</v>
      </c>
      <c r="O2689" t="s">
        <v>27</v>
      </c>
      <c r="P2689" t="s">
        <v>27</v>
      </c>
      <c r="Q2689" t="s">
        <v>27</v>
      </c>
      <c r="R2689" t="s">
        <v>12352</v>
      </c>
      <c r="S2689" t="s">
        <v>12353</v>
      </c>
      <c r="U2689" t="s">
        <v>12354</v>
      </c>
    </row>
    <row r="2690" spans="1:21" x14ac:dyDescent="0.25">
      <c r="A2690" t="s">
        <v>12355</v>
      </c>
      <c r="B2690" t="s">
        <v>38</v>
      </c>
      <c r="C2690" t="s">
        <v>12356</v>
      </c>
      <c r="E2690" t="s">
        <v>12357</v>
      </c>
      <c r="F2690" t="s">
        <v>12153</v>
      </c>
      <c r="G2690" t="s">
        <v>12154</v>
      </c>
      <c r="H2690">
        <v>101.790988</v>
      </c>
      <c r="I2690">
        <v>2.8215620000000001</v>
      </c>
      <c r="J2690">
        <v>215</v>
      </c>
      <c r="K2690" t="s">
        <v>27</v>
      </c>
      <c r="L2690" t="s">
        <v>27</v>
      </c>
      <c r="M2690" t="s">
        <v>27</v>
      </c>
      <c r="N2690" t="s">
        <v>27</v>
      </c>
      <c r="O2690" t="s">
        <v>77</v>
      </c>
      <c r="P2690" t="s">
        <v>77</v>
      </c>
      <c r="Q2690" t="s">
        <v>27</v>
      </c>
      <c r="R2690" t="s">
        <v>12358</v>
      </c>
      <c r="S2690" t="s">
        <v>12358</v>
      </c>
      <c r="U2690" t="s">
        <v>12359</v>
      </c>
    </row>
    <row r="2691" spans="1:21" x14ac:dyDescent="0.25">
      <c r="A2691" t="s">
        <v>12360</v>
      </c>
      <c r="B2691" t="s">
        <v>38</v>
      </c>
      <c r="C2691" t="s">
        <v>12361</v>
      </c>
      <c r="E2691" t="s">
        <v>12152</v>
      </c>
      <c r="F2691" t="s">
        <v>12153</v>
      </c>
      <c r="G2691" t="s">
        <v>12154</v>
      </c>
      <c r="H2691">
        <v>101.59381999999999</v>
      </c>
      <c r="I2691">
        <v>3.1487229999999999</v>
      </c>
      <c r="J2691">
        <v>215</v>
      </c>
      <c r="K2691" t="s">
        <v>27</v>
      </c>
      <c r="L2691" t="s">
        <v>27</v>
      </c>
      <c r="M2691" t="s">
        <v>27</v>
      </c>
      <c r="N2691" t="s">
        <v>27</v>
      </c>
      <c r="O2691" t="s">
        <v>27</v>
      </c>
      <c r="P2691" t="s">
        <v>27</v>
      </c>
      <c r="Q2691" t="s">
        <v>27</v>
      </c>
      <c r="R2691" t="s">
        <v>12362</v>
      </c>
      <c r="S2691" t="s">
        <v>12363</v>
      </c>
      <c r="U2691" t="s">
        <v>12364</v>
      </c>
    </row>
    <row r="2692" spans="1:21" x14ac:dyDescent="0.25">
      <c r="A2692" t="s">
        <v>12365</v>
      </c>
      <c r="B2692" t="s">
        <v>38</v>
      </c>
      <c r="C2692" t="s">
        <v>12366</v>
      </c>
      <c r="E2692" t="s">
        <v>12152</v>
      </c>
      <c r="F2692" t="s">
        <v>12153</v>
      </c>
      <c r="G2692" t="s">
        <v>12154</v>
      </c>
      <c r="H2692">
        <v>101.73009500000001</v>
      </c>
      <c r="I2692">
        <v>3.2249020000000002</v>
      </c>
      <c r="J2692">
        <v>215</v>
      </c>
      <c r="K2692" t="s">
        <v>27</v>
      </c>
      <c r="L2692" t="s">
        <v>27</v>
      </c>
      <c r="M2692" t="s">
        <v>27</v>
      </c>
      <c r="N2692" t="s">
        <v>27</v>
      </c>
      <c r="O2692" t="s">
        <v>27</v>
      </c>
      <c r="P2692" t="s">
        <v>27</v>
      </c>
      <c r="Q2692" t="s">
        <v>27</v>
      </c>
      <c r="R2692" t="s">
        <v>12367</v>
      </c>
      <c r="S2692" t="s">
        <v>12368</v>
      </c>
      <c r="U2692" t="s">
        <v>12369</v>
      </c>
    </row>
    <row r="2693" spans="1:21" x14ac:dyDescent="0.25">
      <c r="A2693" t="s">
        <v>12370</v>
      </c>
      <c r="B2693" t="s">
        <v>38</v>
      </c>
      <c r="C2693" t="s">
        <v>12371</v>
      </c>
      <c r="D2693">
        <f t="shared" ref="D2693:D2724" si="75">31-900-1988</f>
        <v>-2857</v>
      </c>
      <c r="E2693" t="s">
        <v>12372</v>
      </c>
      <c r="F2693" t="s">
        <v>12373</v>
      </c>
      <c r="G2693" t="s">
        <v>12374</v>
      </c>
      <c r="H2693">
        <v>3.6130444000000002</v>
      </c>
      <c r="I2693">
        <v>51.498178799999998</v>
      </c>
      <c r="J2693">
        <v>100</v>
      </c>
      <c r="K2693" t="s">
        <v>1289</v>
      </c>
      <c r="L2693" t="s">
        <v>578</v>
      </c>
      <c r="M2693" t="s">
        <v>578</v>
      </c>
      <c r="N2693" t="s">
        <v>578</v>
      </c>
      <c r="O2693" t="s">
        <v>578</v>
      </c>
      <c r="P2693" t="s">
        <v>578</v>
      </c>
      <c r="Q2693" t="s">
        <v>10216</v>
      </c>
      <c r="R2693" t="s">
        <v>12375</v>
      </c>
      <c r="U2693" t="s">
        <v>12376</v>
      </c>
    </row>
    <row r="2694" spans="1:21" x14ac:dyDescent="0.25">
      <c r="A2694" t="s">
        <v>12377</v>
      </c>
      <c r="B2694" t="s">
        <v>22</v>
      </c>
      <c r="C2694" t="s">
        <v>12378</v>
      </c>
      <c r="D2694">
        <f t="shared" si="75"/>
        <v>-2857</v>
      </c>
      <c r="E2694" t="s">
        <v>12379</v>
      </c>
      <c r="F2694" t="s">
        <v>12373</v>
      </c>
      <c r="G2694" t="s">
        <v>12374</v>
      </c>
      <c r="H2694">
        <v>4.6615156531333897</v>
      </c>
      <c r="I2694">
        <v>52.129410534723597</v>
      </c>
      <c r="J2694">
        <v>100</v>
      </c>
      <c r="K2694" t="s">
        <v>1289</v>
      </c>
      <c r="L2694" t="s">
        <v>553</v>
      </c>
      <c r="M2694" t="s">
        <v>553</v>
      </c>
      <c r="N2694" t="s">
        <v>553</v>
      </c>
      <c r="O2694" t="s">
        <v>553</v>
      </c>
      <c r="P2694" t="s">
        <v>553</v>
      </c>
      <c r="R2694" t="s">
        <v>12380</v>
      </c>
      <c r="U2694" t="s">
        <v>12381</v>
      </c>
    </row>
    <row r="2695" spans="1:21" x14ac:dyDescent="0.25">
      <c r="A2695" t="s">
        <v>12382</v>
      </c>
      <c r="B2695" t="s">
        <v>22</v>
      </c>
      <c r="C2695" t="s">
        <v>12383</v>
      </c>
      <c r="D2695">
        <f t="shared" si="75"/>
        <v>-2857</v>
      </c>
      <c r="E2695" t="s">
        <v>12384</v>
      </c>
      <c r="F2695" t="s">
        <v>12373</v>
      </c>
      <c r="G2695" t="s">
        <v>12374</v>
      </c>
      <c r="H2695">
        <v>6.8982828999999999</v>
      </c>
      <c r="I2695">
        <v>52.218170299999997</v>
      </c>
      <c r="J2695">
        <v>100</v>
      </c>
      <c r="K2695" t="s">
        <v>564</v>
      </c>
      <c r="L2695" t="s">
        <v>553</v>
      </c>
      <c r="M2695" t="s">
        <v>553</v>
      </c>
      <c r="N2695" t="s">
        <v>553</v>
      </c>
      <c r="O2695" t="s">
        <v>553</v>
      </c>
      <c r="P2695" t="s">
        <v>578</v>
      </c>
      <c r="Q2695" t="s">
        <v>1289</v>
      </c>
      <c r="R2695" t="s">
        <v>12385</v>
      </c>
      <c r="U2695" t="s">
        <v>12386</v>
      </c>
    </row>
    <row r="2696" spans="1:21" x14ac:dyDescent="0.25">
      <c r="A2696" t="s">
        <v>12387</v>
      </c>
      <c r="B2696" t="s">
        <v>22</v>
      </c>
      <c r="C2696" t="s">
        <v>12388</v>
      </c>
      <c r="D2696">
        <f t="shared" si="75"/>
        <v>-2857</v>
      </c>
      <c r="E2696" t="s">
        <v>12389</v>
      </c>
      <c r="F2696" t="s">
        <v>12373</v>
      </c>
      <c r="G2696" t="s">
        <v>12374</v>
      </c>
      <c r="H2696">
        <v>4.4909217999999997</v>
      </c>
      <c r="I2696">
        <v>51.887205000000002</v>
      </c>
      <c r="J2696">
        <v>100</v>
      </c>
      <c r="K2696" t="s">
        <v>1289</v>
      </c>
      <c r="L2696" t="s">
        <v>553</v>
      </c>
      <c r="M2696" t="s">
        <v>553</v>
      </c>
      <c r="N2696" t="s">
        <v>553</v>
      </c>
      <c r="O2696" t="s">
        <v>553</v>
      </c>
      <c r="P2696" t="s">
        <v>553</v>
      </c>
      <c r="Q2696" t="s">
        <v>1289</v>
      </c>
      <c r="R2696" t="s">
        <v>12390</v>
      </c>
      <c r="S2696" t="s">
        <v>12391</v>
      </c>
      <c r="U2696" t="s">
        <v>12392</v>
      </c>
    </row>
    <row r="2697" spans="1:21" x14ac:dyDescent="0.25">
      <c r="A2697" t="s">
        <v>12393</v>
      </c>
      <c r="B2697" t="s">
        <v>22</v>
      </c>
      <c r="C2697" t="s">
        <v>12394</v>
      </c>
      <c r="D2697">
        <f t="shared" si="75"/>
        <v>-2857</v>
      </c>
      <c r="E2697" t="s">
        <v>12395</v>
      </c>
      <c r="F2697" t="s">
        <v>12373</v>
      </c>
      <c r="G2697" t="s">
        <v>12374</v>
      </c>
      <c r="H2697">
        <v>4.7470283000000002</v>
      </c>
      <c r="I2697">
        <v>52.6315496</v>
      </c>
      <c r="J2697">
        <v>100</v>
      </c>
      <c r="K2697" t="s">
        <v>564</v>
      </c>
      <c r="L2697" t="s">
        <v>553</v>
      </c>
      <c r="M2697" t="s">
        <v>553</v>
      </c>
      <c r="N2697" t="s">
        <v>553</v>
      </c>
      <c r="O2697" t="s">
        <v>553</v>
      </c>
      <c r="P2697" t="s">
        <v>553</v>
      </c>
      <c r="Q2697" t="s">
        <v>564</v>
      </c>
      <c r="R2697" t="s">
        <v>12396</v>
      </c>
      <c r="U2697" t="s">
        <v>12397</v>
      </c>
    </row>
    <row r="2698" spans="1:21" x14ac:dyDescent="0.25">
      <c r="A2698" t="s">
        <v>12398</v>
      </c>
      <c r="B2698" t="s">
        <v>22</v>
      </c>
      <c r="C2698" t="s">
        <v>12399</v>
      </c>
      <c r="D2698">
        <f t="shared" si="75"/>
        <v>-2857</v>
      </c>
      <c r="E2698" t="s">
        <v>12389</v>
      </c>
      <c r="F2698" t="s">
        <v>12373</v>
      </c>
      <c r="G2698" t="s">
        <v>12374</v>
      </c>
      <c r="H2698">
        <v>4.5536396999999997</v>
      </c>
      <c r="I2698">
        <v>51.950291900000003</v>
      </c>
      <c r="J2698">
        <v>100</v>
      </c>
      <c r="K2698" t="s">
        <v>262</v>
      </c>
      <c r="L2698" t="s">
        <v>262</v>
      </c>
      <c r="M2698" t="s">
        <v>262</v>
      </c>
      <c r="N2698" t="s">
        <v>262</v>
      </c>
      <c r="O2698" t="s">
        <v>262</v>
      </c>
      <c r="P2698" t="s">
        <v>262</v>
      </c>
      <c r="Q2698" t="s">
        <v>1492</v>
      </c>
      <c r="R2698" t="s">
        <v>12400</v>
      </c>
      <c r="S2698" t="s">
        <v>12401</v>
      </c>
      <c r="U2698" t="s">
        <v>12402</v>
      </c>
    </row>
    <row r="2699" spans="1:21" x14ac:dyDescent="0.25">
      <c r="A2699" t="s">
        <v>12403</v>
      </c>
      <c r="B2699" t="s">
        <v>22</v>
      </c>
      <c r="C2699" t="s">
        <v>12404</v>
      </c>
      <c r="D2699">
        <f t="shared" si="75"/>
        <v>-2857</v>
      </c>
      <c r="E2699" t="s">
        <v>12405</v>
      </c>
      <c r="F2699" t="s">
        <v>12373</v>
      </c>
      <c r="G2699" t="s">
        <v>12374</v>
      </c>
      <c r="H2699">
        <v>4.6694228000000004</v>
      </c>
      <c r="I2699">
        <v>51.814167599999998</v>
      </c>
      <c r="J2699">
        <v>100</v>
      </c>
      <c r="K2699" t="s">
        <v>1289</v>
      </c>
      <c r="L2699" t="s">
        <v>578</v>
      </c>
      <c r="M2699" t="s">
        <v>578</v>
      </c>
      <c r="N2699" t="s">
        <v>578</v>
      </c>
      <c r="O2699" t="s">
        <v>578</v>
      </c>
      <c r="P2699" t="s">
        <v>578</v>
      </c>
      <c r="Q2699" t="s">
        <v>1289</v>
      </c>
      <c r="R2699" t="s">
        <v>12406</v>
      </c>
      <c r="U2699" t="s">
        <v>12407</v>
      </c>
    </row>
    <row r="2700" spans="1:21" x14ac:dyDescent="0.25">
      <c r="A2700" t="s">
        <v>12408</v>
      </c>
      <c r="B2700" t="s">
        <v>38</v>
      </c>
      <c r="C2700" t="s">
        <v>12409</v>
      </c>
      <c r="D2700">
        <f t="shared" si="75"/>
        <v>-2857</v>
      </c>
      <c r="E2700" t="s">
        <v>12410</v>
      </c>
      <c r="F2700" t="s">
        <v>12373</v>
      </c>
      <c r="G2700" t="s">
        <v>12374</v>
      </c>
      <c r="H2700">
        <v>5.5556694000000002</v>
      </c>
      <c r="I2700">
        <v>52.026761399999998</v>
      </c>
      <c r="J2700">
        <v>100</v>
      </c>
      <c r="K2700" t="s">
        <v>10216</v>
      </c>
      <c r="L2700" t="s">
        <v>578</v>
      </c>
      <c r="M2700" t="s">
        <v>553</v>
      </c>
      <c r="N2700" t="s">
        <v>553</v>
      </c>
      <c r="O2700" t="s">
        <v>553</v>
      </c>
      <c r="P2700" t="s">
        <v>578</v>
      </c>
      <c r="R2700" t="s">
        <v>12411</v>
      </c>
      <c r="U2700" t="s">
        <v>12412</v>
      </c>
    </row>
    <row r="2701" spans="1:21" x14ac:dyDescent="0.25">
      <c r="A2701" t="s">
        <v>12413</v>
      </c>
      <c r="B2701" t="s">
        <v>22</v>
      </c>
      <c r="C2701" t="s">
        <v>12414</v>
      </c>
      <c r="D2701">
        <f t="shared" si="75"/>
        <v>-2857</v>
      </c>
      <c r="E2701" t="s">
        <v>12415</v>
      </c>
      <c r="F2701" t="s">
        <v>12373</v>
      </c>
      <c r="G2701" t="s">
        <v>12374</v>
      </c>
      <c r="H2701">
        <v>4.3111642999999997</v>
      </c>
      <c r="I2701">
        <v>52.076602100000002</v>
      </c>
      <c r="J2701">
        <v>100</v>
      </c>
      <c r="K2701" t="s">
        <v>1289</v>
      </c>
      <c r="L2701" t="s">
        <v>553</v>
      </c>
      <c r="M2701" t="s">
        <v>553</v>
      </c>
      <c r="N2701" t="s">
        <v>553</v>
      </c>
      <c r="O2701" t="s">
        <v>553</v>
      </c>
      <c r="P2701" t="s">
        <v>553</v>
      </c>
      <c r="Q2701" t="s">
        <v>1289</v>
      </c>
      <c r="R2701" t="s">
        <v>12416</v>
      </c>
      <c r="U2701" t="s">
        <v>12417</v>
      </c>
    </row>
    <row r="2702" spans="1:21" x14ac:dyDescent="0.25">
      <c r="A2702" t="s">
        <v>12418</v>
      </c>
      <c r="B2702" t="s">
        <v>22</v>
      </c>
      <c r="C2702" t="s">
        <v>12419</v>
      </c>
      <c r="D2702">
        <f t="shared" si="75"/>
        <v>-2857</v>
      </c>
      <c r="E2702" t="s">
        <v>12420</v>
      </c>
      <c r="F2702" t="s">
        <v>12373</v>
      </c>
      <c r="G2702" t="s">
        <v>12374</v>
      </c>
      <c r="H2702">
        <v>5.3844599999999998</v>
      </c>
      <c r="I2702">
        <v>52.154798</v>
      </c>
      <c r="J2702">
        <v>100</v>
      </c>
      <c r="K2702" t="s">
        <v>1289</v>
      </c>
      <c r="L2702" t="s">
        <v>553</v>
      </c>
      <c r="M2702" t="s">
        <v>553</v>
      </c>
      <c r="N2702" t="s">
        <v>553</v>
      </c>
      <c r="O2702" t="s">
        <v>553</v>
      </c>
      <c r="P2702" t="s">
        <v>553</v>
      </c>
      <c r="Q2702" t="s">
        <v>1289</v>
      </c>
      <c r="R2702" t="s">
        <v>12421</v>
      </c>
      <c r="U2702" t="s">
        <v>12422</v>
      </c>
    </row>
    <row r="2703" spans="1:21" x14ac:dyDescent="0.25">
      <c r="A2703" t="s">
        <v>12423</v>
      </c>
      <c r="B2703" t="s">
        <v>22</v>
      </c>
      <c r="C2703" t="s">
        <v>12424</v>
      </c>
      <c r="D2703">
        <f t="shared" si="75"/>
        <v>-2857</v>
      </c>
      <c r="E2703" t="s">
        <v>12425</v>
      </c>
      <c r="F2703" t="s">
        <v>12373</v>
      </c>
      <c r="G2703" t="s">
        <v>12374</v>
      </c>
      <c r="H2703">
        <v>4.8600295999999998</v>
      </c>
      <c r="I2703">
        <v>52.303285000000002</v>
      </c>
      <c r="J2703">
        <v>100</v>
      </c>
      <c r="K2703" t="s">
        <v>564</v>
      </c>
      <c r="L2703" t="s">
        <v>553</v>
      </c>
      <c r="M2703" t="s">
        <v>553</v>
      </c>
      <c r="N2703" t="s">
        <v>553</v>
      </c>
      <c r="O2703" t="s">
        <v>553</v>
      </c>
      <c r="P2703" t="s">
        <v>553</v>
      </c>
      <c r="Q2703" t="s">
        <v>564</v>
      </c>
      <c r="R2703" t="s">
        <v>12426</v>
      </c>
      <c r="S2703" t="s">
        <v>12427</v>
      </c>
      <c r="U2703" t="s">
        <v>12428</v>
      </c>
    </row>
    <row r="2704" spans="1:21" x14ac:dyDescent="0.25">
      <c r="A2704" t="s">
        <v>12429</v>
      </c>
      <c r="B2704" t="s">
        <v>22</v>
      </c>
      <c r="C2704" t="s">
        <v>12430</v>
      </c>
      <c r="D2704">
        <f t="shared" si="75"/>
        <v>-2857</v>
      </c>
      <c r="E2704" t="s">
        <v>12431</v>
      </c>
      <c r="F2704" t="s">
        <v>12373</v>
      </c>
      <c r="G2704" t="s">
        <v>12374</v>
      </c>
      <c r="H2704">
        <v>5.3045134999999997</v>
      </c>
      <c r="I2704">
        <v>51.691335799999997</v>
      </c>
      <c r="J2704">
        <v>100</v>
      </c>
      <c r="K2704" t="s">
        <v>1289</v>
      </c>
      <c r="L2704" t="s">
        <v>553</v>
      </c>
      <c r="M2704" t="s">
        <v>553</v>
      </c>
      <c r="N2704" t="s">
        <v>553</v>
      </c>
      <c r="O2704" t="s">
        <v>553</v>
      </c>
      <c r="P2704" t="s">
        <v>553</v>
      </c>
      <c r="Q2704" t="s">
        <v>1289</v>
      </c>
      <c r="R2704" t="s">
        <v>12432</v>
      </c>
      <c r="S2704" t="s">
        <v>12433</v>
      </c>
      <c r="U2704" t="s">
        <v>12434</v>
      </c>
    </row>
    <row r="2705" spans="1:21" x14ac:dyDescent="0.25">
      <c r="A2705" t="s">
        <v>12435</v>
      </c>
      <c r="B2705" t="s">
        <v>22</v>
      </c>
      <c r="C2705" t="s">
        <v>12436</v>
      </c>
      <c r="D2705">
        <f t="shared" si="75"/>
        <v>-2857</v>
      </c>
      <c r="E2705" t="s">
        <v>12437</v>
      </c>
      <c r="F2705" t="s">
        <v>12373</v>
      </c>
      <c r="G2705" t="s">
        <v>12374</v>
      </c>
      <c r="H2705">
        <v>6.7914690000000002</v>
      </c>
      <c r="I2705">
        <v>52.2635176</v>
      </c>
      <c r="J2705">
        <v>100</v>
      </c>
      <c r="K2705" t="s">
        <v>1289</v>
      </c>
      <c r="L2705" t="s">
        <v>553</v>
      </c>
      <c r="M2705" t="s">
        <v>553</v>
      </c>
      <c r="N2705" t="s">
        <v>553</v>
      </c>
      <c r="O2705" t="s">
        <v>553</v>
      </c>
      <c r="P2705" t="s">
        <v>553</v>
      </c>
      <c r="R2705" t="s">
        <v>12438</v>
      </c>
      <c r="U2705" t="s">
        <v>12439</v>
      </c>
    </row>
    <row r="2706" spans="1:21" x14ac:dyDescent="0.25">
      <c r="A2706" t="s">
        <v>12440</v>
      </c>
      <c r="B2706" t="s">
        <v>22</v>
      </c>
      <c r="C2706" t="s">
        <v>12441</v>
      </c>
      <c r="D2706">
        <f t="shared" si="75"/>
        <v>-2857</v>
      </c>
      <c r="E2706" t="s">
        <v>12442</v>
      </c>
      <c r="F2706" t="s">
        <v>12373</v>
      </c>
      <c r="G2706" t="s">
        <v>12374</v>
      </c>
      <c r="H2706">
        <v>5.4802901000000004</v>
      </c>
      <c r="I2706">
        <v>51.438027599999998</v>
      </c>
      <c r="J2706">
        <v>100</v>
      </c>
      <c r="K2706" t="s">
        <v>1289</v>
      </c>
      <c r="L2706" t="s">
        <v>553</v>
      </c>
      <c r="M2706" t="s">
        <v>553</v>
      </c>
      <c r="N2706" t="s">
        <v>553</v>
      </c>
      <c r="O2706" t="s">
        <v>553</v>
      </c>
      <c r="P2706" t="s">
        <v>553</v>
      </c>
      <c r="Q2706" t="s">
        <v>1289</v>
      </c>
      <c r="R2706" t="s">
        <v>12443</v>
      </c>
      <c r="S2706" t="s">
        <v>12444</v>
      </c>
      <c r="U2706" t="s">
        <v>12445</v>
      </c>
    </row>
    <row r="2707" spans="1:21" x14ac:dyDescent="0.25">
      <c r="A2707" t="s">
        <v>12446</v>
      </c>
      <c r="B2707" t="s">
        <v>22</v>
      </c>
      <c r="C2707" t="s">
        <v>12447</v>
      </c>
      <c r="D2707">
        <f t="shared" si="75"/>
        <v>-2857</v>
      </c>
      <c r="E2707" t="s">
        <v>12448</v>
      </c>
      <c r="F2707" t="s">
        <v>12373</v>
      </c>
      <c r="G2707" t="s">
        <v>12374</v>
      </c>
      <c r="H2707">
        <v>4.9358409999999999</v>
      </c>
      <c r="I2707">
        <v>52.399323099999997</v>
      </c>
      <c r="J2707">
        <v>100</v>
      </c>
      <c r="K2707" t="s">
        <v>564</v>
      </c>
      <c r="L2707" t="s">
        <v>553</v>
      </c>
      <c r="M2707" t="s">
        <v>553</v>
      </c>
      <c r="N2707" t="s">
        <v>553</v>
      </c>
      <c r="O2707" t="s">
        <v>553</v>
      </c>
      <c r="P2707" t="s">
        <v>553</v>
      </c>
      <c r="Q2707" t="s">
        <v>564</v>
      </c>
      <c r="R2707" t="s">
        <v>12449</v>
      </c>
      <c r="S2707" t="s">
        <v>12450</v>
      </c>
      <c r="U2707" t="s">
        <v>12451</v>
      </c>
    </row>
    <row r="2708" spans="1:21" x14ac:dyDescent="0.25">
      <c r="A2708" t="s">
        <v>12452</v>
      </c>
      <c r="B2708" t="s">
        <v>22</v>
      </c>
      <c r="C2708" t="s">
        <v>12453</v>
      </c>
      <c r="D2708">
        <f t="shared" si="75"/>
        <v>-2857</v>
      </c>
      <c r="E2708" t="s">
        <v>12442</v>
      </c>
      <c r="F2708" t="s">
        <v>12373</v>
      </c>
      <c r="G2708" t="s">
        <v>12374</v>
      </c>
      <c r="H2708">
        <v>5.4767225000000002</v>
      </c>
      <c r="I2708">
        <v>51.441597799999997</v>
      </c>
      <c r="J2708">
        <v>100</v>
      </c>
      <c r="K2708" t="s">
        <v>1289</v>
      </c>
      <c r="L2708" t="s">
        <v>553</v>
      </c>
      <c r="M2708" t="s">
        <v>553</v>
      </c>
      <c r="N2708" t="s">
        <v>553</v>
      </c>
      <c r="O2708" t="s">
        <v>553</v>
      </c>
      <c r="P2708" t="s">
        <v>553</v>
      </c>
      <c r="Q2708" t="s">
        <v>1289</v>
      </c>
      <c r="R2708" t="s">
        <v>12454</v>
      </c>
      <c r="S2708" t="s">
        <v>12455</v>
      </c>
      <c r="U2708" t="s">
        <v>12456</v>
      </c>
    </row>
    <row r="2709" spans="1:21" x14ac:dyDescent="0.25">
      <c r="A2709" t="s">
        <v>12457</v>
      </c>
      <c r="B2709" t="s">
        <v>38</v>
      </c>
      <c r="C2709" t="s">
        <v>12458</v>
      </c>
      <c r="D2709">
        <f t="shared" si="75"/>
        <v>-2857</v>
      </c>
      <c r="E2709" t="s">
        <v>12459</v>
      </c>
      <c r="F2709" t="s">
        <v>12373</v>
      </c>
      <c r="G2709" t="s">
        <v>12374</v>
      </c>
      <c r="H2709">
        <v>4.2929627999999997</v>
      </c>
      <c r="I2709">
        <v>51.491137899999998</v>
      </c>
      <c r="J2709">
        <v>100</v>
      </c>
      <c r="K2709" t="s">
        <v>1289</v>
      </c>
      <c r="L2709" t="s">
        <v>578</v>
      </c>
      <c r="M2709" t="s">
        <v>578</v>
      </c>
      <c r="N2709" t="s">
        <v>578</v>
      </c>
      <c r="O2709" t="s">
        <v>578</v>
      </c>
      <c r="P2709" t="s">
        <v>578</v>
      </c>
      <c r="R2709" t="s">
        <v>12460</v>
      </c>
      <c r="U2709" t="s">
        <v>12461</v>
      </c>
    </row>
    <row r="2710" spans="1:21" x14ac:dyDescent="0.25">
      <c r="A2710" t="s">
        <v>12462</v>
      </c>
      <c r="B2710" t="s">
        <v>22</v>
      </c>
      <c r="C2710" t="s">
        <v>12463</v>
      </c>
      <c r="D2710">
        <f t="shared" si="75"/>
        <v>-2857</v>
      </c>
      <c r="E2710" t="s">
        <v>12464</v>
      </c>
      <c r="F2710" t="s">
        <v>12373</v>
      </c>
      <c r="G2710" t="s">
        <v>12374</v>
      </c>
      <c r="H2710">
        <v>4.3637413</v>
      </c>
      <c r="I2710">
        <v>52.008922499999997</v>
      </c>
      <c r="J2710">
        <v>100</v>
      </c>
      <c r="K2710" t="s">
        <v>1289</v>
      </c>
      <c r="L2710" t="s">
        <v>553</v>
      </c>
      <c r="M2710" t="s">
        <v>553</v>
      </c>
      <c r="N2710" t="s">
        <v>553</v>
      </c>
      <c r="O2710" t="s">
        <v>553</v>
      </c>
      <c r="P2710" t="s">
        <v>553</v>
      </c>
      <c r="Q2710" t="s">
        <v>1289</v>
      </c>
      <c r="R2710" t="s">
        <v>12465</v>
      </c>
      <c r="S2710" t="s">
        <v>12466</v>
      </c>
      <c r="U2710" t="s">
        <v>12467</v>
      </c>
    </row>
    <row r="2711" spans="1:21" x14ac:dyDescent="0.25">
      <c r="A2711" t="s">
        <v>12468</v>
      </c>
      <c r="B2711" t="s">
        <v>22</v>
      </c>
      <c r="C2711" t="s">
        <v>12469</v>
      </c>
      <c r="D2711">
        <f t="shared" si="75"/>
        <v>-2857</v>
      </c>
      <c r="E2711" t="s">
        <v>12470</v>
      </c>
      <c r="F2711" t="s">
        <v>12373</v>
      </c>
      <c r="G2711" t="s">
        <v>12374</v>
      </c>
      <c r="H2711">
        <v>5.8656983</v>
      </c>
      <c r="I2711">
        <v>51.847132999999999</v>
      </c>
      <c r="J2711">
        <v>100</v>
      </c>
      <c r="K2711" t="s">
        <v>578</v>
      </c>
      <c r="L2711" t="s">
        <v>578</v>
      </c>
      <c r="M2711" t="s">
        <v>578</v>
      </c>
      <c r="N2711" t="s">
        <v>578</v>
      </c>
      <c r="O2711" t="s">
        <v>578</v>
      </c>
      <c r="P2711" t="s">
        <v>578</v>
      </c>
      <c r="Q2711" t="s">
        <v>578</v>
      </c>
      <c r="R2711" t="s">
        <v>12471</v>
      </c>
      <c r="U2711" t="s">
        <v>12472</v>
      </c>
    </row>
    <row r="2712" spans="1:21" x14ac:dyDescent="0.25">
      <c r="A2712" t="s">
        <v>12473</v>
      </c>
      <c r="B2712" t="s">
        <v>22</v>
      </c>
      <c r="C2712" t="s">
        <v>12474</v>
      </c>
      <c r="D2712">
        <f t="shared" si="75"/>
        <v>-2857</v>
      </c>
      <c r="E2712" t="s">
        <v>12475</v>
      </c>
      <c r="F2712" t="s">
        <v>12373</v>
      </c>
      <c r="G2712" t="s">
        <v>12374</v>
      </c>
      <c r="H2712">
        <v>5.6927779999999997</v>
      </c>
      <c r="I2712">
        <v>50.851666999999999</v>
      </c>
      <c r="J2712">
        <v>100</v>
      </c>
      <c r="K2712" t="s">
        <v>1289</v>
      </c>
      <c r="L2712" t="s">
        <v>553</v>
      </c>
      <c r="M2712" t="s">
        <v>553</v>
      </c>
      <c r="N2712" t="s">
        <v>553</v>
      </c>
      <c r="O2712" t="s">
        <v>553</v>
      </c>
      <c r="P2712" t="s">
        <v>553</v>
      </c>
      <c r="Q2712" t="s">
        <v>1289</v>
      </c>
      <c r="R2712" t="s">
        <v>12476</v>
      </c>
      <c r="S2712" t="s">
        <v>12477</v>
      </c>
      <c r="U2712" t="s">
        <v>12478</v>
      </c>
    </row>
    <row r="2713" spans="1:21" x14ac:dyDescent="0.25">
      <c r="A2713" t="s">
        <v>12479</v>
      </c>
      <c r="B2713" t="s">
        <v>38</v>
      </c>
      <c r="C2713" t="s">
        <v>12480</v>
      </c>
      <c r="D2713">
        <f t="shared" si="75"/>
        <v>-2857</v>
      </c>
      <c r="E2713" t="s">
        <v>12481</v>
      </c>
      <c r="F2713" t="s">
        <v>12373</v>
      </c>
      <c r="G2713" t="s">
        <v>12374</v>
      </c>
      <c r="H2713">
        <v>6.6641250999999997</v>
      </c>
      <c r="I2713">
        <v>52.3554928</v>
      </c>
      <c r="J2713">
        <v>100</v>
      </c>
      <c r="K2713" t="s">
        <v>1289</v>
      </c>
      <c r="L2713" t="s">
        <v>553</v>
      </c>
      <c r="M2713" t="s">
        <v>553</v>
      </c>
      <c r="N2713" t="s">
        <v>553</v>
      </c>
      <c r="O2713" t="s">
        <v>553</v>
      </c>
      <c r="P2713" t="s">
        <v>553</v>
      </c>
      <c r="R2713" t="s">
        <v>12482</v>
      </c>
      <c r="U2713" t="s">
        <v>12483</v>
      </c>
    </row>
    <row r="2714" spans="1:21" x14ac:dyDescent="0.25">
      <c r="A2714" t="s">
        <v>12484</v>
      </c>
      <c r="B2714" t="s">
        <v>22</v>
      </c>
      <c r="C2714" t="s">
        <v>12485</v>
      </c>
      <c r="D2714">
        <f t="shared" si="75"/>
        <v>-2857</v>
      </c>
      <c r="E2714" t="s">
        <v>12486</v>
      </c>
      <c r="F2714" t="s">
        <v>12373</v>
      </c>
      <c r="G2714" t="s">
        <v>12374</v>
      </c>
      <c r="H2714">
        <v>5.8952910999999997</v>
      </c>
      <c r="I2714">
        <v>51.959086200000002</v>
      </c>
      <c r="J2714">
        <v>100</v>
      </c>
      <c r="K2714" t="s">
        <v>1289</v>
      </c>
      <c r="L2714" t="s">
        <v>553</v>
      </c>
      <c r="M2714" t="s">
        <v>553</v>
      </c>
      <c r="N2714" t="s">
        <v>553</v>
      </c>
      <c r="O2714" t="s">
        <v>553</v>
      </c>
      <c r="P2714" t="s">
        <v>553</v>
      </c>
      <c r="Q2714" t="s">
        <v>1289</v>
      </c>
      <c r="R2714" t="s">
        <v>12487</v>
      </c>
      <c r="S2714" t="s">
        <v>12488</v>
      </c>
      <c r="U2714" t="s">
        <v>12489</v>
      </c>
    </row>
    <row r="2715" spans="1:21" x14ac:dyDescent="0.25">
      <c r="A2715" t="s">
        <v>12490</v>
      </c>
      <c r="B2715" t="s">
        <v>22</v>
      </c>
      <c r="C2715" t="s">
        <v>12491</v>
      </c>
      <c r="D2715">
        <f t="shared" si="75"/>
        <v>-2857</v>
      </c>
      <c r="E2715" t="s">
        <v>12442</v>
      </c>
      <c r="F2715" t="s">
        <v>12373</v>
      </c>
      <c r="G2715" t="s">
        <v>12374</v>
      </c>
      <c r="H2715">
        <v>5.4764078999999999</v>
      </c>
      <c r="I2715">
        <v>51.469270899999998</v>
      </c>
      <c r="J2715">
        <v>100</v>
      </c>
      <c r="K2715" t="s">
        <v>1289</v>
      </c>
      <c r="L2715" t="s">
        <v>553</v>
      </c>
      <c r="M2715" t="s">
        <v>553</v>
      </c>
      <c r="N2715" t="s">
        <v>553</v>
      </c>
      <c r="O2715" t="s">
        <v>553</v>
      </c>
      <c r="P2715" t="s">
        <v>553</v>
      </c>
      <c r="R2715" t="s">
        <v>12492</v>
      </c>
      <c r="S2715" t="s">
        <v>12493</v>
      </c>
      <c r="U2715" t="s">
        <v>12494</v>
      </c>
    </row>
    <row r="2716" spans="1:21" x14ac:dyDescent="0.25">
      <c r="A2716" t="s">
        <v>12495</v>
      </c>
      <c r="B2716" t="s">
        <v>38</v>
      </c>
      <c r="C2716" t="s">
        <v>12496</v>
      </c>
      <c r="D2716">
        <f t="shared" si="75"/>
        <v>-2857</v>
      </c>
      <c r="E2716" t="s">
        <v>12497</v>
      </c>
      <c r="F2716" t="s">
        <v>12373</v>
      </c>
      <c r="G2716" t="s">
        <v>12374</v>
      </c>
      <c r="H2716">
        <v>3.5739592</v>
      </c>
      <c r="I2716">
        <v>51.444539399999996</v>
      </c>
      <c r="J2716">
        <v>100</v>
      </c>
      <c r="K2716" t="s">
        <v>1289</v>
      </c>
      <c r="L2716" t="s">
        <v>578</v>
      </c>
      <c r="M2716" t="s">
        <v>578</v>
      </c>
      <c r="N2716" t="s">
        <v>578</v>
      </c>
      <c r="O2716" t="s">
        <v>578</v>
      </c>
      <c r="P2716" t="s">
        <v>578</v>
      </c>
      <c r="R2716" t="s">
        <v>12498</v>
      </c>
      <c r="U2716" t="s">
        <v>12499</v>
      </c>
    </row>
    <row r="2717" spans="1:21" x14ac:dyDescent="0.25">
      <c r="A2717" t="s">
        <v>12500</v>
      </c>
      <c r="B2717" t="s">
        <v>38</v>
      </c>
      <c r="C2717" t="s">
        <v>12501</v>
      </c>
      <c r="D2717">
        <f t="shared" si="75"/>
        <v>-2857</v>
      </c>
      <c r="E2717" t="s">
        <v>12502</v>
      </c>
      <c r="F2717" t="s">
        <v>12373</v>
      </c>
      <c r="G2717" t="s">
        <v>12374</v>
      </c>
      <c r="H2717">
        <v>4.4551648999999998</v>
      </c>
      <c r="I2717">
        <v>51.531483899999998</v>
      </c>
      <c r="J2717">
        <v>100</v>
      </c>
      <c r="K2717" t="s">
        <v>564</v>
      </c>
      <c r="L2717" t="s">
        <v>578</v>
      </c>
      <c r="M2717" t="s">
        <v>578</v>
      </c>
      <c r="N2717" t="s">
        <v>578</v>
      </c>
      <c r="O2717" t="s">
        <v>578</v>
      </c>
      <c r="P2717" t="s">
        <v>578</v>
      </c>
      <c r="Q2717" t="s">
        <v>1289</v>
      </c>
      <c r="R2717" t="s">
        <v>12503</v>
      </c>
      <c r="U2717" t="s">
        <v>12504</v>
      </c>
    </row>
    <row r="2718" spans="1:21" x14ac:dyDescent="0.25">
      <c r="A2718" t="s">
        <v>12505</v>
      </c>
      <c r="B2718" t="s">
        <v>22</v>
      </c>
      <c r="C2718" t="s">
        <v>12506</v>
      </c>
      <c r="D2718">
        <f t="shared" si="75"/>
        <v>-2857</v>
      </c>
      <c r="E2718" t="s">
        <v>12507</v>
      </c>
      <c r="F2718" t="s">
        <v>12373</v>
      </c>
      <c r="G2718" t="s">
        <v>12374</v>
      </c>
      <c r="H2718">
        <v>4.6327477000000004</v>
      </c>
      <c r="I2718">
        <v>52.378627600000002</v>
      </c>
      <c r="J2718">
        <v>100</v>
      </c>
      <c r="K2718" t="s">
        <v>553</v>
      </c>
      <c r="L2718" t="s">
        <v>553</v>
      </c>
      <c r="M2718" t="s">
        <v>553</v>
      </c>
      <c r="N2718" t="s">
        <v>553</v>
      </c>
      <c r="O2718" t="s">
        <v>553</v>
      </c>
      <c r="P2718" t="s">
        <v>553</v>
      </c>
      <c r="Q2718" t="s">
        <v>1289</v>
      </c>
      <c r="R2718" t="s">
        <v>12508</v>
      </c>
      <c r="U2718" t="s">
        <v>12509</v>
      </c>
    </row>
    <row r="2719" spans="1:21" x14ac:dyDescent="0.25">
      <c r="A2719" t="s">
        <v>12510</v>
      </c>
      <c r="B2719" t="s">
        <v>22</v>
      </c>
      <c r="C2719" t="s">
        <v>12511</v>
      </c>
      <c r="D2719">
        <f t="shared" si="75"/>
        <v>-2857</v>
      </c>
      <c r="E2719" t="s">
        <v>12389</v>
      </c>
      <c r="F2719" t="s">
        <v>12373</v>
      </c>
      <c r="G2719" t="s">
        <v>12374</v>
      </c>
      <c r="H2719">
        <v>4.4776350999999996</v>
      </c>
      <c r="I2719">
        <v>51.919438200000002</v>
      </c>
      <c r="J2719">
        <v>100</v>
      </c>
      <c r="K2719" t="s">
        <v>564</v>
      </c>
      <c r="L2719" t="s">
        <v>553</v>
      </c>
      <c r="M2719" t="s">
        <v>553</v>
      </c>
      <c r="N2719" t="s">
        <v>553</v>
      </c>
      <c r="O2719" t="s">
        <v>553</v>
      </c>
      <c r="P2719" t="s">
        <v>553</v>
      </c>
      <c r="Q2719" t="s">
        <v>1289</v>
      </c>
      <c r="R2719" t="s">
        <v>12512</v>
      </c>
      <c r="U2719" t="s">
        <v>12513</v>
      </c>
    </row>
    <row r="2720" spans="1:21" x14ac:dyDescent="0.25">
      <c r="A2720" t="s">
        <v>12514</v>
      </c>
      <c r="B2720" t="s">
        <v>38</v>
      </c>
      <c r="C2720" t="s">
        <v>12515</v>
      </c>
      <c r="D2720">
        <f t="shared" si="75"/>
        <v>-2857</v>
      </c>
      <c r="E2720" t="s">
        <v>12516</v>
      </c>
      <c r="F2720" t="s">
        <v>12373</v>
      </c>
      <c r="G2720" t="s">
        <v>12374</v>
      </c>
      <c r="H2720">
        <v>5.9237811000000002</v>
      </c>
      <c r="I2720">
        <v>52.959254000000001</v>
      </c>
      <c r="J2720">
        <v>100</v>
      </c>
      <c r="K2720" t="s">
        <v>10216</v>
      </c>
      <c r="L2720" t="s">
        <v>553</v>
      </c>
      <c r="M2720" t="s">
        <v>553</v>
      </c>
      <c r="N2720" t="s">
        <v>553</v>
      </c>
      <c r="O2720" t="s">
        <v>553</v>
      </c>
      <c r="P2720" t="s">
        <v>553</v>
      </c>
      <c r="R2720" t="s">
        <v>12517</v>
      </c>
      <c r="U2720" t="s">
        <v>12518</v>
      </c>
    </row>
    <row r="2721" spans="1:21" x14ac:dyDescent="0.25">
      <c r="A2721" t="s">
        <v>12519</v>
      </c>
      <c r="B2721" t="s">
        <v>38</v>
      </c>
      <c r="C2721" t="s">
        <v>12520</v>
      </c>
      <c r="D2721">
        <f t="shared" si="75"/>
        <v>-2857</v>
      </c>
      <c r="E2721" t="s">
        <v>12521</v>
      </c>
      <c r="F2721" t="s">
        <v>12373</v>
      </c>
      <c r="G2721" t="s">
        <v>12374</v>
      </c>
      <c r="H2721">
        <v>4.4010179999999997</v>
      </c>
      <c r="I2721">
        <v>51.915325799999998</v>
      </c>
      <c r="J2721">
        <v>100</v>
      </c>
      <c r="K2721" t="s">
        <v>1289</v>
      </c>
      <c r="L2721" t="s">
        <v>578</v>
      </c>
      <c r="M2721" t="s">
        <v>578</v>
      </c>
      <c r="N2721" t="s">
        <v>578</v>
      </c>
      <c r="O2721" t="s">
        <v>578</v>
      </c>
      <c r="P2721" t="s">
        <v>578</v>
      </c>
      <c r="R2721" t="s">
        <v>12522</v>
      </c>
      <c r="S2721" t="s">
        <v>12523</v>
      </c>
      <c r="U2721" t="s">
        <v>12524</v>
      </c>
    </row>
    <row r="2722" spans="1:21" x14ac:dyDescent="0.25">
      <c r="A2722" t="s">
        <v>12525</v>
      </c>
      <c r="B2722" t="s">
        <v>22</v>
      </c>
      <c r="C2722" t="s">
        <v>12526</v>
      </c>
      <c r="D2722">
        <f t="shared" si="75"/>
        <v>-2857</v>
      </c>
      <c r="E2722" t="s">
        <v>12527</v>
      </c>
      <c r="F2722" t="s">
        <v>12373</v>
      </c>
      <c r="G2722" t="s">
        <v>12374</v>
      </c>
      <c r="H2722">
        <v>5.0864193000000002</v>
      </c>
      <c r="I2722">
        <v>51.5559485</v>
      </c>
      <c r="J2722">
        <v>100</v>
      </c>
      <c r="K2722" t="s">
        <v>1289</v>
      </c>
      <c r="L2722" t="s">
        <v>553</v>
      </c>
      <c r="M2722" t="s">
        <v>553</v>
      </c>
      <c r="N2722" t="s">
        <v>553</v>
      </c>
      <c r="O2722" t="s">
        <v>553</v>
      </c>
      <c r="P2722" t="s">
        <v>578</v>
      </c>
      <c r="Q2722" t="s">
        <v>1289</v>
      </c>
      <c r="R2722" t="s">
        <v>12528</v>
      </c>
      <c r="U2722" t="s">
        <v>12529</v>
      </c>
    </row>
    <row r="2723" spans="1:21" x14ac:dyDescent="0.25">
      <c r="A2723" t="s">
        <v>12530</v>
      </c>
      <c r="B2723" t="s">
        <v>22</v>
      </c>
      <c r="C2723" t="s">
        <v>12531</v>
      </c>
      <c r="D2723">
        <f t="shared" si="75"/>
        <v>-2857</v>
      </c>
      <c r="E2723" t="s">
        <v>12486</v>
      </c>
      <c r="F2723" t="s">
        <v>12373</v>
      </c>
      <c r="G2723" t="s">
        <v>12374</v>
      </c>
      <c r="H2723">
        <v>5.9066828999999998</v>
      </c>
      <c r="I2723">
        <v>51.981588600000002</v>
      </c>
      <c r="J2723">
        <v>100</v>
      </c>
      <c r="K2723" t="s">
        <v>564</v>
      </c>
      <c r="L2723" t="s">
        <v>578</v>
      </c>
      <c r="M2723" t="s">
        <v>578</v>
      </c>
      <c r="N2723" t="s">
        <v>578</v>
      </c>
      <c r="O2723" t="s">
        <v>578</v>
      </c>
      <c r="P2723" t="s">
        <v>578</v>
      </c>
      <c r="Q2723" t="s">
        <v>1289</v>
      </c>
      <c r="R2723" t="s">
        <v>12532</v>
      </c>
      <c r="U2723" t="s">
        <v>12533</v>
      </c>
    </row>
    <row r="2724" spans="1:21" x14ac:dyDescent="0.25">
      <c r="A2724" t="s">
        <v>12534</v>
      </c>
      <c r="B2724" t="s">
        <v>32</v>
      </c>
      <c r="C2724" t="s">
        <v>12535</v>
      </c>
      <c r="D2724">
        <f t="shared" si="75"/>
        <v>-2857</v>
      </c>
      <c r="E2724" t="s">
        <v>12389</v>
      </c>
      <c r="F2724" t="s">
        <v>12373</v>
      </c>
      <c r="G2724" t="s">
        <v>12374</v>
      </c>
      <c r="H2724">
        <v>4.4809806999999999</v>
      </c>
      <c r="I2724">
        <v>51.919992100000002</v>
      </c>
      <c r="J2724">
        <v>100</v>
      </c>
      <c r="K2724" t="s">
        <v>564</v>
      </c>
      <c r="L2724" t="s">
        <v>553</v>
      </c>
      <c r="M2724" t="s">
        <v>553</v>
      </c>
      <c r="N2724" t="s">
        <v>553</v>
      </c>
      <c r="O2724" t="s">
        <v>553</v>
      </c>
      <c r="P2724" t="s">
        <v>553</v>
      </c>
      <c r="Q2724" t="s">
        <v>564</v>
      </c>
      <c r="R2724" t="s">
        <v>12536</v>
      </c>
      <c r="U2724" t="s">
        <v>12537</v>
      </c>
    </row>
    <row r="2725" spans="1:21" x14ac:dyDescent="0.25">
      <c r="A2725" t="s">
        <v>12538</v>
      </c>
      <c r="B2725" t="s">
        <v>22</v>
      </c>
      <c r="C2725" t="s">
        <v>12539</v>
      </c>
      <c r="D2725">
        <f t="shared" ref="D2725:D2757" si="76">31-900-1988</f>
        <v>-2857</v>
      </c>
      <c r="E2725" t="s">
        <v>12540</v>
      </c>
      <c r="F2725" t="s">
        <v>12373</v>
      </c>
      <c r="G2725" t="s">
        <v>12374</v>
      </c>
      <c r="H2725">
        <v>6.8944795000000001</v>
      </c>
      <c r="I2725">
        <v>52.783898000000001</v>
      </c>
      <c r="J2725">
        <v>100</v>
      </c>
      <c r="K2725" t="s">
        <v>10216</v>
      </c>
      <c r="L2725" t="s">
        <v>553</v>
      </c>
      <c r="M2725" t="s">
        <v>553</v>
      </c>
      <c r="N2725" t="s">
        <v>553</v>
      </c>
      <c r="O2725" t="s">
        <v>553</v>
      </c>
      <c r="P2725" t="s">
        <v>659</v>
      </c>
      <c r="R2725" t="s">
        <v>12541</v>
      </c>
      <c r="U2725" t="s">
        <v>12542</v>
      </c>
    </row>
    <row r="2726" spans="1:21" x14ac:dyDescent="0.25">
      <c r="A2726" t="s">
        <v>12543</v>
      </c>
      <c r="B2726" t="s">
        <v>22</v>
      </c>
      <c r="C2726" t="s">
        <v>12544</v>
      </c>
      <c r="D2726">
        <f t="shared" si="76"/>
        <v>-2857</v>
      </c>
      <c r="E2726" t="s">
        <v>12545</v>
      </c>
      <c r="F2726" t="s">
        <v>12373</v>
      </c>
      <c r="G2726" t="s">
        <v>12374</v>
      </c>
      <c r="H2726">
        <v>5.2192954</v>
      </c>
      <c r="I2726">
        <v>52.369825900000002</v>
      </c>
      <c r="J2726">
        <v>100</v>
      </c>
      <c r="K2726" t="s">
        <v>564</v>
      </c>
      <c r="L2726" t="s">
        <v>553</v>
      </c>
      <c r="M2726" t="s">
        <v>553</v>
      </c>
      <c r="N2726" t="s">
        <v>553</v>
      </c>
      <c r="O2726" t="s">
        <v>553</v>
      </c>
      <c r="P2726" t="s">
        <v>553</v>
      </c>
      <c r="Q2726" t="s">
        <v>564</v>
      </c>
      <c r="R2726" t="s">
        <v>12546</v>
      </c>
      <c r="U2726" t="s">
        <v>12547</v>
      </c>
    </row>
    <row r="2727" spans="1:21" x14ac:dyDescent="0.25">
      <c r="A2727" t="s">
        <v>12548</v>
      </c>
      <c r="B2727" t="s">
        <v>22</v>
      </c>
      <c r="C2727" t="s">
        <v>12549</v>
      </c>
      <c r="D2727">
        <f t="shared" si="76"/>
        <v>-2857</v>
      </c>
      <c r="E2727" t="s">
        <v>12550</v>
      </c>
      <c r="F2727" t="s">
        <v>12373</v>
      </c>
      <c r="G2727" t="s">
        <v>12374</v>
      </c>
      <c r="H2727">
        <v>5.7963810000000002</v>
      </c>
      <c r="I2727">
        <v>53.200711699999999</v>
      </c>
      <c r="J2727">
        <v>100</v>
      </c>
      <c r="K2727" t="s">
        <v>10216</v>
      </c>
      <c r="L2727" t="s">
        <v>553</v>
      </c>
      <c r="M2727" t="s">
        <v>553</v>
      </c>
      <c r="N2727" t="s">
        <v>553</v>
      </c>
      <c r="O2727" t="s">
        <v>553</v>
      </c>
      <c r="P2727" t="s">
        <v>578</v>
      </c>
      <c r="Q2727" t="s">
        <v>1289</v>
      </c>
      <c r="R2727" t="s">
        <v>12551</v>
      </c>
      <c r="U2727" t="s">
        <v>12552</v>
      </c>
    </row>
    <row r="2728" spans="1:21" x14ac:dyDescent="0.25">
      <c r="A2728" t="s">
        <v>12553</v>
      </c>
      <c r="B2728" t="s">
        <v>22</v>
      </c>
      <c r="C2728" t="s">
        <v>12554</v>
      </c>
      <c r="D2728">
        <f t="shared" si="76"/>
        <v>-2857</v>
      </c>
      <c r="E2728" t="s">
        <v>12555</v>
      </c>
      <c r="F2728" t="s">
        <v>12373</v>
      </c>
      <c r="G2728" t="s">
        <v>12374</v>
      </c>
      <c r="H2728">
        <v>4.3414786000000003</v>
      </c>
      <c r="I2728">
        <v>51.909730099999997</v>
      </c>
      <c r="J2728">
        <v>100</v>
      </c>
      <c r="K2728" t="s">
        <v>1289</v>
      </c>
      <c r="L2728" t="s">
        <v>578</v>
      </c>
      <c r="M2728" t="s">
        <v>578</v>
      </c>
      <c r="N2728" t="s">
        <v>578</v>
      </c>
      <c r="O2728" t="s">
        <v>578</v>
      </c>
      <c r="P2728" t="s">
        <v>553</v>
      </c>
      <c r="R2728" t="s">
        <v>12556</v>
      </c>
      <c r="U2728" t="s">
        <v>12557</v>
      </c>
    </row>
    <row r="2729" spans="1:21" x14ac:dyDescent="0.25">
      <c r="A2729" t="s">
        <v>12558</v>
      </c>
      <c r="B2729" t="s">
        <v>38</v>
      </c>
      <c r="C2729" t="s">
        <v>12559</v>
      </c>
      <c r="D2729">
        <f t="shared" si="76"/>
        <v>-2857</v>
      </c>
      <c r="E2729" t="s">
        <v>12560</v>
      </c>
      <c r="F2729" t="s">
        <v>12373</v>
      </c>
      <c r="G2729" t="s">
        <v>12374</v>
      </c>
      <c r="H2729">
        <v>5.6701278000000004</v>
      </c>
      <c r="I2729">
        <v>52.044447699999999</v>
      </c>
      <c r="J2729">
        <v>100</v>
      </c>
      <c r="K2729" t="s">
        <v>564</v>
      </c>
      <c r="L2729" t="s">
        <v>553</v>
      </c>
      <c r="M2729" t="s">
        <v>553</v>
      </c>
      <c r="N2729" t="s">
        <v>553</v>
      </c>
      <c r="O2729" t="s">
        <v>553</v>
      </c>
      <c r="P2729" t="s">
        <v>553</v>
      </c>
      <c r="R2729" t="s">
        <v>12561</v>
      </c>
      <c r="U2729" t="s">
        <v>12562</v>
      </c>
    </row>
    <row r="2730" spans="1:21" x14ac:dyDescent="0.25">
      <c r="A2730" t="s">
        <v>12563</v>
      </c>
      <c r="B2730" t="s">
        <v>38</v>
      </c>
      <c r="C2730" t="s">
        <v>12564</v>
      </c>
      <c r="D2730">
        <f t="shared" si="76"/>
        <v>-2857</v>
      </c>
      <c r="E2730" t="s">
        <v>12565</v>
      </c>
      <c r="F2730" t="s">
        <v>12373</v>
      </c>
      <c r="G2730" t="s">
        <v>12374</v>
      </c>
      <c r="H2730">
        <v>4.8410000000000002</v>
      </c>
      <c r="I2730">
        <v>52.667999999999999</v>
      </c>
      <c r="J2730">
        <v>100</v>
      </c>
      <c r="K2730" t="s">
        <v>1289</v>
      </c>
      <c r="L2730" t="s">
        <v>578</v>
      </c>
      <c r="M2730" t="s">
        <v>578</v>
      </c>
      <c r="N2730" t="s">
        <v>578</v>
      </c>
      <c r="O2730" t="s">
        <v>578</v>
      </c>
      <c r="P2730" t="s">
        <v>578</v>
      </c>
      <c r="Q2730" t="s">
        <v>1289</v>
      </c>
      <c r="R2730" t="s">
        <v>12566</v>
      </c>
      <c r="U2730" t="s">
        <v>12567</v>
      </c>
    </row>
    <row r="2731" spans="1:21" x14ac:dyDescent="0.25">
      <c r="A2731" t="s">
        <v>12568</v>
      </c>
      <c r="B2731" t="s">
        <v>22</v>
      </c>
      <c r="C2731" t="s">
        <v>12569</v>
      </c>
      <c r="D2731">
        <f t="shared" si="76"/>
        <v>-2857</v>
      </c>
      <c r="E2731" t="s">
        <v>12448</v>
      </c>
      <c r="F2731" t="s">
        <v>12373</v>
      </c>
      <c r="G2731" t="s">
        <v>12374</v>
      </c>
      <c r="H2731">
        <v>4.8829469999999997</v>
      </c>
      <c r="I2731">
        <v>52.364302899999998</v>
      </c>
      <c r="J2731">
        <v>100</v>
      </c>
      <c r="K2731" t="s">
        <v>564</v>
      </c>
      <c r="L2731" t="s">
        <v>553</v>
      </c>
      <c r="M2731" t="s">
        <v>553</v>
      </c>
      <c r="N2731" t="s">
        <v>553</v>
      </c>
      <c r="O2731" t="s">
        <v>553</v>
      </c>
      <c r="P2731" t="s">
        <v>553</v>
      </c>
      <c r="Q2731" t="s">
        <v>564</v>
      </c>
      <c r="R2731" t="s">
        <v>12570</v>
      </c>
      <c r="U2731" t="s">
        <v>12571</v>
      </c>
    </row>
    <row r="2732" spans="1:21" x14ac:dyDescent="0.25">
      <c r="A2732" t="s">
        <v>12572</v>
      </c>
      <c r="B2732" t="s">
        <v>22</v>
      </c>
      <c r="C2732" t="s">
        <v>12573</v>
      </c>
      <c r="D2732">
        <f t="shared" si="76"/>
        <v>-2857</v>
      </c>
      <c r="E2732" t="s">
        <v>12574</v>
      </c>
      <c r="F2732" t="s">
        <v>12373</v>
      </c>
      <c r="G2732" t="s">
        <v>12374</v>
      </c>
      <c r="H2732">
        <v>6.1660355999999998</v>
      </c>
      <c r="I2732">
        <v>51.368881199999997</v>
      </c>
      <c r="J2732">
        <v>100</v>
      </c>
      <c r="K2732" t="s">
        <v>1289</v>
      </c>
      <c r="L2732" t="s">
        <v>553</v>
      </c>
      <c r="M2732" t="s">
        <v>553</v>
      </c>
      <c r="N2732" t="s">
        <v>553</v>
      </c>
      <c r="O2732" t="s">
        <v>553</v>
      </c>
      <c r="P2732" t="s">
        <v>553</v>
      </c>
      <c r="Q2732" t="s">
        <v>1289</v>
      </c>
      <c r="R2732" t="s">
        <v>12575</v>
      </c>
      <c r="S2732" t="s">
        <v>12576</v>
      </c>
      <c r="U2732" t="s">
        <v>12577</v>
      </c>
    </row>
    <row r="2733" spans="1:21" x14ac:dyDescent="0.25">
      <c r="A2733" t="s">
        <v>12578</v>
      </c>
      <c r="B2733" t="s">
        <v>38</v>
      </c>
      <c r="C2733" t="s">
        <v>12579</v>
      </c>
      <c r="D2733">
        <f t="shared" si="76"/>
        <v>-2857</v>
      </c>
      <c r="E2733" t="s">
        <v>12580</v>
      </c>
      <c r="F2733" t="s">
        <v>12373</v>
      </c>
      <c r="G2733" t="s">
        <v>12374</v>
      </c>
      <c r="H2733">
        <v>6.0980793000000002</v>
      </c>
      <c r="I2733">
        <v>53.107015599999997</v>
      </c>
      <c r="J2733">
        <v>100</v>
      </c>
      <c r="K2733" t="s">
        <v>10216</v>
      </c>
      <c r="L2733" t="s">
        <v>553</v>
      </c>
      <c r="M2733" t="s">
        <v>553</v>
      </c>
      <c r="N2733" t="s">
        <v>553</v>
      </c>
      <c r="O2733" t="s">
        <v>553</v>
      </c>
      <c r="P2733" t="s">
        <v>553</v>
      </c>
      <c r="R2733" t="s">
        <v>12581</v>
      </c>
      <c r="U2733" t="s">
        <v>12582</v>
      </c>
    </row>
    <row r="2734" spans="1:21" x14ac:dyDescent="0.25">
      <c r="A2734" t="s">
        <v>12583</v>
      </c>
      <c r="B2734" t="s">
        <v>22</v>
      </c>
      <c r="C2734" t="s">
        <v>12506</v>
      </c>
      <c r="D2734">
        <f t="shared" si="76"/>
        <v>-2857</v>
      </c>
      <c r="E2734" t="s">
        <v>12507</v>
      </c>
      <c r="F2734" t="s">
        <v>12373</v>
      </c>
      <c r="G2734" t="s">
        <v>12374</v>
      </c>
      <c r="H2734">
        <v>4.6351673</v>
      </c>
      <c r="I2734">
        <v>52.382303999999998</v>
      </c>
      <c r="J2734">
        <v>100</v>
      </c>
      <c r="K2734" t="s">
        <v>1289</v>
      </c>
      <c r="L2734" t="s">
        <v>553</v>
      </c>
      <c r="M2734" t="s">
        <v>553</v>
      </c>
      <c r="N2734" t="s">
        <v>553</v>
      </c>
      <c r="O2734" t="s">
        <v>553</v>
      </c>
      <c r="P2734" t="s">
        <v>553</v>
      </c>
      <c r="Q2734" t="s">
        <v>1289</v>
      </c>
      <c r="R2734" t="s">
        <v>12584</v>
      </c>
      <c r="U2734" t="s">
        <v>12585</v>
      </c>
    </row>
    <row r="2735" spans="1:21" x14ac:dyDescent="0.25">
      <c r="A2735" t="s">
        <v>12586</v>
      </c>
      <c r="B2735" t="s">
        <v>38</v>
      </c>
      <c r="C2735" t="s">
        <v>12587</v>
      </c>
      <c r="D2735">
        <f t="shared" si="76"/>
        <v>-2857</v>
      </c>
      <c r="E2735" t="s">
        <v>12588</v>
      </c>
      <c r="F2735" t="s">
        <v>12373</v>
      </c>
      <c r="G2735" t="s">
        <v>12374</v>
      </c>
      <c r="H2735">
        <v>6.4777009999999997</v>
      </c>
      <c r="I2735">
        <v>52.721510500000001</v>
      </c>
      <c r="J2735">
        <v>100</v>
      </c>
      <c r="K2735" t="s">
        <v>10216</v>
      </c>
      <c r="L2735" t="s">
        <v>553</v>
      </c>
      <c r="M2735" t="s">
        <v>553</v>
      </c>
      <c r="N2735" t="s">
        <v>553</v>
      </c>
      <c r="O2735" t="s">
        <v>553</v>
      </c>
      <c r="P2735" t="s">
        <v>553</v>
      </c>
      <c r="R2735" t="s">
        <v>12589</v>
      </c>
      <c r="U2735" t="s">
        <v>12590</v>
      </c>
    </row>
    <row r="2736" spans="1:21" x14ac:dyDescent="0.25">
      <c r="A2736" t="s">
        <v>12591</v>
      </c>
      <c r="B2736" t="s">
        <v>38</v>
      </c>
      <c r="C2736" t="s">
        <v>12592</v>
      </c>
      <c r="D2736">
        <f t="shared" si="76"/>
        <v>-2857</v>
      </c>
      <c r="E2736" t="s">
        <v>12593</v>
      </c>
      <c r="F2736" t="s">
        <v>12373</v>
      </c>
      <c r="G2736" t="s">
        <v>12374</v>
      </c>
      <c r="H2736">
        <v>3.8917123999999998</v>
      </c>
      <c r="I2736">
        <v>51.502799400000001</v>
      </c>
      <c r="J2736">
        <v>100</v>
      </c>
      <c r="K2736" t="s">
        <v>1289</v>
      </c>
      <c r="L2736" t="s">
        <v>578</v>
      </c>
      <c r="M2736" t="s">
        <v>578</v>
      </c>
      <c r="N2736" t="s">
        <v>578</v>
      </c>
      <c r="O2736" t="s">
        <v>578</v>
      </c>
      <c r="P2736" t="s">
        <v>578</v>
      </c>
      <c r="R2736" t="s">
        <v>12594</v>
      </c>
      <c r="U2736" t="s">
        <v>12595</v>
      </c>
    </row>
    <row r="2737" spans="1:21" x14ac:dyDescent="0.25">
      <c r="A2737" t="s">
        <v>12596</v>
      </c>
      <c r="B2737" t="s">
        <v>22</v>
      </c>
      <c r="C2737" t="s">
        <v>12597</v>
      </c>
      <c r="D2737">
        <f t="shared" si="76"/>
        <v>-2857</v>
      </c>
      <c r="E2737" t="s">
        <v>12598</v>
      </c>
      <c r="F2737" t="s">
        <v>12373</v>
      </c>
      <c r="G2737" t="s">
        <v>12374</v>
      </c>
      <c r="H2737">
        <v>6.5662950999999996</v>
      </c>
      <c r="I2737">
        <v>53.218848199999996</v>
      </c>
      <c r="J2737">
        <v>100</v>
      </c>
      <c r="K2737" t="s">
        <v>1289</v>
      </c>
      <c r="L2737" t="s">
        <v>553</v>
      </c>
      <c r="M2737" t="s">
        <v>553</v>
      </c>
      <c r="N2737" t="s">
        <v>553</v>
      </c>
      <c r="O2737" t="s">
        <v>553</v>
      </c>
      <c r="P2737" t="s">
        <v>553</v>
      </c>
      <c r="Q2737" t="s">
        <v>1289</v>
      </c>
      <c r="R2737" t="s">
        <v>12599</v>
      </c>
      <c r="U2737" t="s">
        <v>12600</v>
      </c>
    </row>
    <row r="2738" spans="1:21" x14ac:dyDescent="0.25">
      <c r="A2738" t="s">
        <v>12601</v>
      </c>
      <c r="B2738" t="s">
        <v>38</v>
      </c>
      <c r="C2738" t="s">
        <v>12602</v>
      </c>
      <c r="D2738">
        <f t="shared" si="76"/>
        <v>-2857</v>
      </c>
      <c r="E2738" t="s">
        <v>12603</v>
      </c>
      <c r="F2738" t="s">
        <v>12373</v>
      </c>
      <c r="G2738" t="s">
        <v>12374</v>
      </c>
      <c r="H2738">
        <v>4.2052263999999999</v>
      </c>
      <c r="I2738">
        <v>51.992468000000002</v>
      </c>
      <c r="J2738">
        <v>100</v>
      </c>
      <c r="K2738" t="s">
        <v>1289</v>
      </c>
      <c r="L2738" t="s">
        <v>578</v>
      </c>
      <c r="M2738" t="s">
        <v>578</v>
      </c>
      <c r="N2738" t="s">
        <v>578</v>
      </c>
      <c r="O2738" t="s">
        <v>578</v>
      </c>
      <c r="P2738" t="s">
        <v>578</v>
      </c>
      <c r="R2738" t="s">
        <v>12604</v>
      </c>
      <c r="U2738" t="s">
        <v>12605</v>
      </c>
    </row>
    <row r="2739" spans="1:21" x14ac:dyDescent="0.25">
      <c r="A2739" t="s">
        <v>12606</v>
      </c>
      <c r="B2739" t="s">
        <v>38</v>
      </c>
      <c r="C2739" t="s">
        <v>12607</v>
      </c>
      <c r="D2739">
        <f t="shared" si="76"/>
        <v>-2857</v>
      </c>
      <c r="E2739" t="s">
        <v>12608</v>
      </c>
      <c r="F2739" t="s">
        <v>12373</v>
      </c>
      <c r="G2739" t="s">
        <v>12374</v>
      </c>
      <c r="H2739">
        <v>5.9741914999999999</v>
      </c>
      <c r="I2739">
        <v>51.529032000000001</v>
      </c>
      <c r="J2739">
        <v>100</v>
      </c>
      <c r="K2739" t="s">
        <v>1289</v>
      </c>
      <c r="L2739" t="s">
        <v>553</v>
      </c>
      <c r="M2739" t="s">
        <v>553</v>
      </c>
      <c r="N2739" t="s">
        <v>553</v>
      </c>
      <c r="O2739" t="s">
        <v>553</v>
      </c>
      <c r="P2739" t="s">
        <v>553</v>
      </c>
      <c r="R2739" t="s">
        <v>12609</v>
      </c>
      <c r="U2739" t="s">
        <v>12610</v>
      </c>
    </row>
    <row r="2740" spans="1:21" x14ac:dyDescent="0.25">
      <c r="A2740" t="s">
        <v>12611</v>
      </c>
      <c r="B2740" t="s">
        <v>38</v>
      </c>
      <c r="C2740" t="s">
        <v>12612</v>
      </c>
      <c r="D2740">
        <f t="shared" si="76"/>
        <v>-2857</v>
      </c>
      <c r="E2740" t="s">
        <v>12613</v>
      </c>
      <c r="F2740" t="s">
        <v>12373</v>
      </c>
      <c r="G2740" t="s">
        <v>12374</v>
      </c>
      <c r="H2740">
        <v>4.3543931000000002</v>
      </c>
      <c r="I2740">
        <v>51.866326399999998</v>
      </c>
      <c r="J2740">
        <v>100</v>
      </c>
      <c r="K2740" t="s">
        <v>1289</v>
      </c>
      <c r="L2740" t="s">
        <v>553</v>
      </c>
      <c r="M2740" t="s">
        <v>553</v>
      </c>
      <c r="N2740" t="s">
        <v>553</v>
      </c>
      <c r="O2740" t="s">
        <v>553</v>
      </c>
      <c r="P2740" t="s">
        <v>553</v>
      </c>
      <c r="R2740" t="s">
        <v>12614</v>
      </c>
      <c r="U2740" t="s">
        <v>12615</v>
      </c>
    </row>
    <row r="2741" spans="1:21" x14ac:dyDescent="0.25">
      <c r="A2741" t="s">
        <v>12616</v>
      </c>
      <c r="B2741" t="s">
        <v>22</v>
      </c>
      <c r="C2741" t="s">
        <v>12617</v>
      </c>
      <c r="D2741">
        <f t="shared" si="76"/>
        <v>-2857</v>
      </c>
      <c r="E2741" t="s">
        <v>12618</v>
      </c>
      <c r="F2741" t="s">
        <v>12373</v>
      </c>
      <c r="G2741" t="s">
        <v>12374</v>
      </c>
      <c r="H2741">
        <v>6.0976733000000003</v>
      </c>
      <c r="I2741">
        <v>52.513081499999998</v>
      </c>
      <c r="J2741">
        <v>100</v>
      </c>
      <c r="K2741" t="s">
        <v>10216</v>
      </c>
      <c r="L2741" t="s">
        <v>553</v>
      </c>
      <c r="M2741" t="s">
        <v>553</v>
      </c>
      <c r="N2741" t="s">
        <v>553</v>
      </c>
      <c r="O2741" t="s">
        <v>553</v>
      </c>
      <c r="P2741" t="s">
        <v>578</v>
      </c>
      <c r="Q2741" t="s">
        <v>1289</v>
      </c>
      <c r="R2741" t="s">
        <v>12619</v>
      </c>
      <c r="U2741" t="s">
        <v>12620</v>
      </c>
    </row>
    <row r="2742" spans="1:21" x14ac:dyDescent="0.25">
      <c r="A2742" t="s">
        <v>12621</v>
      </c>
      <c r="B2742" t="s">
        <v>22</v>
      </c>
      <c r="C2742" t="s">
        <v>12622</v>
      </c>
      <c r="D2742">
        <f t="shared" si="76"/>
        <v>-2857</v>
      </c>
      <c r="E2742" t="s">
        <v>12448</v>
      </c>
      <c r="F2742" t="s">
        <v>12373</v>
      </c>
      <c r="G2742" t="s">
        <v>12374</v>
      </c>
      <c r="H2742">
        <v>4.9524841999999998</v>
      </c>
      <c r="I2742">
        <v>52.3139726</v>
      </c>
      <c r="J2742">
        <v>100</v>
      </c>
      <c r="K2742" t="s">
        <v>564</v>
      </c>
      <c r="L2742" t="s">
        <v>553</v>
      </c>
      <c r="M2742" t="s">
        <v>553</v>
      </c>
      <c r="N2742" t="s">
        <v>553</v>
      </c>
      <c r="O2742" t="s">
        <v>553</v>
      </c>
      <c r="P2742" t="s">
        <v>553</v>
      </c>
      <c r="R2742" t="s">
        <v>12623</v>
      </c>
      <c r="S2742" t="s">
        <v>12624</v>
      </c>
      <c r="U2742" t="s">
        <v>12625</v>
      </c>
    </row>
    <row r="2743" spans="1:21" x14ac:dyDescent="0.25">
      <c r="A2743" t="s">
        <v>12626</v>
      </c>
      <c r="B2743" t="s">
        <v>22</v>
      </c>
      <c r="C2743" t="s">
        <v>12627</v>
      </c>
      <c r="D2743">
        <f t="shared" si="76"/>
        <v>-2857</v>
      </c>
      <c r="E2743" t="s">
        <v>12628</v>
      </c>
      <c r="F2743" t="s">
        <v>12373</v>
      </c>
      <c r="G2743" t="s">
        <v>12374</v>
      </c>
      <c r="H2743">
        <v>4.6872859</v>
      </c>
      <c r="I2743">
        <v>52.308712700000001</v>
      </c>
      <c r="J2743">
        <v>100</v>
      </c>
      <c r="K2743" t="s">
        <v>1289</v>
      </c>
      <c r="L2743" t="s">
        <v>553</v>
      </c>
      <c r="M2743" t="s">
        <v>553</v>
      </c>
      <c r="N2743" t="s">
        <v>553</v>
      </c>
      <c r="O2743" t="s">
        <v>553</v>
      </c>
      <c r="P2743" t="s">
        <v>553</v>
      </c>
      <c r="Q2743" t="s">
        <v>1289</v>
      </c>
      <c r="R2743" t="s">
        <v>12629</v>
      </c>
      <c r="U2743" t="s">
        <v>12630</v>
      </c>
    </row>
    <row r="2744" spans="1:21" x14ac:dyDescent="0.25">
      <c r="A2744" t="s">
        <v>12631</v>
      </c>
      <c r="B2744" t="s">
        <v>22</v>
      </c>
      <c r="C2744" t="s">
        <v>12632</v>
      </c>
      <c r="D2744">
        <f t="shared" si="76"/>
        <v>-2857</v>
      </c>
      <c r="E2744" t="s">
        <v>12633</v>
      </c>
      <c r="F2744" t="s">
        <v>12373</v>
      </c>
      <c r="G2744" t="s">
        <v>12374</v>
      </c>
      <c r="H2744">
        <v>4.7098088264465297</v>
      </c>
      <c r="I2744">
        <v>52.013511460377103</v>
      </c>
      <c r="J2744">
        <v>100</v>
      </c>
      <c r="K2744" t="s">
        <v>1289</v>
      </c>
      <c r="L2744" t="s">
        <v>553</v>
      </c>
      <c r="M2744" t="s">
        <v>553</v>
      </c>
      <c r="N2744" t="s">
        <v>553</v>
      </c>
      <c r="O2744" t="s">
        <v>553</v>
      </c>
      <c r="P2744" t="s">
        <v>553</v>
      </c>
      <c r="R2744" t="s">
        <v>12634</v>
      </c>
      <c r="U2744" t="s">
        <v>12635</v>
      </c>
    </row>
    <row r="2745" spans="1:21" x14ac:dyDescent="0.25">
      <c r="A2745" t="s">
        <v>12636</v>
      </c>
      <c r="B2745" t="s">
        <v>22</v>
      </c>
      <c r="C2745" t="s">
        <v>12637</v>
      </c>
      <c r="D2745">
        <f t="shared" si="76"/>
        <v>-2857</v>
      </c>
      <c r="E2745" t="s">
        <v>12638</v>
      </c>
      <c r="F2745" t="s">
        <v>12373</v>
      </c>
      <c r="G2745" t="s">
        <v>12374</v>
      </c>
      <c r="H2745">
        <v>5.2426242828369096</v>
      </c>
      <c r="I2745">
        <v>52.085743106917597</v>
      </c>
      <c r="J2745">
        <v>100</v>
      </c>
      <c r="K2745" t="s">
        <v>1289</v>
      </c>
      <c r="L2745" t="s">
        <v>553</v>
      </c>
      <c r="M2745" t="s">
        <v>553</v>
      </c>
      <c r="N2745" t="s">
        <v>553</v>
      </c>
      <c r="O2745" t="s">
        <v>553</v>
      </c>
      <c r="P2745" t="s">
        <v>578</v>
      </c>
      <c r="R2745" t="s">
        <v>12639</v>
      </c>
      <c r="U2745" t="s">
        <v>12640</v>
      </c>
    </row>
    <row r="2746" spans="1:21" x14ac:dyDescent="0.25">
      <c r="A2746" t="s">
        <v>12641</v>
      </c>
      <c r="B2746" t="s">
        <v>38</v>
      </c>
      <c r="C2746" t="s">
        <v>12642</v>
      </c>
      <c r="D2746">
        <f t="shared" si="76"/>
        <v>-2857</v>
      </c>
      <c r="E2746" t="s">
        <v>12448</v>
      </c>
      <c r="F2746" t="s">
        <v>12373</v>
      </c>
      <c r="G2746" t="s">
        <v>12374</v>
      </c>
      <c r="H2746">
        <v>4.9305103000000399</v>
      </c>
      <c r="I2746">
        <v>52.357239</v>
      </c>
      <c r="J2746">
        <v>100</v>
      </c>
      <c r="K2746" t="s">
        <v>564</v>
      </c>
      <c r="L2746" t="s">
        <v>553</v>
      </c>
      <c r="M2746" t="s">
        <v>553</v>
      </c>
      <c r="N2746" t="s">
        <v>553</v>
      </c>
      <c r="O2746" t="s">
        <v>553</v>
      </c>
      <c r="P2746" t="s">
        <v>553</v>
      </c>
      <c r="Q2746" t="s">
        <v>564</v>
      </c>
      <c r="R2746" t="s">
        <v>12643</v>
      </c>
      <c r="S2746" t="s">
        <v>12644</v>
      </c>
      <c r="U2746" t="s">
        <v>12645</v>
      </c>
    </row>
    <row r="2747" spans="1:21" x14ac:dyDescent="0.25">
      <c r="A2747" t="s">
        <v>12646</v>
      </c>
      <c r="B2747" t="s">
        <v>22</v>
      </c>
      <c r="C2747" t="s">
        <v>12647</v>
      </c>
      <c r="D2747">
        <f t="shared" si="76"/>
        <v>-2857</v>
      </c>
      <c r="E2747" t="s">
        <v>12448</v>
      </c>
      <c r="F2747" t="s">
        <v>12373</v>
      </c>
      <c r="G2747" t="s">
        <v>12374</v>
      </c>
      <c r="H2747">
        <v>4.8922222</v>
      </c>
      <c r="I2747">
        <v>52.373055600000001</v>
      </c>
      <c r="J2747">
        <v>100</v>
      </c>
      <c r="K2747" t="s">
        <v>564</v>
      </c>
      <c r="L2747" t="s">
        <v>553</v>
      </c>
      <c r="M2747" t="s">
        <v>553</v>
      </c>
      <c r="N2747" t="s">
        <v>553</v>
      </c>
      <c r="O2747" t="s">
        <v>553</v>
      </c>
      <c r="P2747" t="s">
        <v>553</v>
      </c>
      <c r="Q2747" t="s">
        <v>564</v>
      </c>
      <c r="R2747" t="s">
        <v>12648</v>
      </c>
      <c r="U2747" t="s">
        <v>12649</v>
      </c>
    </row>
    <row r="2748" spans="1:21" x14ac:dyDescent="0.25">
      <c r="A2748" t="s">
        <v>12650</v>
      </c>
      <c r="B2748" t="s">
        <v>38</v>
      </c>
      <c r="C2748" t="s">
        <v>12651</v>
      </c>
      <c r="D2748">
        <f t="shared" si="76"/>
        <v>-2857</v>
      </c>
      <c r="E2748" t="s">
        <v>12652</v>
      </c>
      <c r="F2748" t="s">
        <v>12373</v>
      </c>
      <c r="G2748" t="s">
        <v>12374</v>
      </c>
      <c r="H2748">
        <v>4.5903584999999998</v>
      </c>
      <c r="I2748">
        <v>51.929630799999998</v>
      </c>
      <c r="J2748">
        <v>100</v>
      </c>
      <c r="K2748" t="s">
        <v>1289</v>
      </c>
      <c r="L2748" t="s">
        <v>578</v>
      </c>
      <c r="M2748" t="s">
        <v>578</v>
      </c>
      <c r="N2748" t="s">
        <v>578</v>
      </c>
      <c r="O2748" t="s">
        <v>578</v>
      </c>
      <c r="P2748" t="s">
        <v>578</v>
      </c>
      <c r="Q2748" t="s">
        <v>1289</v>
      </c>
      <c r="R2748" t="s">
        <v>12653</v>
      </c>
      <c r="U2748" t="s">
        <v>12654</v>
      </c>
    </row>
    <row r="2749" spans="1:21" x14ac:dyDescent="0.25">
      <c r="A2749" t="s">
        <v>12655</v>
      </c>
      <c r="B2749" t="s">
        <v>38</v>
      </c>
      <c r="C2749" t="s">
        <v>12656</v>
      </c>
      <c r="D2749">
        <f t="shared" si="76"/>
        <v>-2857</v>
      </c>
      <c r="E2749" t="s">
        <v>12657</v>
      </c>
      <c r="F2749" t="s">
        <v>12373</v>
      </c>
      <c r="G2749" t="s">
        <v>12374</v>
      </c>
      <c r="H2749">
        <v>4.6372416999999997</v>
      </c>
      <c r="I2749">
        <v>51.567851099999999</v>
      </c>
      <c r="J2749">
        <v>100</v>
      </c>
      <c r="K2749" t="s">
        <v>1289</v>
      </c>
      <c r="L2749" t="s">
        <v>578</v>
      </c>
      <c r="M2749" t="s">
        <v>578</v>
      </c>
      <c r="N2749" t="s">
        <v>578</v>
      </c>
      <c r="O2749" t="s">
        <v>578</v>
      </c>
      <c r="P2749" t="s">
        <v>578</v>
      </c>
      <c r="R2749" t="s">
        <v>12658</v>
      </c>
      <c r="U2749" t="s">
        <v>12659</v>
      </c>
    </row>
    <row r="2750" spans="1:21" x14ac:dyDescent="0.25">
      <c r="A2750" t="s">
        <v>12660</v>
      </c>
      <c r="B2750" t="s">
        <v>22</v>
      </c>
      <c r="C2750" t="s">
        <v>12661</v>
      </c>
      <c r="D2750">
        <f t="shared" si="76"/>
        <v>-2857</v>
      </c>
      <c r="E2750" t="s">
        <v>12470</v>
      </c>
      <c r="F2750" t="s">
        <v>12373</v>
      </c>
      <c r="G2750" t="s">
        <v>12374</v>
      </c>
      <c r="H2750">
        <v>5.8644736000000002</v>
      </c>
      <c r="I2750">
        <v>51.846725999999997</v>
      </c>
      <c r="J2750">
        <v>100</v>
      </c>
      <c r="K2750" t="s">
        <v>564</v>
      </c>
      <c r="L2750" t="s">
        <v>578</v>
      </c>
      <c r="M2750" t="s">
        <v>578</v>
      </c>
      <c r="N2750" t="s">
        <v>578</v>
      </c>
      <c r="O2750" t="s">
        <v>578</v>
      </c>
      <c r="P2750" t="s">
        <v>578</v>
      </c>
      <c r="Q2750" t="s">
        <v>578</v>
      </c>
      <c r="R2750" t="s">
        <v>12662</v>
      </c>
      <c r="U2750" t="s">
        <v>12663</v>
      </c>
    </row>
    <row r="2751" spans="1:21" x14ac:dyDescent="0.25">
      <c r="A2751" t="s">
        <v>12664</v>
      </c>
      <c r="B2751" t="s">
        <v>38</v>
      </c>
      <c r="C2751" t="s">
        <v>12665</v>
      </c>
      <c r="D2751">
        <f t="shared" si="76"/>
        <v>-2857</v>
      </c>
      <c r="E2751" t="s">
        <v>12666</v>
      </c>
      <c r="F2751" t="s">
        <v>12373</v>
      </c>
      <c r="G2751" t="s">
        <v>12374</v>
      </c>
      <c r="H2751">
        <v>5.4375197000000002</v>
      </c>
      <c r="I2751">
        <v>51.888106499999999</v>
      </c>
      <c r="J2751">
        <v>100</v>
      </c>
      <c r="K2751" t="s">
        <v>1289</v>
      </c>
      <c r="L2751" t="s">
        <v>553</v>
      </c>
      <c r="M2751" t="s">
        <v>553</v>
      </c>
      <c r="N2751" t="s">
        <v>553</v>
      </c>
      <c r="O2751" t="s">
        <v>553</v>
      </c>
      <c r="P2751" t="s">
        <v>553</v>
      </c>
      <c r="R2751" t="s">
        <v>12667</v>
      </c>
      <c r="U2751" t="s">
        <v>12668</v>
      </c>
    </row>
    <row r="2752" spans="1:21" x14ac:dyDescent="0.25">
      <c r="A2752" t="s">
        <v>12669</v>
      </c>
      <c r="B2752" t="s">
        <v>22</v>
      </c>
      <c r="C2752" t="s">
        <v>12670</v>
      </c>
      <c r="D2752">
        <f t="shared" si="76"/>
        <v>-2857</v>
      </c>
      <c r="E2752" t="s">
        <v>12389</v>
      </c>
      <c r="F2752" t="s">
        <v>12373</v>
      </c>
      <c r="G2752" t="s">
        <v>12374</v>
      </c>
      <c r="H2752">
        <v>4.4909499000000004</v>
      </c>
      <c r="I2752">
        <v>51.886604900000002</v>
      </c>
      <c r="J2752">
        <v>100</v>
      </c>
      <c r="K2752" t="s">
        <v>564</v>
      </c>
      <c r="L2752" t="s">
        <v>578</v>
      </c>
      <c r="M2752" t="s">
        <v>578</v>
      </c>
      <c r="N2752" t="s">
        <v>578</v>
      </c>
      <c r="O2752" t="s">
        <v>578</v>
      </c>
      <c r="P2752" t="s">
        <v>578</v>
      </c>
      <c r="Q2752" t="s">
        <v>1289</v>
      </c>
      <c r="R2752" t="s">
        <v>12671</v>
      </c>
      <c r="S2752" t="s">
        <v>12391</v>
      </c>
      <c r="U2752" t="s">
        <v>12672</v>
      </c>
    </row>
    <row r="2753" spans="1:21" x14ac:dyDescent="0.25">
      <c r="A2753" t="s">
        <v>12673</v>
      </c>
      <c r="B2753" t="s">
        <v>38</v>
      </c>
      <c r="C2753" t="s">
        <v>12674</v>
      </c>
      <c r="D2753">
        <f t="shared" si="76"/>
        <v>-2857</v>
      </c>
      <c r="E2753" t="s">
        <v>12675</v>
      </c>
      <c r="F2753" t="s">
        <v>12373</v>
      </c>
      <c r="G2753" t="s">
        <v>12374</v>
      </c>
      <c r="H2753">
        <v>6.7207382999999998</v>
      </c>
      <c r="I2753">
        <v>51.970876500000003</v>
      </c>
      <c r="J2753">
        <v>100</v>
      </c>
      <c r="K2753" t="s">
        <v>1289</v>
      </c>
      <c r="L2753" t="s">
        <v>578</v>
      </c>
      <c r="M2753" t="s">
        <v>578</v>
      </c>
      <c r="N2753" t="s">
        <v>578</v>
      </c>
      <c r="O2753" t="s">
        <v>578</v>
      </c>
      <c r="P2753" t="s">
        <v>578</v>
      </c>
      <c r="R2753" t="s">
        <v>12676</v>
      </c>
      <c r="U2753" t="s">
        <v>12677</v>
      </c>
    </row>
    <row r="2754" spans="1:21" x14ac:dyDescent="0.25">
      <c r="A2754" t="s">
        <v>12678</v>
      </c>
      <c r="B2754" t="s">
        <v>22</v>
      </c>
      <c r="C2754" t="s">
        <v>12679</v>
      </c>
      <c r="D2754">
        <f t="shared" si="76"/>
        <v>-2857</v>
      </c>
      <c r="E2754" t="s">
        <v>12680</v>
      </c>
      <c r="F2754" t="s">
        <v>12373</v>
      </c>
      <c r="G2754" t="s">
        <v>12374</v>
      </c>
      <c r="H2754">
        <v>4.4940249999999997</v>
      </c>
      <c r="I2754">
        <v>52.060668999999997</v>
      </c>
      <c r="J2754">
        <v>100</v>
      </c>
      <c r="K2754" t="s">
        <v>1289</v>
      </c>
      <c r="L2754" t="s">
        <v>553</v>
      </c>
      <c r="M2754" t="s">
        <v>553</v>
      </c>
      <c r="N2754" t="s">
        <v>553</v>
      </c>
      <c r="O2754" t="s">
        <v>553</v>
      </c>
      <c r="P2754" t="s">
        <v>553</v>
      </c>
      <c r="Q2754" t="s">
        <v>1289</v>
      </c>
      <c r="R2754" t="s">
        <v>12681</v>
      </c>
      <c r="U2754" t="s">
        <v>12682</v>
      </c>
    </row>
    <row r="2755" spans="1:21" x14ac:dyDescent="0.25">
      <c r="A2755" t="s">
        <v>12683</v>
      </c>
      <c r="B2755" t="s">
        <v>38</v>
      </c>
      <c r="C2755" t="s">
        <v>12684</v>
      </c>
      <c r="D2755">
        <f t="shared" si="76"/>
        <v>-2857</v>
      </c>
      <c r="E2755" t="s">
        <v>12685</v>
      </c>
      <c r="F2755" t="s">
        <v>12373</v>
      </c>
      <c r="G2755" t="s">
        <v>12374</v>
      </c>
      <c r="H2755">
        <v>6.1984696984291103</v>
      </c>
      <c r="I2755">
        <v>52.1408303973896</v>
      </c>
      <c r="J2755">
        <v>100</v>
      </c>
      <c r="K2755" t="s">
        <v>10216</v>
      </c>
      <c r="L2755" t="s">
        <v>553</v>
      </c>
      <c r="M2755" t="s">
        <v>553</v>
      </c>
      <c r="N2755" t="s">
        <v>553</v>
      </c>
      <c r="O2755" t="s">
        <v>553</v>
      </c>
      <c r="P2755" t="s">
        <v>578</v>
      </c>
      <c r="R2755" t="s">
        <v>12686</v>
      </c>
      <c r="U2755" t="s">
        <v>12687</v>
      </c>
    </row>
    <row r="2756" spans="1:21" x14ac:dyDescent="0.25">
      <c r="A2756" t="s">
        <v>12688</v>
      </c>
      <c r="B2756" t="s">
        <v>22</v>
      </c>
      <c r="C2756" t="s">
        <v>12689</v>
      </c>
      <c r="D2756">
        <f t="shared" si="76"/>
        <v>-2857</v>
      </c>
      <c r="E2756" t="s">
        <v>12690</v>
      </c>
      <c r="F2756" t="s">
        <v>12373</v>
      </c>
      <c r="G2756" t="s">
        <v>12374</v>
      </c>
      <c r="H2756">
        <v>6.5598330000000002</v>
      </c>
      <c r="I2756">
        <v>52.997674000000004</v>
      </c>
      <c r="J2756">
        <v>100</v>
      </c>
      <c r="K2756" t="s">
        <v>1289</v>
      </c>
      <c r="L2756" t="s">
        <v>553</v>
      </c>
      <c r="M2756" t="s">
        <v>553</v>
      </c>
      <c r="N2756" t="s">
        <v>553</v>
      </c>
      <c r="O2756" t="s">
        <v>553</v>
      </c>
      <c r="P2756" t="s">
        <v>553</v>
      </c>
      <c r="R2756" t="s">
        <v>12691</v>
      </c>
      <c r="U2756" t="s">
        <v>12692</v>
      </c>
    </row>
    <row r="2757" spans="1:21" x14ac:dyDescent="0.25">
      <c r="A2757" t="s">
        <v>12693</v>
      </c>
      <c r="B2757" t="s">
        <v>22</v>
      </c>
      <c r="C2757" t="s">
        <v>12694</v>
      </c>
      <c r="D2757">
        <f t="shared" si="76"/>
        <v>-2857</v>
      </c>
      <c r="E2757" t="s">
        <v>12695</v>
      </c>
      <c r="F2757" t="s">
        <v>12373</v>
      </c>
      <c r="G2757" t="s">
        <v>12374</v>
      </c>
      <c r="H2757">
        <v>5.6553516999999998</v>
      </c>
      <c r="I2757">
        <v>51.479066400000001</v>
      </c>
      <c r="J2757">
        <v>100</v>
      </c>
      <c r="K2757" t="s">
        <v>10216</v>
      </c>
      <c r="L2757" t="s">
        <v>553</v>
      </c>
      <c r="M2757" t="s">
        <v>553</v>
      </c>
      <c r="N2757" t="s">
        <v>553</v>
      </c>
      <c r="O2757" t="s">
        <v>553</v>
      </c>
      <c r="P2757" t="s">
        <v>553</v>
      </c>
      <c r="R2757" t="s">
        <v>12696</v>
      </c>
      <c r="U2757" t="s">
        <v>12697</v>
      </c>
    </row>
    <row r="2758" spans="1:21" x14ac:dyDescent="0.25">
      <c r="A2758" t="s">
        <v>12698</v>
      </c>
      <c r="B2758" t="s">
        <v>22</v>
      </c>
      <c r="C2758" t="s">
        <v>12699</v>
      </c>
      <c r="D2758">
        <f>31-9001988</f>
        <v>-9001957</v>
      </c>
      <c r="E2758" t="s">
        <v>12700</v>
      </c>
      <c r="F2758" t="s">
        <v>12373</v>
      </c>
      <c r="G2758" t="s">
        <v>12374</v>
      </c>
      <c r="H2758">
        <v>5.0655703000000001</v>
      </c>
      <c r="I2758">
        <v>51.6891854</v>
      </c>
      <c r="J2758">
        <v>100</v>
      </c>
      <c r="K2758" t="s">
        <v>1289</v>
      </c>
      <c r="L2758" t="s">
        <v>578</v>
      </c>
      <c r="M2758" t="s">
        <v>578</v>
      </c>
      <c r="N2758" t="s">
        <v>578</v>
      </c>
      <c r="O2758" t="s">
        <v>578</v>
      </c>
      <c r="P2758" t="s">
        <v>578</v>
      </c>
      <c r="R2758" t="s">
        <v>12701</v>
      </c>
      <c r="U2758" t="s">
        <v>12702</v>
      </c>
    </row>
    <row r="2759" spans="1:21" x14ac:dyDescent="0.25">
      <c r="A2759" t="s">
        <v>12703</v>
      </c>
      <c r="B2759" t="s">
        <v>38</v>
      </c>
      <c r="C2759" t="s">
        <v>12704</v>
      </c>
      <c r="D2759">
        <f t="shared" ref="D2759:D2779" si="77">31-900-1988</f>
        <v>-2857</v>
      </c>
      <c r="E2759" t="s">
        <v>12705</v>
      </c>
      <c r="F2759" t="s">
        <v>12373</v>
      </c>
      <c r="G2759" t="s">
        <v>12374</v>
      </c>
      <c r="H2759">
        <v>6.1906734000000396</v>
      </c>
      <c r="I2759">
        <v>52.696225800000001</v>
      </c>
      <c r="J2759">
        <v>100</v>
      </c>
      <c r="K2759" t="s">
        <v>10216</v>
      </c>
      <c r="L2759" t="s">
        <v>553</v>
      </c>
      <c r="M2759" t="s">
        <v>553</v>
      </c>
      <c r="N2759" t="s">
        <v>553</v>
      </c>
      <c r="O2759" t="s">
        <v>553</v>
      </c>
      <c r="P2759" t="s">
        <v>553</v>
      </c>
      <c r="Q2759" t="s">
        <v>1289</v>
      </c>
      <c r="R2759" t="s">
        <v>12706</v>
      </c>
      <c r="U2759" t="s">
        <v>12707</v>
      </c>
    </row>
    <row r="2760" spans="1:21" x14ac:dyDescent="0.25">
      <c r="A2760" t="s">
        <v>12708</v>
      </c>
      <c r="B2760" t="s">
        <v>38</v>
      </c>
      <c r="C2760" t="s">
        <v>12709</v>
      </c>
      <c r="D2760">
        <f t="shared" si="77"/>
        <v>-2857</v>
      </c>
      <c r="E2760" t="s">
        <v>12710</v>
      </c>
      <c r="F2760" t="s">
        <v>12373</v>
      </c>
      <c r="G2760" t="s">
        <v>12374</v>
      </c>
      <c r="H2760">
        <v>5.6129026999999496</v>
      </c>
      <c r="I2760">
        <v>51.658588399999999</v>
      </c>
      <c r="J2760">
        <v>100</v>
      </c>
      <c r="K2760" t="s">
        <v>578</v>
      </c>
      <c r="L2760" t="s">
        <v>578</v>
      </c>
      <c r="M2760" t="s">
        <v>578</v>
      </c>
      <c r="N2760" t="s">
        <v>578</v>
      </c>
      <c r="O2760" t="s">
        <v>578</v>
      </c>
      <c r="P2760" t="s">
        <v>578</v>
      </c>
      <c r="Q2760" t="s">
        <v>1289</v>
      </c>
      <c r="R2760" t="s">
        <v>12711</v>
      </c>
      <c r="U2760" t="s">
        <v>12712</v>
      </c>
    </row>
    <row r="2761" spans="1:21" x14ac:dyDescent="0.25">
      <c r="A2761" t="s">
        <v>12713</v>
      </c>
      <c r="B2761" t="s">
        <v>22</v>
      </c>
      <c r="C2761" t="s">
        <v>12714</v>
      </c>
      <c r="D2761">
        <f t="shared" si="77"/>
        <v>-2857</v>
      </c>
      <c r="E2761" t="s">
        <v>12715</v>
      </c>
      <c r="F2761" t="s">
        <v>12373</v>
      </c>
      <c r="G2761" t="s">
        <v>12374</v>
      </c>
      <c r="H2761">
        <v>4.9475115000000196</v>
      </c>
      <c r="I2761">
        <v>52.509090699999902</v>
      </c>
      <c r="J2761">
        <v>100</v>
      </c>
      <c r="K2761" t="s">
        <v>1289</v>
      </c>
      <c r="L2761" t="s">
        <v>578</v>
      </c>
      <c r="M2761" t="s">
        <v>578</v>
      </c>
      <c r="N2761" t="s">
        <v>578</v>
      </c>
      <c r="O2761" t="s">
        <v>578</v>
      </c>
      <c r="P2761" t="s">
        <v>578</v>
      </c>
      <c r="Q2761" t="s">
        <v>1289</v>
      </c>
      <c r="R2761" t="s">
        <v>12716</v>
      </c>
      <c r="U2761" t="s">
        <v>12717</v>
      </c>
    </row>
    <row r="2762" spans="1:21" x14ac:dyDescent="0.25">
      <c r="A2762" t="s">
        <v>12718</v>
      </c>
      <c r="B2762" t="s">
        <v>22</v>
      </c>
      <c r="C2762" t="s">
        <v>12719</v>
      </c>
      <c r="D2762">
        <f t="shared" si="77"/>
        <v>-2857</v>
      </c>
      <c r="E2762" t="s">
        <v>12720</v>
      </c>
      <c r="F2762" t="s">
        <v>12373</v>
      </c>
      <c r="G2762" t="s">
        <v>12374</v>
      </c>
      <c r="H2762">
        <v>5.1120105288550999</v>
      </c>
      <c r="I2762">
        <v>52.091195086528003</v>
      </c>
      <c r="J2762">
        <v>100</v>
      </c>
      <c r="K2762" t="s">
        <v>1289</v>
      </c>
      <c r="L2762" t="s">
        <v>553</v>
      </c>
      <c r="M2762" t="s">
        <v>553</v>
      </c>
      <c r="N2762" t="s">
        <v>553</v>
      </c>
      <c r="O2762" t="s">
        <v>553</v>
      </c>
      <c r="P2762" t="s">
        <v>553</v>
      </c>
      <c r="Q2762" t="s">
        <v>1289</v>
      </c>
      <c r="R2762" t="s">
        <v>12721</v>
      </c>
      <c r="S2762" t="s">
        <v>12722</v>
      </c>
      <c r="U2762" t="s">
        <v>12723</v>
      </c>
    </row>
    <row r="2763" spans="1:21" x14ac:dyDescent="0.25">
      <c r="A2763" t="s">
        <v>12724</v>
      </c>
      <c r="B2763" t="s">
        <v>32</v>
      </c>
      <c r="C2763" t="s">
        <v>12725</v>
      </c>
      <c r="D2763">
        <f t="shared" si="77"/>
        <v>-2857</v>
      </c>
      <c r="E2763" t="s">
        <v>12415</v>
      </c>
      <c r="F2763" t="s">
        <v>12373</v>
      </c>
      <c r="G2763" t="s">
        <v>12374</v>
      </c>
      <c r="H2763">
        <v>4.3096941619712696</v>
      </c>
      <c r="I2763">
        <v>52.078334090650102</v>
      </c>
      <c r="J2763">
        <v>100</v>
      </c>
      <c r="K2763" t="s">
        <v>1289</v>
      </c>
      <c r="L2763" t="s">
        <v>553</v>
      </c>
      <c r="M2763" t="s">
        <v>553</v>
      </c>
      <c r="N2763" t="s">
        <v>553</v>
      </c>
      <c r="O2763" t="s">
        <v>553</v>
      </c>
      <c r="P2763" t="s">
        <v>553</v>
      </c>
      <c r="Q2763" t="s">
        <v>1289</v>
      </c>
      <c r="R2763" t="s">
        <v>12726</v>
      </c>
      <c r="U2763" t="s">
        <v>12727</v>
      </c>
    </row>
    <row r="2764" spans="1:21" x14ac:dyDescent="0.25">
      <c r="A2764" t="s">
        <v>12728</v>
      </c>
      <c r="B2764" t="s">
        <v>32</v>
      </c>
      <c r="C2764" t="s">
        <v>12729</v>
      </c>
      <c r="D2764">
        <f t="shared" si="77"/>
        <v>-2857</v>
      </c>
      <c r="E2764" t="s">
        <v>12448</v>
      </c>
      <c r="F2764" t="s">
        <v>12373</v>
      </c>
      <c r="G2764" t="s">
        <v>12374</v>
      </c>
      <c r="H2764">
        <v>4.8918200000000001</v>
      </c>
      <c r="I2764">
        <v>52.36797</v>
      </c>
      <c r="J2764">
        <v>100</v>
      </c>
      <c r="K2764" t="s">
        <v>564</v>
      </c>
      <c r="L2764" t="s">
        <v>553</v>
      </c>
      <c r="M2764" t="s">
        <v>553</v>
      </c>
      <c r="N2764" t="s">
        <v>553</v>
      </c>
      <c r="O2764" t="s">
        <v>553</v>
      </c>
      <c r="P2764" t="s">
        <v>553</v>
      </c>
      <c r="Q2764" t="s">
        <v>564</v>
      </c>
      <c r="R2764" t="s">
        <v>12730</v>
      </c>
      <c r="S2764" t="s">
        <v>12731</v>
      </c>
      <c r="U2764" t="s">
        <v>12732</v>
      </c>
    </row>
    <row r="2765" spans="1:21" x14ac:dyDescent="0.25">
      <c r="A2765" t="s">
        <v>12733</v>
      </c>
      <c r="B2765" t="s">
        <v>38</v>
      </c>
      <c r="C2765" t="s">
        <v>12734</v>
      </c>
      <c r="D2765">
        <f t="shared" si="77"/>
        <v>-2857</v>
      </c>
      <c r="E2765" t="s">
        <v>12735</v>
      </c>
      <c r="F2765" t="s">
        <v>12373</v>
      </c>
      <c r="G2765" t="s">
        <v>12374</v>
      </c>
      <c r="H2765">
        <v>5.0848988000000199</v>
      </c>
      <c r="I2765">
        <v>52.027932900000003</v>
      </c>
      <c r="J2765">
        <v>100</v>
      </c>
      <c r="K2765" t="s">
        <v>1289</v>
      </c>
      <c r="L2765" t="s">
        <v>553</v>
      </c>
      <c r="M2765" t="s">
        <v>553</v>
      </c>
      <c r="N2765" t="s">
        <v>553</v>
      </c>
      <c r="O2765" t="s">
        <v>553</v>
      </c>
      <c r="P2765" t="s">
        <v>553</v>
      </c>
      <c r="Q2765" t="s">
        <v>1289</v>
      </c>
      <c r="R2765" t="s">
        <v>12736</v>
      </c>
      <c r="S2765" t="s">
        <v>12737</v>
      </c>
      <c r="U2765" t="s">
        <v>12738</v>
      </c>
    </row>
    <row r="2766" spans="1:21" x14ac:dyDescent="0.25">
      <c r="A2766" t="s">
        <v>12739</v>
      </c>
      <c r="B2766" t="s">
        <v>38</v>
      </c>
      <c r="C2766" t="s">
        <v>12740</v>
      </c>
      <c r="D2766">
        <f t="shared" si="77"/>
        <v>-2857</v>
      </c>
      <c r="E2766" t="s">
        <v>12741</v>
      </c>
      <c r="F2766" t="s">
        <v>12373</v>
      </c>
      <c r="G2766" t="s">
        <v>12374</v>
      </c>
      <c r="H2766">
        <v>4.8552717000000003</v>
      </c>
      <c r="I2766">
        <v>51.644443899999999</v>
      </c>
      <c r="J2766">
        <v>100</v>
      </c>
      <c r="K2766" t="s">
        <v>1289</v>
      </c>
      <c r="L2766" t="s">
        <v>553</v>
      </c>
      <c r="M2766" t="s">
        <v>553</v>
      </c>
      <c r="N2766" t="s">
        <v>553</v>
      </c>
      <c r="O2766" t="s">
        <v>553</v>
      </c>
      <c r="P2766" t="s">
        <v>553</v>
      </c>
      <c r="R2766" t="s">
        <v>12742</v>
      </c>
      <c r="U2766" t="s">
        <v>12743</v>
      </c>
    </row>
    <row r="2767" spans="1:21" x14ac:dyDescent="0.25">
      <c r="A2767" t="s">
        <v>12744</v>
      </c>
      <c r="B2767" t="s">
        <v>22</v>
      </c>
      <c r="C2767" t="s">
        <v>12745</v>
      </c>
      <c r="D2767">
        <f t="shared" si="77"/>
        <v>-2857</v>
      </c>
      <c r="E2767" t="s">
        <v>12746</v>
      </c>
      <c r="F2767" t="s">
        <v>12373</v>
      </c>
      <c r="G2767" t="s">
        <v>12374</v>
      </c>
      <c r="H2767">
        <v>5.1762382307540502</v>
      </c>
      <c r="I2767">
        <v>52.224876579531802</v>
      </c>
      <c r="J2767">
        <v>100</v>
      </c>
      <c r="K2767" t="s">
        <v>10216</v>
      </c>
      <c r="L2767" t="s">
        <v>553</v>
      </c>
      <c r="M2767" t="s">
        <v>553</v>
      </c>
      <c r="N2767" t="s">
        <v>553</v>
      </c>
      <c r="O2767" t="s">
        <v>553</v>
      </c>
      <c r="P2767" t="s">
        <v>553</v>
      </c>
      <c r="Q2767" t="s">
        <v>1289</v>
      </c>
      <c r="R2767" t="s">
        <v>12747</v>
      </c>
      <c r="U2767" t="s">
        <v>12748</v>
      </c>
    </row>
    <row r="2768" spans="1:21" x14ac:dyDescent="0.25">
      <c r="A2768" t="s">
        <v>12749</v>
      </c>
      <c r="B2768" t="s">
        <v>22</v>
      </c>
      <c r="C2768" t="s">
        <v>12750</v>
      </c>
      <c r="D2768">
        <f t="shared" si="77"/>
        <v>-2857</v>
      </c>
      <c r="E2768" t="s">
        <v>12751</v>
      </c>
      <c r="F2768" t="s">
        <v>12373</v>
      </c>
      <c r="G2768" t="s">
        <v>12374</v>
      </c>
      <c r="H2768">
        <v>4.4904865676758199</v>
      </c>
      <c r="I2768">
        <v>52.159350918670199</v>
      </c>
      <c r="J2768">
        <v>100</v>
      </c>
      <c r="K2768" t="s">
        <v>1289</v>
      </c>
      <c r="L2768" t="s">
        <v>553</v>
      </c>
      <c r="M2768" t="s">
        <v>553</v>
      </c>
      <c r="N2768" t="s">
        <v>553</v>
      </c>
      <c r="O2768" t="s">
        <v>553</v>
      </c>
      <c r="P2768" t="s">
        <v>553</v>
      </c>
      <c r="Q2768" t="s">
        <v>1289</v>
      </c>
      <c r="R2768" t="s">
        <v>12752</v>
      </c>
      <c r="U2768" t="s">
        <v>12753</v>
      </c>
    </row>
    <row r="2769" spans="1:21" x14ac:dyDescent="0.25">
      <c r="A2769" t="s">
        <v>12754</v>
      </c>
      <c r="B2769" t="s">
        <v>38</v>
      </c>
      <c r="C2769" t="s">
        <v>12755</v>
      </c>
      <c r="D2769">
        <f t="shared" si="77"/>
        <v>-2857</v>
      </c>
      <c r="E2769" t="s">
        <v>12756</v>
      </c>
      <c r="F2769" t="s">
        <v>12373</v>
      </c>
      <c r="G2769" t="s">
        <v>12374</v>
      </c>
      <c r="H2769">
        <v>5.9862548999999499</v>
      </c>
      <c r="I2769">
        <v>51.195358400000003</v>
      </c>
      <c r="J2769">
        <v>100</v>
      </c>
      <c r="K2769" t="s">
        <v>10216</v>
      </c>
      <c r="L2769" t="s">
        <v>553</v>
      </c>
      <c r="M2769" t="s">
        <v>553</v>
      </c>
      <c r="N2769" t="s">
        <v>553</v>
      </c>
      <c r="O2769" t="s">
        <v>553</v>
      </c>
      <c r="P2769" t="s">
        <v>553</v>
      </c>
      <c r="Q2769" t="s">
        <v>1289</v>
      </c>
      <c r="R2769" t="s">
        <v>12757</v>
      </c>
      <c r="U2769" t="s">
        <v>12758</v>
      </c>
    </row>
    <row r="2770" spans="1:21" x14ac:dyDescent="0.25">
      <c r="A2770" t="s">
        <v>12759</v>
      </c>
      <c r="B2770" t="s">
        <v>38</v>
      </c>
      <c r="C2770" t="s">
        <v>12760</v>
      </c>
      <c r="D2770">
        <f t="shared" si="77"/>
        <v>-2857</v>
      </c>
      <c r="E2770" t="s">
        <v>12761</v>
      </c>
      <c r="F2770" t="s">
        <v>12373</v>
      </c>
      <c r="G2770" t="s">
        <v>12374</v>
      </c>
      <c r="H2770">
        <v>6.15951876325994</v>
      </c>
      <c r="I2770">
        <v>52.253322097259598</v>
      </c>
      <c r="J2770">
        <v>100</v>
      </c>
      <c r="K2770" t="s">
        <v>10216</v>
      </c>
      <c r="L2770" t="s">
        <v>553</v>
      </c>
      <c r="M2770" t="s">
        <v>553</v>
      </c>
      <c r="N2770" t="s">
        <v>553</v>
      </c>
      <c r="O2770" t="s">
        <v>553</v>
      </c>
      <c r="P2770" t="s">
        <v>578</v>
      </c>
      <c r="Q2770" t="s">
        <v>1289</v>
      </c>
      <c r="R2770" t="s">
        <v>12762</v>
      </c>
      <c r="U2770" t="s">
        <v>12763</v>
      </c>
    </row>
    <row r="2771" spans="1:21" x14ac:dyDescent="0.25">
      <c r="A2771" t="s">
        <v>12764</v>
      </c>
      <c r="B2771" t="s">
        <v>22</v>
      </c>
      <c r="C2771" t="s">
        <v>12765</v>
      </c>
      <c r="D2771">
        <f t="shared" si="77"/>
        <v>-2857</v>
      </c>
      <c r="E2771" t="s">
        <v>12766</v>
      </c>
      <c r="F2771" t="s">
        <v>12373</v>
      </c>
      <c r="G2771" t="s">
        <v>12374</v>
      </c>
      <c r="H2771">
        <v>5.9628179283195104</v>
      </c>
      <c r="I2771">
        <v>52.214234407258601</v>
      </c>
      <c r="J2771">
        <v>100</v>
      </c>
      <c r="K2771" t="s">
        <v>1289</v>
      </c>
      <c r="L2771" t="s">
        <v>553</v>
      </c>
      <c r="M2771" t="s">
        <v>553</v>
      </c>
      <c r="N2771" t="s">
        <v>553</v>
      </c>
      <c r="O2771" t="s">
        <v>553</v>
      </c>
      <c r="P2771" t="s">
        <v>578</v>
      </c>
      <c r="Q2771" t="s">
        <v>1289</v>
      </c>
      <c r="R2771" t="s">
        <v>12767</v>
      </c>
      <c r="U2771" t="s">
        <v>12768</v>
      </c>
    </row>
    <row r="2772" spans="1:21" x14ac:dyDescent="0.25">
      <c r="A2772" t="s">
        <v>12769</v>
      </c>
      <c r="B2772" t="s">
        <v>22</v>
      </c>
      <c r="C2772" t="s">
        <v>12770</v>
      </c>
      <c r="D2772">
        <f t="shared" si="77"/>
        <v>-2857</v>
      </c>
      <c r="E2772" t="s">
        <v>12771</v>
      </c>
      <c r="F2772" t="s">
        <v>12373</v>
      </c>
      <c r="G2772" t="s">
        <v>12374</v>
      </c>
      <c r="H2772">
        <v>4.7765130128974498</v>
      </c>
      <c r="I2772">
        <v>51.585334503684699</v>
      </c>
      <c r="J2772">
        <v>100</v>
      </c>
      <c r="K2772" t="s">
        <v>1289</v>
      </c>
      <c r="L2772" t="s">
        <v>578</v>
      </c>
      <c r="M2772" t="s">
        <v>578</v>
      </c>
      <c r="N2772" t="s">
        <v>578</v>
      </c>
      <c r="O2772" t="s">
        <v>578</v>
      </c>
      <c r="P2772" t="s">
        <v>578</v>
      </c>
      <c r="Q2772" t="s">
        <v>1289</v>
      </c>
      <c r="R2772" t="s">
        <v>12772</v>
      </c>
      <c r="U2772" t="s">
        <v>12773</v>
      </c>
    </row>
    <row r="2773" spans="1:21" x14ac:dyDescent="0.25">
      <c r="A2773" t="s">
        <v>12774</v>
      </c>
      <c r="B2773" t="s">
        <v>38</v>
      </c>
      <c r="C2773" t="s">
        <v>12775</v>
      </c>
      <c r="D2773">
        <f t="shared" si="77"/>
        <v>-2857</v>
      </c>
      <c r="E2773" t="s">
        <v>12720</v>
      </c>
      <c r="F2773" t="s">
        <v>12373</v>
      </c>
      <c r="G2773" t="s">
        <v>12374</v>
      </c>
      <c r="H2773">
        <v>5.0577766444946501</v>
      </c>
      <c r="I2773">
        <v>52.095931541432897</v>
      </c>
      <c r="J2773">
        <v>100</v>
      </c>
      <c r="K2773" t="s">
        <v>1289</v>
      </c>
      <c r="L2773" t="s">
        <v>553</v>
      </c>
      <c r="M2773" t="s">
        <v>553</v>
      </c>
      <c r="N2773" t="s">
        <v>553</v>
      </c>
      <c r="O2773" t="s">
        <v>553</v>
      </c>
      <c r="P2773" t="s">
        <v>553</v>
      </c>
      <c r="Q2773" t="s">
        <v>1289</v>
      </c>
      <c r="R2773" t="s">
        <v>12776</v>
      </c>
      <c r="U2773" t="s">
        <v>12777</v>
      </c>
    </row>
    <row r="2774" spans="1:21" x14ac:dyDescent="0.25">
      <c r="A2774" t="s">
        <v>12778</v>
      </c>
      <c r="B2774" t="s">
        <v>38</v>
      </c>
      <c r="C2774" t="s">
        <v>12779</v>
      </c>
      <c r="D2774">
        <f t="shared" si="77"/>
        <v>-2857</v>
      </c>
      <c r="E2774" t="s">
        <v>12780</v>
      </c>
      <c r="F2774" t="s">
        <v>12373</v>
      </c>
      <c r="G2774" t="s">
        <v>12374</v>
      </c>
      <c r="H2774">
        <v>5.8677998964202498</v>
      </c>
      <c r="I2774">
        <v>50.997146500669103</v>
      </c>
      <c r="J2774">
        <v>100</v>
      </c>
      <c r="K2774" t="s">
        <v>10216</v>
      </c>
      <c r="L2774" t="s">
        <v>578</v>
      </c>
      <c r="M2774" t="s">
        <v>578</v>
      </c>
      <c r="N2774" t="s">
        <v>578</v>
      </c>
      <c r="O2774" t="s">
        <v>578</v>
      </c>
      <c r="P2774" t="s">
        <v>578</v>
      </c>
      <c r="R2774" t="s">
        <v>12781</v>
      </c>
      <c r="U2774" t="s">
        <v>12782</v>
      </c>
    </row>
    <row r="2775" spans="1:21" x14ac:dyDescent="0.25">
      <c r="A2775" t="s">
        <v>12783</v>
      </c>
      <c r="B2775" t="s">
        <v>38</v>
      </c>
      <c r="C2775" t="s">
        <v>12784</v>
      </c>
      <c r="D2775">
        <f t="shared" si="77"/>
        <v>-2857</v>
      </c>
      <c r="E2775" t="s">
        <v>12785</v>
      </c>
      <c r="F2775" t="s">
        <v>12373</v>
      </c>
      <c r="G2775" t="s">
        <v>12374</v>
      </c>
      <c r="H2775">
        <v>4.1463153863525104</v>
      </c>
      <c r="I2775">
        <v>51.832287525197998</v>
      </c>
      <c r="J2775">
        <v>100</v>
      </c>
      <c r="K2775" t="s">
        <v>1289</v>
      </c>
      <c r="L2775" t="s">
        <v>578</v>
      </c>
      <c r="M2775" t="s">
        <v>578</v>
      </c>
      <c r="N2775" t="s">
        <v>578</v>
      </c>
      <c r="O2775" t="s">
        <v>578</v>
      </c>
      <c r="P2775" t="s">
        <v>578</v>
      </c>
      <c r="Q2775" t="s">
        <v>1289</v>
      </c>
      <c r="R2775" t="s">
        <v>12786</v>
      </c>
      <c r="U2775" t="s">
        <v>12787</v>
      </c>
    </row>
    <row r="2776" spans="1:21" x14ac:dyDescent="0.25">
      <c r="A2776" t="s">
        <v>12788</v>
      </c>
      <c r="B2776" t="s">
        <v>22</v>
      </c>
      <c r="C2776" t="s">
        <v>12789</v>
      </c>
      <c r="D2776">
        <f t="shared" si="77"/>
        <v>-2857</v>
      </c>
      <c r="E2776" t="s">
        <v>12790</v>
      </c>
      <c r="F2776" t="s">
        <v>12373</v>
      </c>
      <c r="G2776" t="s">
        <v>12374</v>
      </c>
      <c r="H2776">
        <v>5.9794987999999902</v>
      </c>
      <c r="I2776">
        <v>50.888174199999902</v>
      </c>
      <c r="J2776">
        <v>100</v>
      </c>
      <c r="K2776" t="s">
        <v>1289</v>
      </c>
      <c r="L2776" t="s">
        <v>553</v>
      </c>
      <c r="M2776" t="s">
        <v>553</v>
      </c>
      <c r="N2776" t="s">
        <v>553</v>
      </c>
      <c r="O2776" t="s">
        <v>553</v>
      </c>
      <c r="P2776" t="s">
        <v>553</v>
      </c>
      <c r="Q2776" t="s">
        <v>1289</v>
      </c>
      <c r="R2776" t="s">
        <v>12791</v>
      </c>
      <c r="U2776" t="s">
        <v>12792</v>
      </c>
    </row>
    <row r="2777" spans="1:21" x14ac:dyDescent="0.25">
      <c r="A2777" t="s">
        <v>12793</v>
      </c>
      <c r="B2777" t="s">
        <v>38</v>
      </c>
      <c r="C2777" t="s">
        <v>12794</v>
      </c>
      <c r="D2777">
        <f t="shared" si="77"/>
        <v>-2857</v>
      </c>
      <c r="E2777" t="s">
        <v>12795</v>
      </c>
      <c r="F2777" t="s">
        <v>12373</v>
      </c>
      <c r="G2777" t="s">
        <v>12374</v>
      </c>
      <c r="H2777">
        <v>4.6568889005249101</v>
      </c>
      <c r="I2777">
        <v>52.481182304707197</v>
      </c>
      <c r="J2777">
        <v>100</v>
      </c>
      <c r="K2777" t="s">
        <v>564</v>
      </c>
      <c r="L2777" t="s">
        <v>553</v>
      </c>
      <c r="M2777" t="s">
        <v>553</v>
      </c>
      <c r="N2777" t="s">
        <v>553</v>
      </c>
      <c r="O2777" t="s">
        <v>553</v>
      </c>
      <c r="P2777" t="s">
        <v>553</v>
      </c>
      <c r="R2777" t="s">
        <v>12796</v>
      </c>
      <c r="U2777" t="s">
        <v>12797</v>
      </c>
    </row>
    <row r="2778" spans="1:21" x14ac:dyDescent="0.25">
      <c r="A2778" t="s">
        <v>12798</v>
      </c>
      <c r="B2778" t="s">
        <v>38</v>
      </c>
      <c r="C2778" t="s">
        <v>12799</v>
      </c>
      <c r="D2778">
        <f t="shared" si="77"/>
        <v>-2857</v>
      </c>
      <c r="E2778" t="s">
        <v>12800</v>
      </c>
      <c r="F2778" t="s">
        <v>12373</v>
      </c>
      <c r="G2778" t="s">
        <v>12374</v>
      </c>
      <c r="H2778">
        <v>6.2897395576416102</v>
      </c>
      <c r="I2778">
        <v>51.964329308307001</v>
      </c>
      <c r="J2778">
        <v>100</v>
      </c>
      <c r="K2778" t="s">
        <v>10216</v>
      </c>
      <c r="L2778" t="s">
        <v>553</v>
      </c>
      <c r="M2778" t="s">
        <v>553</v>
      </c>
      <c r="N2778" t="s">
        <v>553</v>
      </c>
      <c r="O2778" t="s">
        <v>553</v>
      </c>
      <c r="P2778" t="s">
        <v>553</v>
      </c>
      <c r="Q2778" t="s">
        <v>1289</v>
      </c>
      <c r="R2778" t="s">
        <v>12801</v>
      </c>
      <c r="U2778" t="s">
        <v>12802</v>
      </c>
    </row>
    <row r="2779" spans="1:21" x14ac:dyDescent="0.25">
      <c r="A2779" t="s">
        <v>12803</v>
      </c>
      <c r="B2779" t="s">
        <v>38</v>
      </c>
      <c r="C2779" t="s">
        <v>12804</v>
      </c>
      <c r="D2779">
        <f t="shared" si="77"/>
        <v>-2857</v>
      </c>
      <c r="E2779" t="s">
        <v>12805</v>
      </c>
      <c r="F2779" t="s">
        <v>12373</v>
      </c>
      <c r="G2779" t="s">
        <v>12374</v>
      </c>
      <c r="H2779">
        <v>5.7053298736293501</v>
      </c>
      <c r="I2779">
        <v>51.2537391912537</v>
      </c>
      <c r="J2779">
        <v>100</v>
      </c>
      <c r="K2779" t="s">
        <v>10216</v>
      </c>
      <c r="L2779" t="s">
        <v>578</v>
      </c>
      <c r="M2779" t="s">
        <v>578</v>
      </c>
      <c r="N2779" t="s">
        <v>578</v>
      </c>
      <c r="O2779" t="s">
        <v>578</v>
      </c>
      <c r="P2779" t="s">
        <v>578</v>
      </c>
      <c r="R2779" t="s">
        <v>12806</v>
      </c>
      <c r="U2779" t="s">
        <v>12807</v>
      </c>
    </row>
    <row r="2780" spans="1:21" x14ac:dyDescent="0.25">
      <c r="A2780" t="s">
        <v>12808</v>
      </c>
      <c r="B2780" t="s">
        <v>22</v>
      </c>
      <c r="C2780" t="s">
        <v>12809</v>
      </c>
      <c r="D2780">
        <f>31-9001988</f>
        <v>-9001957</v>
      </c>
      <c r="E2780" t="s">
        <v>12810</v>
      </c>
      <c r="F2780" t="s">
        <v>12373</v>
      </c>
      <c r="G2780" t="s">
        <v>12374</v>
      </c>
      <c r="H2780">
        <v>4.3846262999999999</v>
      </c>
      <c r="I2780">
        <v>52.088006800000002</v>
      </c>
      <c r="J2780">
        <v>100</v>
      </c>
      <c r="K2780" t="s">
        <v>564</v>
      </c>
      <c r="L2780" t="s">
        <v>553</v>
      </c>
      <c r="M2780" t="s">
        <v>553</v>
      </c>
      <c r="N2780" t="s">
        <v>553</v>
      </c>
      <c r="O2780" t="s">
        <v>553</v>
      </c>
      <c r="P2780" t="s">
        <v>553</v>
      </c>
      <c r="Q2780" t="s">
        <v>1289</v>
      </c>
      <c r="R2780" t="s">
        <v>12811</v>
      </c>
      <c r="S2780" t="s">
        <v>12812</v>
      </c>
      <c r="U2780" t="s">
        <v>12813</v>
      </c>
    </row>
    <row r="2781" spans="1:21" x14ac:dyDescent="0.25">
      <c r="A2781" t="s">
        <v>12814</v>
      </c>
      <c r="B2781" t="s">
        <v>38</v>
      </c>
      <c r="C2781" t="s">
        <v>12815</v>
      </c>
      <c r="D2781">
        <f>31-900-1988</f>
        <v>-2857</v>
      </c>
      <c r="E2781" t="s">
        <v>12448</v>
      </c>
      <c r="F2781" t="s">
        <v>12373</v>
      </c>
      <c r="G2781" t="s">
        <v>12374</v>
      </c>
      <c r="H2781">
        <v>4.8067890000000002</v>
      </c>
      <c r="I2781">
        <v>52.359937000000002</v>
      </c>
      <c r="J2781">
        <v>100</v>
      </c>
      <c r="K2781" t="s">
        <v>564</v>
      </c>
      <c r="L2781" t="s">
        <v>553</v>
      </c>
      <c r="M2781" t="s">
        <v>553</v>
      </c>
      <c r="N2781" t="s">
        <v>553</v>
      </c>
      <c r="O2781" t="s">
        <v>553</v>
      </c>
      <c r="P2781" t="s">
        <v>553</v>
      </c>
      <c r="Q2781" t="s">
        <v>564</v>
      </c>
      <c r="R2781" t="s">
        <v>12816</v>
      </c>
      <c r="U2781" t="s">
        <v>12817</v>
      </c>
    </row>
    <row r="2782" spans="1:21" x14ac:dyDescent="0.25">
      <c r="A2782" t="s">
        <v>12818</v>
      </c>
      <c r="B2782" t="s">
        <v>22</v>
      </c>
      <c r="C2782" t="s">
        <v>12819</v>
      </c>
      <c r="D2782">
        <f>31-900-1988</f>
        <v>-2857</v>
      </c>
      <c r="E2782" t="s">
        <v>12598</v>
      </c>
      <c r="F2782" t="s">
        <v>12373</v>
      </c>
      <c r="G2782" t="s">
        <v>12374</v>
      </c>
      <c r="H2782">
        <v>6.5682999999999998</v>
      </c>
      <c r="I2782">
        <v>53.215299999999999</v>
      </c>
      <c r="J2782">
        <v>100</v>
      </c>
      <c r="K2782" t="s">
        <v>1289</v>
      </c>
      <c r="L2782" t="s">
        <v>553</v>
      </c>
      <c r="M2782" t="s">
        <v>553</v>
      </c>
      <c r="N2782" t="s">
        <v>553</v>
      </c>
      <c r="O2782" t="s">
        <v>553</v>
      </c>
      <c r="P2782" t="s">
        <v>553</v>
      </c>
      <c r="Q2782" t="s">
        <v>1289</v>
      </c>
      <c r="R2782" t="s">
        <v>12820</v>
      </c>
      <c r="U2782" t="s">
        <v>12821</v>
      </c>
    </row>
    <row r="2783" spans="1:21" x14ac:dyDescent="0.25">
      <c r="A2783" t="s">
        <v>12822</v>
      </c>
      <c r="B2783" t="s">
        <v>38</v>
      </c>
      <c r="C2783" t="s">
        <v>12823</v>
      </c>
      <c r="D2783">
        <f>31-9001988</f>
        <v>-9001957</v>
      </c>
      <c r="E2783" t="s">
        <v>12824</v>
      </c>
      <c r="F2783" t="s">
        <v>12373</v>
      </c>
      <c r="G2783" t="s">
        <v>12374</v>
      </c>
      <c r="H2783">
        <v>4.820036</v>
      </c>
      <c r="I2783">
        <v>52.438991000000001</v>
      </c>
      <c r="J2783">
        <v>100</v>
      </c>
      <c r="K2783" t="s">
        <v>1289</v>
      </c>
      <c r="L2783" t="s">
        <v>553</v>
      </c>
      <c r="M2783" t="s">
        <v>553</v>
      </c>
      <c r="N2783" t="s">
        <v>553</v>
      </c>
      <c r="O2783" t="s">
        <v>553</v>
      </c>
      <c r="P2783" t="s">
        <v>578</v>
      </c>
      <c r="Q2783" t="s">
        <v>1289</v>
      </c>
      <c r="R2783" t="s">
        <v>12825</v>
      </c>
      <c r="U2783" t="s">
        <v>12826</v>
      </c>
    </row>
    <row r="2784" spans="1:21" x14ac:dyDescent="0.25">
      <c r="A2784" t="s">
        <v>12827</v>
      </c>
      <c r="B2784" t="s">
        <v>32</v>
      </c>
      <c r="C2784" t="s">
        <v>12828</v>
      </c>
      <c r="D2784">
        <f>31-9001988</f>
        <v>-9001957</v>
      </c>
      <c r="E2784" t="s">
        <v>12448</v>
      </c>
      <c r="F2784" t="s">
        <v>12373</v>
      </c>
      <c r="G2784" t="s">
        <v>12374</v>
      </c>
      <c r="H2784">
        <v>4.8910650000000002</v>
      </c>
      <c r="I2784">
        <v>52.369782999999998</v>
      </c>
      <c r="J2784">
        <v>100</v>
      </c>
      <c r="K2784" t="s">
        <v>1289</v>
      </c>
      <c r="L2784" t="s">
        <v>553</v>
      </c>
      <c r="M2784" t="s">
        <v>553</v>
      </c>
      <c r="N2784" t="s">
        <v>553</v>
      </c>
      <c r="O2784" t="s">
        <v>553</v>
      </c>
      <c r="P2784" t="s">
        <v>553</v>
      </c>
      <c r="Q2784" t="s">
        <v>1289</v>
      </c>
      <c r="R2784" t="s">
        <v>12829</v>
      </c>
      <c r="U2784" t="s">
        <v>12830</v>
      </c>
    </row>
    <row r="2785" spans="1:21" x14ac:dyDescent="0.25">
      <c r="A2785" t="s">
        <v>12831</v>
      </c>
      <c r="B2785" t="s">
        <v>22</v>
      </c>
      <c r="C2785" t="s">
        <v>12832</v>
      </c>
      <c r="D2785">
        <f>31-9001988</f>
        <v>-9001957</v>
      </c>
      <c r="E2785" t="s">
        <v>12810</v>
      </c>
      <c r="F2785" t="s">
        <v>12373</v>
      </c>
      <c r="G2785" t="s">
        <v>12374</v>
      </c>
      <c r="H2785">
        <v>4.3833901998779101</v>
      </c>
      <c r="I2785">
        <v>52.089469508953897</v>
      </c>
      <c r="J2785">
        <v>100</v>
      </c>
      <c r="K2785" t="s">
        <v>564</v>
      </c>
      <c r="L2785" t="s">
        <v>553</v>
      </c>
      <c r="M2785" t="s">
        <v>553</v>
      </c>
      <c r="N2785" t="s">
        <v>553</v>
      </c>
      <c r="O2785" t="s">
        <v>553</v>
      </c>
      <c r="P2785" t="s">
        <v>553</v>
      </c>
      <c r="Q2785" t="s">
        <v>1289</v>
      </c>
      <c r="R2785" t="s">
        <v>12833</v>
      </c>
      <c r="S2785" t="s">
        <v>12812</v>
      </c>
      <c r="U2785" t="s">
        <v>12834</v>
      </c>
    </row>
    <row r="2786" spans="1:21" x14ac:dyDescent="0.25">
      <c r="A2786" t="s">
        <v>12835</v>
      </c>
      <c r="B2786" t="s">
        <v>22</v>
      </c>
      <c r="C2786" t="s">
        <v>12836</v>
      </c>
      <c r="D2786">
        <f t="shared" ref="D2786:D2817" si="78">47-63870000</f>
        <v>-63869953</v>
      </c>
      <c r="E2786" t="s">
        <v>12837</v>
      </c>
      <c r="F2786" t="s">
        <v>12838</v>
      </c>
      <c r="G2786" t="s">
        <v>12839</v>
      </c>
      <c r="H2786">
        <v>10.751033697170399</v>
      </c>
      <c r="I2786">
        <v>59.913033441209201</v>
      </c>
      <c r="J2786">
        <v>100</v>
      </c>
      <c r="K2786" t="s">
        <v>45</v>
      </c>
      <c r="L2786" t="s">
        <v>45</v>
      </c>
      <c r="M2786" t="s">
        <v>45</v>
      </c>
      <c r="N2786" t="s">
        <v>45</v>
      </c>
      <c r="O2786" t="s">
        <v>45</v>
      </c>
      <c r="P2786" t="s">
        <v>535</v>
      </c>
      <c r="R2786" t="s">
        <v>12836</v>
      </c>
      <c r="U2786" t="s">
        <v>12840</v>
      </c>
    </row>
    <row r="2787" spans="1:21" x14ac:dyDescent="0.25">
      <c r="A2787" t="s">
        <v>12841</v>
      </c>
      <c r="B2787" t="s">
        <v>38</v>
      </c>
      <c r="C2787" t="s">
        <v>12842</v>
      </c>
      <c r="D2787">
        <f t="shared" si="78"/>
        <v>-63869953</v>
      </c>
      <c r="E2787" t="s">
        <v>12843</v>
      </c>
      <c r="F2787" t="s">
        <v>12838</v>
      </c>
      <c r="G2787" t="s">
        <v>12839</v>
      </c>
      <c r="H2787">
        <v>10.7724340389007</v>
      </c>
      <c r="I2787">
        <v>59.739465362521599</v>
      </c>
      <c r="J2787">
        <v>100</v>
      </c>
      <c r="K2787" t="s">
        <v>536</v>
      </c>
      <c r="L2787" t="s">
        <v>536</v>
      </c>
      <c r="M2787" t="s">
        <v>536</v>
      </c>
      <c r="N2787" t="s">
        <v>536</v>
      </c>
      <c r="O2787" t="s">
        <v>536</v>
      </c>
      <c r="P2787" t="s">
        <v>166</v>
      </c>
      <c r="R2787" t="s">
        <v>12844</v>
      </c>
      <c r="U2787" t="s">
        <v>12845</v>
      </c>
    </row>
    <row r="2788" spans="1:21" x14ac:dyDescent="0.25">
      <c r="A2788" t="s">
        <v>12846</v>
      </c>
      <c r="B2788" t="s">
        <v>22</v>
      </c>
      <c r="C2788" t="s">
        <v>12847</v>
      </c>
      <c r="D2788">
        <f t="shared" si="78"/>
        <v>-63869953</v>
      </c>
      <c r="E2788" t="s">
        <v>12837</v>
      </c>
      <c r="F2788" t="s">
        <v>12838</v>
      </c>
      <c r="G2788" t="s">
        <v>12839</v>
      </c>
      <c r="H2788">
        <v>10.7264840942389</v>
      </c>
      <c r="I2788">
        <v>59.9104080671395</v>
      </c>
      <c r="J2788">
        <v>100</v>
      </c>
      <c r="K2788" t="s">
        <v>45</v>
      </c>
      <c r="L2788" t="s">
        <v>45</v>
      </c>
      <c r="M2788" t="s">
        <v>45</v>
      </c>
      <c r="N2788" t="s">
        <v>45</v>
      </c>
      <c r="O2788" t="s">
        <v>45</v>
      </c>
      <c r="P2788" t="s">
        <v>535</v>
      </c>
      <c r="R2788" t="s">
        <v>12848</v>
      </c>
      <c r="U2788" t="s">
        <v>12849</v>
      </c>
    </row>
    <row r="2789" spans="1:21" x14ac:dyDescent="0.25">
      <c r="A2789" t="s">
        <v>12850</v>
      </c>
      <c r="B2789" t="s">
        <v>38</v>
      </c>
      <c r="C2789" t="s">
        <v>12851</v>
      </c>
      <c r="D2789">
        <f t="shared" si="78"/>
        <v>-63869953</v>
      </c>
      <c r="E2789" t="s">
        <v>12852</v>
      </c>
      <c r="F2789" t="s">
        <v>12838</v>
      </c>
      <c r="G2789" t="s">
        <v>12839</v>
      </c>
      <c r="H2789">
        <v>11.0496711730957</v>
      </c>
      <c r="I2789">
        <v>59.956823165338399</v>
      </c>
      <c r="J2789">
        <v>100</v>
      </c>
      <c r="K2789" t="s">
        <v>536</v>
      </c>
      <c r="L2789" t="s">
        <v>536</v>
      </c>
      <c r="M2789" t="s">
        <v>536</v>
      </c>
      <c r="N2789" t="s">
        <v>536</v>
      </c>
      <c r="O2789" t="s">
        <v>536</v>
      </c>
      <c r="P2789" t="s">
        <v>428</v>
      </c>
      <c r="R2789" t="s">
        <v>12853</v>
      </c>
      <c r="U2789" t="s">
        <v>12854</v>
      </c>
    </row>
    <row r="2790" spans="1:21" x14ac:dyDescent="0.25">
      <c r="A2790" t="s">
        <v>12855</v>
      </c>
      <c r="B2790" t="s">
        <v>38</v>
      </c>
      <c r="C2790" t="s">
        <v>12856</v>
      </c>
      <c r="D2790">
        <f t="shared" si="78"/>
        <v>-63869953</v>
      </c>
      <c r="E2790" t="s">
        <v>12837</v>
      </c>
      <c r="F2790" t="s">
        <v>12838</v>
      </c>
      <c r="G2790" t="s">
        <v>12839</v>
      </c>
      <c r="H2790">
        <v>10.821661949157701</v>
      </c>
      <c r="I2790">
        <v>59.902960519467101</v>
      </c>
      <c r="J2790">
        <v>100</v>
      </c>
      <c r="K2790" t="s">
        <v>536</v>
      </c>
      <c r="L2790" t="s">
        <v>536</v>
      </c>
      <c r="M2790" t="s">
        <v>536</v>
      </c>
      <c r="N2790" t="s">
        <v>536</v>
      </c>
      <c r="O2790" t="s">
        <v>536</v>
      </c>
      <c r="P2790" t="s">
        <v>535</v>
      </c>
      <c r="R2790" t="s">
        <v>12857</v>
      </c>
      <c r="U2790" t="s">
        <v>12858</v>
      </c>
    </row>
    <row r="2791" spans="1:21" x14ac:dyDescent="0.25">
      <c r="A2791" t="s">
        <v>12859</v>
      </c>
      <c r="B2791" t="s">
        <v>22</v>
      </c>
      <c r="C2791" t="s">
        <v>12860</v>
      </c>
      <c r="D2791">
        <f t="shared" si="78"/>
        <v>-63869953</v>
      </c>
      <c r="E2791" t="s">
        <v>12837</v>
      </c>
      <c r="F2791" t="s">
        <v>12838</v>
      </c>
      <c r="G2791" t="s">
        <v>12839</v>
      </c>
      <c r="H2791">
        <v>10.775656700134199</v>
      </c>
      <c r="I2791">
        <v>59.947102158335397</v>
      </c>
      <c r="J2791">
        <v>100</v>
      </c>
      <c r="K2791" t="s">
        <v>536</v>
      </c>
      <c r="L2791" t="s">
        <v>536</v>
      </c>
      <c r="M2791" t="s">
        <v>536</v>
      </c>
      <c r="N2791" t="s">
        <v>536</v>
      </c>
      <c r="O2791" t="s">
        <v>536</v>
      </c>
      <c r="P2791" t="s">
        <v>535</v>
      </c>
      <c r="R2791" t="s">
        <v>12861</v>
      </c>
      <c r="U2791" t="s">
        <v>12862</v>
      </c>
    </row>
    <row r="2792" spans="1:21" x14ac:dyDescent="0.25">
      <c r="A2792" t="s">
        <v>12863</v>
      </c>
      <c r="B2792" t="s">
        <v>22</v>
      </c>
      <c r="C2792" t="s">
        <v>12864</v>
      </c>
      <c r="D2792">
        <f t="shared" si="78"/>
        <v>-63869953</v>
      </c>
      <c r="E2792" t="s">
        <v>12865</v>
      </c>
      <c r="F2792" t="s">
        <v>12838</v>
      </c>
      <c r="G2792" t="s">
        <v>12839</v>
      </c>
      <c r="H2792">
        <v>11.008008067379301</v>
      </c>
      <c r="I2792">
        <v>59.947909836043898</v>
      </c>
      <c r="J2792">
        <v>100</v>
      </c>
      <c r="K2792" t="s">
        <v>536</v>
      </c>
      <c r="L2792" t="s">
        <v>536</v>
      </c>
      <c r="M2792" t="s">
        <v>536</v>
      </c>
      <c r="N2792" t="s">
        <v>536</v>
      </c>
      <c r="O2792" t="s">
        <v>536</v>
      </c>
      <c r="P2792" t="s">
        <v>535</v>
      </c>
      <c r="R2792" t="s">
        <v>12866</v>
      </c>
      <c r="U2792" t="s">
        <v>12867</v>
      </c>
    </row>
    <row r="2793" spans="1:21" x14ac:dyDescent="0.25">
      <c r="A2793" t="s">
        <v>12868</v>
      </c>
      <c r="B2793" t="s">
        <v>22</v>
      </c>
      <c r="C2793" t="s">
        <v>12869</v>
      </c>
      <c r="D2793">
        <f t="shared" si="78"/>
        <v>-63869953</v>
      </c>
      <c r="E2793" t="s">
        <v>12837</v>
      </c>
      <c r="F2793" t="s">
        <v>12838</v>
      </c>
      <c r="G2793" t="s">
        <v>12839</v>
      </c>
      <c r="H2793">
        <v>10.752194576193</v>
      </c>
      <c r="I2793">
        <v>59.912813982574001</v>
      </c>
      <c r="J2793">
        <v>100</v>
      </c>
      <c r="K2793" t="s">
        <v>45</v>
      </c>
      <c r="L2793" t="s">
        <v>45</v>
      </c>
      <c r="M2793" t="s">
        <v>45</v>
      </c>
      <c r="N2793" t="s">
        <v>45</v>
      </c>
      <c r="O2793" t="s">
        <v>45</v>
      </c>
      <c r="P2793" t="s">
        <v>45</v>
      </c>
      <c r="R2793" t="s">
        <v>12870</v>
      </c>
      <c r="U2793" t="s">
        <v>12871</v>
      </c>
    </row>
    <row r="2794" spans="1:21" x14ac:dyDescent="0.25">
      <c r="A2794" t="s">
        <v>12872</v>
      </c>
      <c r="B2794" t="s">
        <v>22</v>
      </c>
      <c r="C2794" t="s">
        <v>12873</v>
      </c>
      <c r="D2794">
        <f t="shared" si="78"/>
        <v>-63869953</v>
      </c>
      <c r="E2794" t="s">
        <v>12874</v>
      </c>
      <c r="F2794" t="s">
        <v>12838</v>
      </c>
      <c r="G2794" t="s">
        <v>12839</v>
      </c>
      <c r="H2794">
        <v>10.520706725146701</v>
      </c>
      <c r="I2794">
        <v>59.890230535934101</v>
      </c>
      <c r="J2794">
        <v>100</v>
      </c>
      <c r="K2794" t="s">
        <v>536</v>
      </c>
      <c r="L2794" t="s">
        <v>536</v>
      </c>
      <c r="M2794" t="s">
        <v>536</v>
      </c>
      <c r="N2794" t="s">
        <v>536</v>
      </c>
      <c r="O2794" t="s">
        <v>536</v>
      </c>
      <c r="P2794" t="s">
        <v>165</v>
      </c>
      <c r="R2794" t="s">
        <v>12875</v>
      </c>
      <c r="U2794" t="s">
        <v>12876</v>
      </c>
    </row>
    <row r="2795" spans="1:21" x14ac:dyDescent="0.25">
      <c r="A2795" t="s">
        <v>12877</v>
      </c>
      <c r="B2795" t="s">
        <v>22</v>
      </c>
      <c r="C2795" t="s">
        <v>12878</v>
      </c>
      <c r="D2795">
        <f t="shared" si="78"/>
        <v>-63869953</v>
      </c>
      <c r="E2795" t="s">
        <v>12879</v>
      </c>
      <c r="F2795" t="s">
        <v>12838</v>
      </c>
      <c r="G2795" t="s">
        <v>12839</v>
      </c>
      <c r="H2795">
        <v>10.836427295489401</v>
      </c>
      <c r="I2795">
        <v>59.7163404027824</v>
      </c>
      <c r="J2795">
        <v>100</v>
      </c>
      <c r="K2795" t="s">
        <v>536</v>
      </c>
      <c r="L2795" t="s">
        <v>536</v>
      </c>
      <c r="M2795" t="s">
        <v>536</v>
      </c>
      <c r="N2795" t="s">
        <v>536</v>
      </c>
      <c r="O2795" t="s">
        <v>536</v>
      </c>
      <c r="P2795" t="s">
        <v>535</v>
      </c>
      <c r="R2795" t="s">
        <v>12880</v>
      </c>
      <c r="U2795" t="s">
        <v>12881</v>
      </c>
    </row>
    <row r="2796" spans="1:21" x14ac:dyDescent="0.25">
      <c r="A2796" t="s">
        <v>12882</v>
      </c>
      <c r="B2796" t="s">
        <v>22</v>
      </c>
      <c r="C2796" t="s">
        <v>12883</v>
      </c>
      <c r="D2796">
        <f t="shared" si="78"/>
        <v>-63869953</v>
      </c>
      <c r="E2796" t="s">
        <v>12884</v>
      </c>
      <c r="F2796" t="s">
        <v>12838</v>
      </c>
      <c r="G2796" t="s">
        <v>12839</v>
      </c>
      <c r="H2796">
        <v>10.393280982971101</v>
      </c>
      <c r="I2796">
        <v>63.429746877309803</v>
      </c>
      <c r="J2796">
        <v>100</v>
      </c>
      <c r="K2796" t="s">
        <v>192</v>
      </c>
      <c r="L2796" t="s">
        <v>192</v>
      </c>
      <c r="M2796" t="s">
        <v>192</v>
      </c>
      <c r="N2796" t="s">
        <v>192</v>
      </c>
      <c r="O2796" t="s">
        <v>192</v>
      </c>
      <c r="P2796" t="s">
        <v>166</v>
      </c>
      <c r="R2796" t="s">
        <v>12885</v>
      </c>
      <c r="U2796" t="s">
        <v>12886</v>
      </c>
    </row>
    <row r="2797" spans="1:21" x14ac:dyDescent="0.25">
      <c r="A2797" t="s">
        <v>12887</v>
      </c>
      <c r="B2797" t="s">
        <v>38</v>
      </c>
      <c r="C2797" t="s">
        <v>12888</v>
      </c>
      <c r="D2797">
        <f t="shared" si="78"/>
        <v>-63869953</v>
      </c>
      <c r="E2797" t="s">
        <v>12889</v>
      </c>
      <c r="F2797" t="s">
        <v>12838</v>
      </c>
      <c r="G2797" t="s">
        <v>12839</v>
      </c>
      <c r="H2797">
        <v>18.9709946754279</v>
      </c>
      <c r="I2797">
        <v>69.639653726271703</v>
      </c>
      <c r="J2797">
        <v>100</v>
      </c>
      <c r="K2797" t="s">
        <v>45</v>
      </c>
      <c r="L2797" t="s">
        <v>45</v>
      </c>
      <c r="M2797" t="s">
        <v>45</v>
      </c>
      <c r="N2797" t="s">
        <v>45</v>
      </c>
      <c r="O2797" t="s">
        <v>45</v>
      </c>
      <c r="P2797" t="s">
        <v>428</v>
      </c>
      <c r="R2797" t="s">
        <v>12890</v>
      </c>
      <c r="U2797" t="s">
        <v>12891</v>
      </c>
    </row>
    <row r="2798" spans="1:21" x14ac:dyDescent="0.25">
      <c r="A2798" t="s">
        <v>12892</v>
      </c>
      <c r="B2798" t="s">
        <v>22</v>
      </c>
      <c r="C2798" t="s">
        <v>12893</v>
      </c>
      <c r="D2798">
        <f t="shared" si="78"/>
        <v>-63869953</v>
      </c>
      <c r="E2798" t="s">
        <v>12884</v>
      </c>
      <c r="F2798" t="s">
        <v>12838</v>
      </c>
      <c r="G2798" t="s">
        <v>12839</v>
      </c>
      <c r="H2798">
        <v>10.3772735595703</v>
      </c>
      <c r="I2798">
        <v>63.361867017042499</v>
      </c>
      <c r="J2798">
        <v>100</v>
      </c>
      <c r="K2798" t="s">
        <v>312</v>
      </c>
      <c r="L2798" t="s">
        <v>312</v>
      </c>
      <c r="M2798" t="s">
        <v>312</v>
      </c>
      <c r="N2798" t="s">
        <v>312</v>
      </c>
      <c r="O2798" t="s">
        <v>312</v>
      </c>
      <c r="P2798" t="s">
        <v>192</v>
      </c>
      <c r="R2798" t="s">
        <v>12894</v>
      </c>
      <c r="U2798" t="s">
        <v>12895</v>
      </c>
    </row>
    <row r="2799" spans="1:21" x14ac:dyDescent="0.25">
      <c r="A2799" t="s">
        <v>12896</v>
      </c>
      <c r="B2799" t="s">
        <v>38</v>
      </c>
      <c r="C2799" t="s">
        <v>12897</v>
      </c>
      <c r="D2799">
        <f t="shared" si="78"/>
        <v>-63869953</v>
      </c>
      <c r="E2799" t="s">
        <v>12837</v>
      </c>
      <c r="F2799" t="s">
        <v>12838</v>
      </c>
      <c r="G2799" t="s">
        <v>12839</v>
      </c>
      <c r="H2799">
        <v>10.925403436949599</v>
      </c>
      <c r="I2799">
        <v>59.961378808580797</v>
      </c>
      <c r="J2799">
        <v>100</v>
      </c>
      <c r="K2799" t="s">
        <v>536</v>
      </c>
      <c r="L2799" t="s">
        <v>536</v>
      </c>
      <c r="M2799" t="s">
        <v>536</v>
      </c>
      <c r="N2799" t="s">
        <v>536</v>
      </c>
      <c r="O2799" t="s">
        <v>536</v>
      </c>
      <c r="P2799" t="s">
        <v>535</v>
      </c>
      <c r="R2799" t="s">
        <v>12898</v>
      </c>
      <c r="U2799" t="s">
        <v>12899</v>
      </c>
    </row>
    <row r="2800" spans="1:21" x14ac:dyDescent="0.25">
      <c r="A2800" t="s">
        <v>12900</v>
      </c>
      <c r="B2800" t="s">
        <v>22</v>
      </c>
      <c r="C2800" t="s">
        <v>12901</v>
      </c>
      <c r="D2800">
        <f t="shared" si="78"/>
        <v>-63869953</v>
      </c>
      <c r="E2800" t="s">
        <v>12902</v>
      </c>
      <c r="F2800" t="s">
        <v>12838</v>
      </c>
      <c r="G2800" t="s">
        <v>12839</v>
      </c>
      <c r="H2800">
        <v>5.7222207962877301</v>
      </c>
      <c r="I2800">
        <v>58.8760934292388</v>
      </c>
      <c r="J2800">
        <v>100</v>
      </c>
      <c r="K2800" t="s">
        <v>536</v>
      </c>
      <c r="L2800" t="s">
        <v>536</v>
      </c>
      <c r="M2800" t="s">
        <v>536</v>
      </c>
      <c r="N2800" t="s">
        <v>536</v>
      </c>
      <c r="O2800" t="s">
        <v>536</v>
      </c>
      <c r="P2800" t="s">
        <v>428</v>
      </c>
      <c r="R2800" t="s">
        <v>12903</v>
      </c>
      <c r="U2800" t="s">
        <v>12904</v>
      </c>
    </row>
    <row r="2801" spans="1:21" x14ac:dyDescent="0.25">
      <c r="A2801" t="s">
        <v>12905</v>
      </c>
      <c r="B2801" t="s">
        <v>22</v>
      </c>
      <c r="C2801" t="s">
        <v>12906</v>
      </c>
      <c r="D2801">
        <f t="shared" si="78"/>
        <v>-63869953</v>
      </c>
      <c r="E2801" t="s">
        <v>12907</v>
      </c>
      <c r="F2801" t="s">
        <v>12838</v>
      </c>
      <c r="G2801" t="s">
        <v>12839</v>
      </c>
      <c r="H2801">
        <v>11.107542514801001</v>
      </c>
      <c r="I2801">
        <v>59.283630033655101</v>
      </c>
      <c r="J2801">
        <v>100</v>
      </c>
      <c r="K2801" t="s">
        <v>192</v>
      </c>
      <c r="L2801" t="s">
        <v>192</v>
      </c>
      <c r="M2801" t="s">
        <v>192</v>
      </c>
      <c r="N2801" t="s">
        <v>192</v>
      </c>
      <c r="O2801" t="s">
        <v>192</v>
      </c>
      <c r="P2801" t="s">
        <v>166</v>
      </c>
      <c r="R2801" t="s">
        <v>12908</v>
      </c>
      <c r="U2801" t="s">
        <v>12909</v>
      </c>
    </row>
    <row r="2802" spans="1:21" x14ac:dyDescent="0.25">
      <c r="A2802" t="s">
        <v>12910</v>
      </c>
      <c r="B2802" t="s">
        <v>22</v>
      </c>
      <c r="C2802" t="s">
        <v>12911</v>
      </c>
      <c r="D2802">
        <f t="shared" si="78"/>
        <v>-63869953</v>
      </c>
      <c r="E2802" t="s">
        <v>12912</v>
      </c>
      <c r="F2802" t="s">
        <v>12838</v>
      </c>
      <c r="G2802" t="s">
        <v>12839</v>
      </c>
      <c r="H2802">
        <v>14.421111345454801</v>
      </c>
      <c r="I2802">
        <v>67.277915489455197</v>
      </c>
      <c r="J2802">
        <v>100</v>
      </c>
      <c r="K2802" t="s">
        <v>536</v>
      </c>
      <c r="L2802" t="s">
        <v>536</v>
      </c>
      <c r="M2802" t="s">
        <v>536</v>
      </c>
      <c r="N2802" t="s">
        <v>536</v>
      </c>
      <c r="O2802" t="s">
        <v>536</v>
      </c>
      <c r="P2802" t="s">
        <v>535</v>
      </c>
      <c r="R2802" t="s">
        <v>12913</v>
      </c>
      <c r="U2802" t="s">
        <v>12914</v>
      </c>
    </row>
    <row r="2803" spans="1:21" x14ac:dyDescent="0.25">
      <c r="A2803" t="s">
        <v>12915</v>
      </c>
      <c r="B2803" t="s">
        <v>38</v>
      </c>
      <c r="C2803" t="s">
        <v>12916</v>
      </c>
      <c r="D2803">
        <f t="shared" si="78"/>
        <v>-63869953</v>
      </c>
      <c r="E2803" t="s">
        <v>12917</v>
      </c>
      <c r="F2803" t="s">
        <v>12838</v>
      </c>
      <c r="G2803" t="s">
        <v>12839</v>
      </c>
      <c r="H2803">
        <v>10.0474047660827</v>
      </c>
      <c r="I2803">
        <v>59.0685258173527</v>
      </c>
      <c r="J2803">
        <v>100</v>
      </c>
      <c r="K2803" t="s">
        <v>45</v>
      </c>
      <c r="L2803" t="s">
        <v>45</v>
      </c>
      <c r="M2803" t="s">
        <v>45</v>
      </c>
      <c r="N2803" t="s">
        <v>45</v>
      </c>
      <c r="O2803" t="s">
        <v>45</v>
      </c>
      <c r="P2803" t="s">
        <v>166</v>
      </c>
      <c r="R2803" t="s">
        <v>12918</v>
      </c>
      <c r="U2803" t="s">
        <v>12919</v>
      </c>
    </row>
    <row r="2804" spans="1:21" x14ac:dyDescent="0.25">
      <c r="A2804" t="s">
        <v>12920</v>
      </c>
      <c r="B2804" t="s">
        <v>22</v>
      </c>
      <c r="C2804" t="s">
        <v>12921</v>
      </c>
      <c r="D2804">
        <f t="shared" si="78"/>
        <v>-63869953</v>
      </c>
      <c r="E2804" t="s">
        <v>12922</v>
      </c>
      <c r="F2804" t="s">
        <v>12838</v>
      </c>
      <c r="G2804" t="s">
        <v>12839</v>
      </c>
      <c r="H2804">
        <v>6.1600041389464204</v>
      </c>
      <c r="I2804">
        <v>62.472083219877597</v>
      </c>
      <c r="J2804">
        <v>100</v>
      </c>
      <c r="K2804" t="s">
        <v>45</v>
      </c>
      <c r="L2804" t="s">
        <v>45</v>
      </c>
      <c r="M2804" t="s">
        <v>45</v>
      </c>
      <c r="N2804" t="s">
        <v>45</v>
      </c>
      <c r="O2804" t="s">
        <v>45</v>
      </c>
      <c r="P2804" t="s">
        <v>428</v>
      </c>
      <c r="R2804" t="s">
        <v>12923</v>
      </c>
      <c r="U2804" t="s">
        <v>12924</v>
      </c>
    </row>
    <row r="2805" spans="1:21" x14ac:dyDescent="0.25">
      <c r="A2805" t="s">
        <v>12925</v>
      </c>
      <c r="B2805" t="s">
        <v>22</v>
      </c>
      <c r="C2805" t="s">
        <v>12926</v>
      </c>
      <c r="D2805">
        <f t="shared" si="78"/>
        <v>-63869953</v>
      </c>
      <c r="E2805" t="s">
        <v>12927</v>
      </c>
      <c r="F2805" t="s">
        <v>12838</v>
      </c>
      <c r="G2805" t="s">
        <v>12839</v>
      </c>
      <c r="H2805">
        <v>10.4100543848783</v>
      </c>
      <c r="I2805">
        <v>59.269378617879603</v>
      </c>
      <c r="J2805">
        <v>100</v>
      </c>
      <c r="K2805" t="s">
        <v>45</v>
      </c>
      <c r="L2805" t="s">
        <v>45</v>
      </c>
      <c r="M2805" t="s">
        <v>45</v>
      </c>
      <c r="N2805" t="s">
        <v>45</v>
      </c>
      <c r="O2805" t="s">
        <v>45</v>
      </c>
      <c r="P2805" t="s">
        <v>428</v>
      </c>
      <c r="R2805" t="s">
        <v>12928</v>
      </c>
      <c r="U2805" t="s">
        <v>12929</v>
      </c>
    </row>
    <row r="2806" spans="1:21" x14ac:dyDescent="0.25">
      <c r="A2806" t="s">
        <v>12930</v>
      </c>
      <c r="B2806" t="s">
        <v>22</v>
      </c>
      <c r="C2806" t="s">
        <v>12931</v>
      </c>
      <c r="D2806">
        <f t="shared" si="78"/>
        <v>-63869953</v>
      </c>
      <c r="E2806" t="s">
        <v>12932</v>
      </c>
      <c r="F2806" t="s">
        <v>12838</v>
      </c>
      <c r="G2806" t="s">
        <v>12839</v>
      </c>
      <c r="H2806">
        <v>8.1307840347290004</v>
      </c>
      <c r="I2806">
        <v>58.179641448891303</v>
      </c>
      <c r="J2806">
        <v>100</v>
      </c>
      <c r="K2806" t="s">
        <v>536</v>
      </c>
      <c r="L2806" t="s">
        <v>536</v>
      </c>
      <c r="M2806" t="s">
        <v>536</v>
      </c>
      <c r="N2806" t="s">
        <v>536</v>
      </c>
      <c r="O2806" t="s">
        <v>536</v>
      </c>
      <c r="P2806" t="s">
        <v>535</v>
      </c>
      <c r="R2806" t="s">
        <v>12933</v>
      </c>
      <c r="U2806" t="s">
        <v>12934</v>
      </c>
    </row>
    <row r="2807" spans="1:21" x14ac:dyDescent="0.25">
      <c r="A2807" t="s">
        <v>12935</v>
      </c>
      <c r="B2807" t="s">
        <v>38</v>
      </c>
      <c r="C2807" t="s">
        <v>12936</v>
      </c>
      <c r="D2807">
        <f t="shared" si="78"/>
        <v>-63869953</v>
      </c>
      <c r="E2807" t="s">
        <v>12937</v>
      </c>
      <c r="F2807" t="s">
        <v>12838</v>
      </c>
      <c r="G2807" t="s">
        <v>12839</v>
      </c>
      <c r="H2807">
        <v>5.2733463048934901</v>
      </c>
      <c r="I2807">
        <v>59.411179259251099</v>
      </c>
      <c r="J2807">
        <v>100</v>
      </c>
      <c r="K2807" t="s">
        <v>45</v>
      </c>
      <c r="L2807" t="s">
        <v>45</v>
      </c>
      <c r="M2807" t="s">
        <v>45</v>
      </c>
      <c r="N2807" t="s">
        <v>45</v>
      </c>
      <c r="O2807" t="s">
        <v>45</v>
      </c>
      <c r="P2807" t="s">
        <v>428</v>
      </c>
      <c r="R2807" t="s">
        <v>12938</v>
      </c>
      <c r="U2807" t="s">
        <v>12939</v>
      </c>
    </row>
    <row r="2808" spans="1:21" x14ac:dyDescent="0.25">
      <c r="A2808" t="s">
        <v>12940</v>
      </c>
      <c r="B2808" t="s">
        <v>22</v>
      </c>
      <c r="C2808" t="s">
        <v>5816</v>
      </c>
      <c r="D2808">
        <f t="shared" si="78"/>
        <v>-63869953</v>
      </c>
      <c r="E2808" t="s">
        <v>12941</v>
      </c>
      <c r="F2808" t="s">
        <v>12838</v>
      </c>
      <c r="G2808" t="s">
        <v>12839</v>
      </c>
      <c r="H2808">
        <v>5.3254496098088602</v>
      </c>
      <c r="I2808">
        <v>60.393005988465198</v>
      </c>
      <c r="J2808">
        <v>100</v>
      </c>
      <c r="K2808" t="s">
        <v>312</v>
      </c>
      <c r="L2808" t="s">
        <v>312</v>
      </c>
      <c r="M2808" t="s">
        <v>312</v>
      </c>
      <c r="N2808" t="s">
        <v>312</v>
      </c>
      <c r="O2808" t="s">
        <v>312</v>
      </c>
      <c r="P2808" t="s">
        <v>166</v>
      </c>
      <c r="R2808" t="s">
        <v>12942</v>
      </c>
      <c r="U2808" t="s">
        <v>12943</v>
      </c>
    </row>
    <row r="2809" spans="1:21" x14ac:dyDescent="0.25">
      <c r="A2809" t="s">
        <v>12944</v>
      </c>
      <c r="B2809" t="s">
        <v>38</v>
      </c>
      <c r="C2809" t="s">
        <v>12945</v>
      </c>
      <c r="D2809">
        <f t="shared" si="78"/>
        <v>-63869953</v>
      </c>
      <c r="E2809" t="s">
        <v>12946</v>
      </c>
      <c r="F2809" t="s">
        <v>12838</v>
      </c>
      <c r="G2809" t="s">
        <v>12839</v>
      </c>
      <c r="H2809">
        <v>10.7020944517985</v>
      </c>
      <c r="I2809">
        <v>59.446166547619903</v>
      </c>
      <c r="J2809">
        <v>100</v>
      </c>
      <c r="K2809" t="s">
        <v>536</v>
      </c>
      <c r="L2809" t="s">
        <v>536</v>
      </c>
      <c r="M2809" t="s">
        <v>536</v>
      </c>
      <c r="N2809" t="s">
        <v>536</v>
      </c>
      <c r="O2809" t="s">
        <v>536</v>
      </c>
      <c r="P2809" t="s">
        <v>428</v>
      </c>
      <c r="R2809" t="s">
        <v>12947</v>
      </c>
      <c r="U2809" t="s">
        <v>12948</v>
      </c>
    </row>
    <row r="2810" spans="1:21" x14ac:dyDescent="0.25">
      <c r="A2810" t="s">
        <v>12949</v>
      </c>
      <c r="B2810" t="s">
        <v>22</v>
      </c>
      <c r="C2810" t="s">
        <v>12950</v>
      </c>
      <c r="D2810">
        <f t="shared" si="78"/>
        <v>-63869953</v>
      </c>
      <c r="E2810" t="s">
        <v>12951</v>
      </c>
      <c r="F2810" t="s">
        <v>12838</v>
      </c>
      <c r="G2810" t="s">
        <v>12839</v>
      </c>
      <c r="H2810">
        <v>10.939753711272701</v>
      </c>
      <c r="I2810">
        <v>59.213834710732897</v>
      </c>
      <c r="J2810">
        <v>100</v>
      </c>
      <c r="K2810" t="s">
        <v>45</v>
      </c>
      <c r="L2810" t="s">
        <v>45</v>
      </c>
      <c r="M2810" t="s">
        <v>45</v>
      </c>
      <c r="N2810" t="s">
        <v>45</v>
      </c>
      <c r="O2810" t="s">
        <v>45</v>
      </c>
      <c r="P2810" t="s">
        <v>428</v>
      </c>
      <c r="R2810" t="s">
        <v>12952</v>
      </c>
      <c r="U2810" t="s">
        <v>12953</v>
      </c>
    </row>
    <row r="2811" spans="1:21" x14ac:dyDescent="0.25">
      <c r="A2811" t="s">
        <v>12954</v>
      </c>
      <c r="B2811" t="s">
        <v>38</v>
      </c>
      <c r="C2811" t="s">
        <v>12955</v>
      </c>
      <c r="D2811">
        <f t="shared" si="78"/>
        <v>-63869953</v>
      </c>
      <c r="E2811" t="s">
        <v>12956</v>
      </c>
      <c r="F2811" t="s">
        <v>12838</v>
      </c>
      <c r="G2811" t="s">
        <v>12839</v>
      </c>
      <c r="H2811">
        <v>10.2262651920318</v>
      </c>
      <c r="I2811">
        <v>59.130074534150701</v>
      </c>
      <c r="J2811">
        <v>100</v>
      </c>
      <c r="K2811" t="s">
        <v>45</v>
      </c>
      <c r="L2811" t="s">
        <v>45</v>
      </c>
      <c r="M2811" t="s">
        <v>45</v>
      </c>
      <c r="N2811" t="s">
        <v>45</v>
      </c>
      <c r="O2811" t="s">
        <v>45</v>
      </c>
      <c r="P2811" t="s">
        <v>428</v>
      </c>
      <c r="R2811" t="s">
        <v>12957</v>
      </c>
      <c r="U2811" t="s">
        <v>12958</v>
      </c>
    </row>
    <row r="2812" spans="1:21" x14ac:dyDescent="0.25">
      <c r="A2812" t="s">
        <v>12959</v>
      </c>
      <c r="B2812" t="s">
        <v>22</v>
      </c>
      <c r="C2812" t="s">
        <v>12960</v>
      </c>
      <c r="D2812">
        <f t="shared" si="78"/>
        <v>-63869953</v>
      </c>
      <c r="E2812" t="s">
        <v>12961</v>
      </c>
      <c r="F2812" t="s">
        <v>12838</v>
      </c>
      <c r="G2812" t="s">
        <v>12839</v>
      </c>
      <c r="H2812">
        <v>10.1586198806762</v>
      </c>
      <c r="I2812">
        <v>59.741996026954403</v>
      </c>
      <c r="J2812">
        <v>100</v>
      </c>
      <c r="K2812" t="s">
        <v>536</v>
      </c>
      <c r="L2812" t="s">
        <v>536</v>
      </c>
      <c r="M2812" t="s">
        <v>536</v>
      </c>
      <c r="N2812" t="s">
        <v>536</v>
      </c>
      <c r="O2812" t="s">
        <v>536</v>
      </c>
      <c r="P2812" t="s">
        <v>535</v>
      </c>
      <c r="R2812" t="s">
        <v>12962</v>
      </c>
      <c r="U2812" t="s">
        <v>12963</v>
      </c>
    </row>
    <row r="2813" spans="1:21" x14ac:dyDescent="0.25">
      <c r="A2813" t="s">
        <v>12964</v>
      </c>
      <c r="B2813" t="s">
        <v>38</v>
      </c>
      <c r="C2813" t="s">
        <v>12965</v>
      </c>
      <c r="D2813">
        <f t="shared" si="78"/>
        <v>-63869953</v>
      </c>
      <c r="E2813" t="s">
        <v>12966</v>
      </c>
      <c r="F2813" t="s">
        <v>12838</v>
      </c>
      <c r="G2813" t="s">
        <v>12839</v>
      </c>
      <c r="H2813">
        <v>7.1786212921142596</v>
      </c>
      <c r="I2813">
        <v>62.739181318086999</v>
      </c>
      <c r="J2813">
        <v>100</v>
      </c>
      <c r="K2813" t="s">
        <v>45</v>
      </c>
      <c r="L2813" t="s">
        <v>45</v>
      </c>
      <c r="M2813" t="s">
        <v>45</v>
      </c>
      <c r="N2813" t="s">
        <v>45</v>
      </c>
      <c r="O2813" t="s">
        <v>45</v>
      </c>
      <c r="P2813" t="s">
        <v>428</v>
      </c>
      <c r="R2813" t="s">
        <v>12967</v>
      </c>
      <c r="U2813" t="s">
        <v>12968</v>
      </c>
    </row>
    <row r="2814" spans="1:21" x14ac:dyDescent="0.25">
      <c r="A2814" t="s">
        <v>12969</v>
      </c>
      <c r="B2814" t="s">
        <v>38</v>
      </c>
      <c r="C2814" t="s">
        <v>12970</v>
      </c>
      <c r="D2814">
        <f t="shared" si="78"/>
        <v>-63869953</v>
      </c>
      <c r="E2814" t="s">
        <v>12951</v>
      </c>
      <c r="F2814" t="s">
        <v>12838</v>
      </c>
      <c r="G2814" t="s">
        <v>12839</v>
      </c>
      <c r="H2814">
        <v>10.9936130046844</v>
      </c>
      <c r="I2814">
        <v>59.252127016658299</v>
      </c>
      <c r="J2814">
        <v>100</v>
      </c>
      <c r="K2814" t="s">
        <v>45</v>
      </c>
      <c r="L2814" t="s">
        <v>45</v>
      </c>
      <c r="M2814" t="s">
        <v>45</v>
      </c>
      <c r="N2814" t="s">
        <v>45</v>
      </c>
      <c r="O2814" t="s">
        <v>45</v>
      </c>
      <c r="P2814" t="s">
        <v>428</v>
      </c>
      <c r="R2814" t="s">
        <v>12971</v>
      </c>
      <c r="U2814" t="s">
        <v>12972</v>
      </c>
    </row>
    <row r="2815" spans="1:21" x14ac:dyDescent="0.25">
      <c r="A2815" t="s">
        <v>12973</v>
      </c>
      <c r="B2815" t="s">
        <v>38</v>
      </c>
      <c r="C2815" t="s">
        <v>12974</v>
      </c>
      <c r="D2815">
        <f t="shared" si="78"/>
        <v>-63869953</v>
      </c>
      <c r="E2815" t="s">
        <v>12975</v>
      </c>
      <c r="F2815" t="s">
        <v>12838</v>
      </c>
      <c r="G2815" t="s">
        <v>12839</v>
      </c>
      <c r="H2815">
        <v>10.3046125173568</v>
      </c>
      <c r="I2815">
        <v>59.810910722589199</v>
      </c>
      <c r="J2815">
        <v>100</v>
      </c>
      <c r="K2815" t="s">
        <v>536</v>
      </c>
      <c r="L2815" t="s">
        <v>536</v>
      </c>
      <c r="M2815" t="s">
        <v>536</v>
      </c>
      <c r="N2815" t="s">
        <v>536</v>
      </c>
      <c r="O2815" t="s">
        <v>536</v>
      </c>
      <c r="P2815" t="s">
        <v>428</v>
      </c>
      <c r="R2815" t="s">
        <v>12976</v>
      </c>
      <c r="U2815" t="s">
        <v>12977</v>
      </c>
    </row>
    <row r="2816" spans="1:21" x14ac:dyDescent="0.25">
      <c r="A2816" t="s">
        <v>12978</v>
      </c>
      <c r="B2816" t="s">
        <v>22</v>
      </c>
      <c r="C2816" t="s">
        <v>12979</v>
      </c>
      <c r="D2816">
        <f t="shared" si="78"/>
        <v>-63869953</v>
      </c>
      <c r="E2816" t="s">
        <v>12941</v>
      </c>
      <c r="F2816" t="s">
        <v>12838</v>
      </c>
      <c r="G2816" t="s">
        <v>12839</v>
      </c>
      <c r="H2816">
        <v>5.2341163158416801</v>
      </c>
      <c r="I2816">
        <v>60.361914606682099</v>
      </c>
      <c r="J2816">
        <v>100</v>
      </c>
      <c r="K2816" t="s">
        <v>536</v>
      </c>
      <c r="L2816" t="s">
        <v>536</v>
      </c>
      <c r="M2816" t="s">
        <v>536</v>
      </c>
      <c r="N2816" t="s">
        <v>536</v>
      </c>
      <c r="O2816" t="s">
        <v>536</v>
      </c>
      <c r="P2816" t="s">
        <v>428</v>
      </c>
      <c r="R2816" t="s">
        <v>12980</v>
      </c>
      <c r="U2816" t="s">
        <v>12981</v>
      </c>
    </row>
    <row r="2817" spans="1:21" x14ac:dyDescent="0.25">
      <c r="A2817" t="s">
        <v>12982</v>
      </c>
      <c r="B2817" t="s">
        <v>22</v>
      </c>
      <c r="C2817" t="s">
        <v>12983</v>
      </c>
      <c r="D2817">
        <f t="shared" si="78"/>
        <v>-63869953</v>
      </c>
      <c r="E2817" t="s">
        <v>12922</v>
      </c>
      <c r="F2817" t="s">
        <v>12838</v>
      </c>
      <c r="G2817" t="s">
        <v>12839</v>
      </c>
      <c r="H2817">
        <v>6.3528764247894296</v>
      </c>
      <c r="I2817">
        <v>62.465261802074103</v>
      </c>
      <c r="J2817">
        <v>100</v>
      </c>
      <c r="K2817" t="s">
        <v>45</v>
      </c>
      <c r="L2817" t="s">
        <v>45</v>
      </c>
      <c r="M2817" t="s">
        <v>45</v>
      </c>
      <c r="N2817" t="s">
        <v>45</v>
      </c>
      <c r="O2817" t="s">
        <v>45</v>
      </c>
      <c r="P2817" t="s">
        <v>428</v>
      </c>
      <c r="R2817" t="s">
        <v>12984</v>
      </c>
      <c r="U2817" t="s">
        <v>12985</v>
      </c>
    </row>
    <row r="2818" spans="1:21" x14ac:dyDescent="0.25">
      <c r="A2818" t="s">
        <v>12986</v>
      </c>
      <c r="B2818" t="s">
        <v>38</v>
      </c>
      <c r="C2818" t="s">
        <v>12987</v>
      </c>
      <c r="D2818">
        <f t="shared" ref="D2818:D2849" si="79">47-63870000</f>
        <v>-63869953</v>
      </c>
      <c r="E2818" t="s">
        <v>12988</v>
      </c>
      <c r="F2818" t="s">
        <v>12838</v>
      </c>
      <c r="G2818" t="s">
        <v>12839</v>
      </c>
      <c r="H2818">
        <v>9.9997955560684204</v>
      </c>
      <c r="I2818">
        <v>59.756003266198398</v>
      </c>
      <c r="J2818">
        <v>100</v>
      </c>
      <c r="K2818" t="s">
        <v>45</v>
      </c>
      <c r="L2818" t="s">
        <v>45</v>
      </c>
      <c r="M2818" t="s">
        <v>45</v>
      </c>
      <c r="N2818" t="s">
        <v>45</v>
      </c>
      <c r="O2818" t="s">
        <v>45</v>
      </c>
      <c r="P2818" t="s">
        <v>428</v>
      </c>
      <c r="R2818" t="s">
        <v>12989</v>
      </c>
      <c r="U2818" t="s">
        <v>12990</v>
      </c>
    </row>
    <row r="2819" spans="1:21" x14ac:dyDescent="0.25">
      <c r="A2819" t="s">
        <v>12991</v>
      </c>
      <c r="B2819" t="s">
        <v>22</v>
      </c>
      <c r="C2819" t="s">
        <v>12992</v>
      </c>
      <c r="D2819">
        <f t="shared" si="79"/>
        <v>-63869953</v>
      </c>
      <c r="E2819" t="s">
        <v>12937</v>
      </c>
      <c r="F2819" t="s">
        <v>12838</v>
      </c>
      <c r="G2819" t="s">
        <v>12839</v>
      </c>
      <c r="H2819">
        <v>5.3330147266387904</v>
      </c>
      <c r="I2819">
        <v>59.394204163248403</v>
      </c>
      <c r="J2819">
        <v>100</v>
      </c>
      <c r="K2819" t="s">
        <v>45</v>
      </c>
      <c r="L2819" t="s">
        <v>45</v>
      </c>
      <c r="M2819" t="s">
        <v>45</v>
      </c>
      <c r="N2819" t="s">
        <v>45</v>
      </c>
      <c r="O2819" t="s">
        <v>45</v>
      </c>
      <c r="P2819" t="s">
        <v>428</v>
      </c>
      <c r="R2819" t="s">
        <v>12993</v>
      </c>
      <c r="U2819" t="s">
        <v>12994</v>
      </c>
    </row>
    <row r="2820" spans="1:21" x14ac:dyDescent="0.25">
      <c r="A2820" t="s">
        <v>12995</v>
      </c>
      <c r="B2820" t="s">
        <v>38</v>
      </c>
      <c r="C2820" t="s">
        <v>12996</v>
      </c>
      <c r="D2820">
        <f t="shared" si="79"/>
        <v>-63869953</v>
      </c>
      <c r="E2820" t="s">
        <v>12997</v>
      </c>
      <c r="F2820" t="s">
        <v>12838</v>
      </c>
      <c r="G2820" t="s">
        <v>12839</v>
      </c>
      <c r="H2820">
        <v>5.8505308628082302</v>
      </c>
      <c r="I2820">
        <v>61.452608757471502</v>
      </c>
      <c r="J2820">
        <v>100</v>
      </c>
      <c r="K2820" t="s">
        <v>45</v>
      </c>
      <c r="L2820" t="s">
        <v>45</v>
      </c>
      <c r="M2820" t="s">
        <v>45</v>
      </c>
      <c r="N2820" t="s">
        <v>45</v>
      </c>
      <c r="O2820" t="s">
        <v>45</v>
      </c>
      <c r="P2820" t="s">
        <v>428</v>
      </c>
      <c r="R2820" t="s">
        <v>12998</v>
      </c>
      <c r="U2820" t="s">
        <v>12999</v>
      </c>
    </row>
    <row r="2821" spans="1:21" x14ac:dyDescent="0.25">
      <c r="A2821" t="s">
        <v>13000</v>
      </c>
      <c r="B2821" t="s">
        <v>38</v>
      </c>
      <c r="C2821" t="s">
        <v>13001</v>
      </c>
      <c r="D2821">
        <f t="shared" si="79"/>
        <v>-63869953</v>
      </c>
      <c r="E2821" t="s">
        <v>12889</v>
      </c>
      <c r="F2821" t="s">
        <v>12838</v>
      </c>
      <c r="G2821" t="s">
        <v>12839</v>
      </c>
      <c r="H2821">
        <v>18.954843878746001</v>
      </c>
      <c r="I2821">
        <v>69.646873624743193</v>
      </c>
      <c r="J2821">
        <v>100</v>
      </c>
      <c r="K2821" t="s">
        <v>192</v>
      </c>
      <c r="L2821" t="s">
        <v>192</v>
      </c>
      <c r="M2821" t="s">
        <v>192</v>
      </c>
      <c r="N2821" t="s">
        <v>192</v>
      </c>
      <c r="O2821" t="s">
        <v>192</v>
      </c>
      <c r="P2821" t="s">
        <v>428</v>
      </c>
      <c r="R2821" t="s">
        <v>13002</v>
      </c>
      <c r="U2821" t="s">
        <v>13003</v>
      </c>
    </row>
    <row r="2822" spans="1:21" x14ac:dyDescent="0.25">
      <c r="A2822" t="s">
        <v>13004</v>
      </c>
      <c r="B2822" t="s">
        <v>38</v>
      </c>
      <c r="C2822" t="s">
        <v>13005</v>
      </c>
      <c r="D2822">
        <f t="shared" si="79"/>
        <v>-63869953</v>
      </c>
      <c r="E2822" t="s">
        <v>13006</v>
      </c>
      <c r="F2822" t="s">
        <v>12838</v>
      </c>
      <c r="G2822" t="s">
        <v>12839</v>
      </c>
      <c r="H2822">
        <v>17.423490285873399</v>
      </c>
      <c r="I2822">
        <v>68.438329128654004</v>
      </c>
      <c r="J2822">
        <v>100</v>
      </c>
      <c r="K2822" t="s">
        <v>45</v>
      </c>
      <c r="L2822" t="s">
        <v>45</v>
      </c>
      <c r="M2822" t="s">
        <v>45</v>
      </c>
      <c r="N2822" t="s">
        <v>45</v>
      </c>
      <c r="O2822" t="s">
        <v>45</v>
      </c>
      <c r="P2822" t="s">
        <v>428</v>
      </c>
      <c r="R2822" t="s">
        <v>13007</v>
      </c>
      <c r="U2822" t="s">
        <v>13008</v>
      </c>
    </row>
    <row r="2823" spans="1:21" x14ac:dyDescent="0.25">
      <c r="A2823" t="s">
        <v>13009</v>
      </c>
      <c r="B2823" t="s">
        <v>38</v>
      </c>
      <c r="C2823" t="s">
        <v>13010</v>
      </c>
      <c r="D2823">
        <f t="shared" si="79"/>
        <v>-63869953</v>
      </c>
      <c r="E2823" t="s">
        <v>13011</v>
      </c>
      <c r="F2823" t="s">
        <v>12838</v>
      </c>
      <c r="G2823" t="s">
        <v>12839</v>
      </c>
      <c r="H2823">
        <v>5.3063258350812301</v>
      </c>
      <c r="I2823">
        <v>59.378066790043398</v>
      </c>
      <c r="J2823">
        <v>100</v>
      </c>
      <c r="K2823" t="s">
        <v>45</v>
      </c>
      <c r="L2823" t="s">
        <v>45</v>
      </c>
      <c r="M2823" t="s">
        <v>45</v>
      </c>
      <c r="N2823" t="s">
        <v>45</v>
      </c>
      <c r="O2823" t="s">
        <v>45</v>
      </c>
      <c r="P2823" t="s">
        <v>428</v>
      </c>
      <c r="R2823" t="s">
        <v>13012</v>
      </c>
      <c r="U2823" t="s">
        <v>13013</v>
      </c>
    </row>
    <row r="2824" spans="1:21" x14ac:dyDescent="0.25">
      <c r="A2824" t="s">
        <v>13014</v>
      </c>
      <c r="B2824" t="s">
        <v>22</v>
      </c>
      <c r="C2824" t="s">
        <v>13015</v>
      </c>
      <c r="D2824">
        <f t="shared" si="79"/>
        <v>-63869953</v>
      </c>
      <c r="E2824" t="s">
        <v>13016</v>
      </c>
      <c r="F2824" t="s">
        <v>12838</v>
      </c>
      <c r="G2824" t="s">
        <v>12839</v>
      </c>
      <c r="H2824">
        <v>10.6928461790084</v>
      </c>
      <c r="I2824">
        <v>60.799211180835002</v>
      </c>
      <c r="J2824">
        <v>100</v>
      </c>
      <c r="K2824" t="s">
        <v>536</v>
      </c>
      <c r="L2824" t="s">
        <v>536</v>
      </c>
      <c r="M2824" t="s">
        <v>536</v>
      </c>
      <c r="N2824" t="s">
        <v>536</v>
      </c>
      <c r="O2824" t="s">
        <v>536</v>
      </c>
      <c r="P2824" t="s">
        <v>428</v>
      </c>
      <c r="R2824" t="s">
        <v>13017</v>
      </c>
      <c r="U2824" t="s">
        <v>13018</v>
      </c>
    </row>
    <row r="2825" spans="1:21" x14ac:dyDescent="0.25">
      <c r="A2825" t="s">
        <v>13019</v>
      </c>
      <c r="B2825" t="s">
        <v>38</v>
      </c>
      <c r="C2825" t="s">
        <v>13020</v>
      </c>
      <c r="D2825">
        <f t="shared" si="79"/>
        <v>-63869953</v>
      </c>
      <c r="E2825" t="s">
        <v>13021</v>
      </c>
      <c r="F2825" t="s">
        <v>12838</v>
      </c>
      <c r="G2825" t="s">
        <v>12839</v>
      </c>
      <c r="H2825">
        <v>11.4918708801269</v>
      </c>
      <c r="I2825">
        <v>64.011073822948802</v>
      </c>
      <c r="J2825">
        <v>100</v>
      </c>
      <c r="K2825" t="s">
        <v>45</v>
      </c>
      <c r="L2825" t="s">
        <v>45</v>
      </c>
      <c r="M2825" t="s">
        <v>45</v>
      </c>
      <c r="N2825" t="s">
        <v>45</v>
      </c>
      <c r="O2825" t="s">
        <v>45</v>
      </c>
      <c r="P2825" t="s">
        <v>428</v>
      </c>
      <c r="R2825" t="s">
        <v>13022</v>
      </c>
      <c r="U2825" t="s">
        <v>13023</v>
      </c>
    </row>
    <row r="2826" spans="1:21" x14ac:dyDescent="0.25">
      <c r="A2826" t="s">
        <v>13024</v>
      </c>
      <c r="B2826" t="s">
        <v>22</v>
      </c>
      <c r="C2826" t="s">
        <v>13025</v>
      </c>
      <c r="D2826">
        <f t="shared" si="79"/>
        <v>-63869953</v>
      </c>
      <c r="E2826" t="s">
        <v>13026</v>
      </c>
      <c r="F2826" t="s">
        <v>12838</v>
      </c>
      <c r="G2826" t="s">
        <v>12839</v>
      </c>
      <c r="H2826">
        <v>10.453233718871999</v>
      </c>
      <c r="I2826">
        <v>61.114598464318703</v>
      </c>
      <c r="J2826">
        <v>100</v>
      </c>
      <c r="K2826" t="s">
        <v>192</v>
      </c>
      <c r="L2826" t="s">
        <v>192</v>
      </c>
      <c r="M2826" t="s">
        <v>192</v>
      </c>
      <c r="N2826" t="s">
        <v>192</v>
      </c>
      <c r="O2826" t="s">
        <v>192</v>
      </c>
      <c r="P2826" t="s">
        <v>166</v>
      </c>
      <c r="R2826" t="s">
        <v>13027</v>
      </c>
      <c r="U2826" t="s">
        <v>13028</v>
      </c>
    </row>
    <row r="2827" spans="1:21" x14ac:dyDescent="0.25">
      <c r="A2827" t="s">
        <v>13029</v>
      </c>
      <c r="B2827" t="s">
        <v>38</v>
      </c>
      <c r="C2827" t="s">
        <v>13030</v>
      </c>
      <c r="D2827">
        <f t="shared" si="79"/>
        <v>-63869953</v>
      </c>
      <c r="E2827" t="s">
        <v>13031</v>
      </c>
      <c r="F2827" t="s">
        <v>12838</v>
      </c>
      <c r="G2827" t="s">
        <v>12839</v>
      </c>
      <c r="H2827">
        <v>11.9952352526161</v>
      </c>
      <c r="I2827">
        <v>60.191496789585401</v>
      </c>
      <c r="J2827">
        <v>100</v>
      </c>
      <c r="K2827" t="s">
        <v>192</v>
      </c>
      <c r="L2827" t="s">
        <v>192</v>
      </c>
      <c r="M2827" t="s">
        <v>192</v>
      </c>
      <c r="N2827" t="s">
        <v>192</v>
      </c>
      <c r="O2827" t="s">
        <v>192</v>
      </c>
      <c r="P2827" t="s">
        <v>166</v>
      </c>
      <c r="R2827" t="s">
        <v>13032</v>
      </c>
      <c r="U2827" t="s">
        <v>13033</v>
      </c>
    </row>
    <row r="2828" spans="1:21" x14ac:dyDescent="0.25">
      <c r="A2828" t="s">
        <v>13034</v>
      </c>
      <c r="B2828" t="s">
        <v>38</v>
      </c>
      <c r="C2828" t="s">
        <v>13035</v>
      </c>
      <c r="D2828">
        <f t="shared" si="79"/>
        <v>-63869953</v>
      </c>
      <c r="E2828" t="s">
        <v>13036</v>
      </c>
      <c r="F2828" t="s">
        <v>12838</v>
      </c>
      <c r="G2828" t="s">
        <v>12839</v>
      </c>
      <c r="H2828">
        <v>10.433686798905899</v>
      </c>
      <c r="I2828">
        <v>59.8361976369426</v>
      </c>
      <c r="J2828">
        <v>100</v>
      </c>
      <c r="K2828" t="s">
        <v>536</v>
      </c>
      <c r="L2828" t="s">
        <v>536</v>
      </c>
      <c r="M2828" t="s">
        <v>536</v>
      </c>
      <c r="N2828" t="s">
        <v>536</v>
      </c>
      <c r="O2828" t="s">
        <v>536</v>
      </c>
      <c r="P2828" t="s">
        <v>165</v>
      </c>
      <c r="R2828" t="s">
        <v>13037</v>
      </c>
      <c r="U2828" t="s">
        <v>13038</v>
      </c>
    </row>
    <row r="2829" spans="1:21" x14ac:dyDescent="0.25">
      <c r="A2829" t="s">
        <v>13039</v>
      </c>
      <c r="B2829" t="s">
        <v>38</v>
      </c>
      <c r="C2829" t="s">
        <v>13040</v>
      </c>
      <c r="D2829">
        <f t="shared" si="79"/>
        <v>-63869953</v>
      </c>
      <c r="E2829" t="s">
        <v>12912</v>
      </c>
      <c r="F2829" t="s">
        <v>12838</v>
      </c>
      <c r="G2829" t="s">
        <v>12839</v>
      </c>
      <c r="H2829">
        <v>14.379688543140199</v>
      </c>
      <c r="I2829">
        <v>67.283983584123305</v>
      </c>
      <c r="J2829">
        <v>100</v>
      </c>
      <c r="K2829" t="s">
        <v>45</v>
      </c>
      <c r="L2829" t="s">
        <v>45</v>
      </c>
      <c r="M2829" t="s">
        <v>45</v>
      </c>
      <c r="N2829" t="s">
        <v>45</v>
      </c>
      <c r="O2829" t="s">
        <v>45</v>
      </c>
      <c r="P2829" t="s">
        <v>428</v>
      </c>
      <c r="R2829" t="s">
        <v>13041</v>
      </c>
      <c r="U2829" t="s">
        <v>13042</v>
      </c>
    </row>
    <row r="2830" spans="1:21" x14ac:dyDescent="0.25">
      <c r="A2830" t="s">
        <v>13043</v>
      </c>
      <c r="B2830" t="s">
        <v>22</v>
      </c>
      <c r="C2830" t="s">
        <v>13044</v>
      </c>
      <c r="D2830">
        <f t="shared" si="79"/>
        <v>-63869953</v>
      </c>
      <c r="E2830" t="s">
        <v>13045</v>
      </c>
      <c r="F2830" t="s">
        <v>12838</v>
      </c>
      <c r="G2830" t="s">
        <v>12839</v>
      </c>
      <c r="H2830">
        <v>5.7350331723591799</v>
      </c>
      <c r="I2830">
        <v>58.970499269279202</v>
      </c>
      <c r="J2830">
        <v>100</v>
      </c>
      <c r="K2830" t="s">
        <v>45</v>
      </c>
      <c r="L2830" t="s">
        <v>45</v>
      </c>
      <c r="M2830" t="s">
        <v>45</v>
      </c>
      <c r="N2830" t="s">
        <v>45</v>
      </c>
      <c r="O2830" t="s">
        <v>45</v>
      </c>
      <c r="P2830" t="s">
        <v>428</v>
      </c>
      <c r="R2830" t="s">
        <v>13046</v>
      </c>
      <c r="U2830" t="s">
        <v>13047</v>
      </c>
    </row>
    <row r="2831" spans="1:21" x14ac:dyDescent="0.25">
      <c r="A2831" t="s">
        <v>13048</v>
      </c>
      <c r="B2831" t="s">
        <v>22</v>
      </c>
      <c r="C2831" t="s">
        <v>13049</v>
      </c>
      <c r="D2831">
        <f t="shared" si="79"/>
        <v>-63869953</v>
      </c>
      <c r="E2831" t="s">
        <v>12941</v>
      </c>
      <c r="F2831" t="s">
        <v>12838</v>
      </c>
      <c r="G2831" t="s">
        <v>12839</v>
      </c>
      <c r="H2831">
        <v>5.3301214812745501</v>
      </c>
      <c r="I2831">
        <v>60.296867465383002</v>
      </c>
      <c r="J2831">
        <v>100</v>
      </c>
      <c r="K2831" t="s">
        <v>536</v>
      </c>
      <c r="L2831" t="s">
        <v>536</v>
      </c>
      <c r="M2831" t="s">
        <v>536</v>
      </c>
      <c r="N2831" t="s">
        <v>536</v>
      </c>
      <c r="O2831" t="s">
        <v>536</v>
      </c>
      <c r="P2831" t="s">
        <v>428</v>
      </c>
      <c r="R2831" t="s">
        <v>13050</v>
      </c>
      <c r="U2831" t="s">
        <v>13051</v>
      </c>
    </row>
    <row r="2832" spans="1:21" x14ac:dyDescent="0.25">
      <c r="A2832" t="s">
        <v>13052</v>
      </c>
      <c r="B2832" t="s">
        <v>38</v>
      </c>
      <c r="C2832" t="s">
        <v>13053</v>
      </c>
      <c r="D2832">
        <f t="shared" si="79"/>
        <v>-63869953</v>
      </c>
      <c r="E2832" t="s">
        <v>13054</v>
      </c>
      <c r="F2832" t="s">
        <v>12838</v>
      </c>
      <c r="G2832" t="s">
        <v>12839</v>
      </c>
      <c r="H2832">
        <v>11.4904010295867</v>
      </c>
      <c r="I2832">
        <v>64.4676566509156</v>
      </c>
      <c r="J2832">
        <v>100</v>
      </c>
      <c r="K2832" t="s">
        <v>45</v>
      </c>
      <c r="L2832" t="s">
        <v>45</v>
      </c>
      <c r="M2832" t="s">
        <v>45</v>
      </c>
      <c r="N2832" t="s">
        <v>45</v>
      </c>
      <c r="O2832" t="s">
        <v>45</v>
      </c>
      <c r="P2832" t="s">
        <v>428</v>
      </c>
      <c r="R2832" t="s">
        <v>13055</v>
      </c>
      <c r="U2832" t="s">
        <v>13056</v>
      </c>
    </row>
    <row r="2833" spans="1:21" x14ac:dyDescent="0.25">
      <c r="A2833" t="s">
        <v>13057</v>
      </c>
      <c r="B2833" t="s">
        <v>38</v>
      </c>
      <c r="C2833" t="s">
        <v>13058</v>
      </c>
      <c r="D2833">
        <f t="shared" si="79"/>
        <v>-63869953</v>
      </c>
      <c r="E2833" t="s">
        <v>12941</v>
      </c>
      <c r="F2833" t="s">
        <v>12838</v>
      </c>
      <c r="G2833" t="s">
        <v>12839</v>
      </c>
      <c r="H2833">
        <v>5.12588199379024</v>
      </c>
      <c r="I2833">
        <v>60.358331311619501</v>
      </c>
      <c r="J2833">
        <v>100</v>
      </c>
      <c r="K2833" t="s">
        <v>536</v>
      </c>
      <c r="L2833" t="s">
        <v>536</v>
      </c>
      <c r="M2833" t="s">
        <v>536</v>
      </c>
      <c r="N2833" t="s">
        <v>536</v>
      </c>
      <c r="O2833" t="s">
        <v>536</v>
      </c>
      <c r="P2833" t="s">
        <v>428</v>
      </c>
      <c r="R2833" t="s">
        <v>13059</v>
      </c>
      <c r="U2833" t="s">
        <v>13060</v>
      </c>
    </row>
    <row r="2834" spans="1:21" x14ac:dyDescent="0.25">
      <c r="A2834" t="s">
        <v>13061</v>
      </c>
      <c r="B2834" t="s">
        <v>38</v>
      </c>
      <c r="C2834" t="s">
        <v>13062</v>
      </c>
      <c r="D2834">
        <f t="shared" si="79"/>
        <v>-63869953</v>
      </c>
      <c r="E2834" t="s">
        <v>13063</v>
      </c>
      <c r="F2834" t="s">
        <v>12838</v>
      </c>
      <c r="G2834" t="s">
        <v>12839</v>
      </c>
      <c r="H2834">
        <v>15.4162303789291</v>
      </c>
      <c r="I2834">
        <v>68.694133754490295</v>
      </c>
      <c r="J2834">
        <v>100</v>
      </c>
      <c r="K2834" t="s">
        <v>535</v>
      </c>
      <c r="L2834" t="s">
        <v>535</v>
      </c>
      <c r="M2834" t="s">
        <v>535</v>
      </c>
      <c r="N2834" t="s">
        <v>535</v>
      </c>
      <c r="O2834" t="s">
        <v>535</v>
      </c>
      <c r="P2834" t="s">
        <v>553</v>
      </c>
      <c r="R2834" t="s">
        <v>13064</v>
      </c>
      <c r="U2834" t="s">
        <v>13065</v>
      </c>
    </row>
    <row r="2835" spans="1:21" x14ac:dyDescent="0.25">
      <c r="A2835" t="s">
        <v>13066</v>
      </c>
      <c r="B2835" t="s">
        <v>22</v>
      </c>
      <c r="C2835" t="s">
        <v>13067</v>
      </c>
      <c r="D2835">
        <f t="shared" si="79"/>
        <v>-63869953</v>
      </c>
      <c r="E2835" t="s">
        <v>13068</v>
      </c>
      <c r="F2835" t="s">
        <v>12838</v>
      </c>
      <c r="G2835" t="s">
        <v>12839</v>
      </c>
      <c r="H2835">
        <v>11.1716204881668</v>
      </c>
      <c r="I2835">
        <v>60.143229979313702</v>
      </c>
      <c r="J2835">
        <v>100</v>
      </c>
      <c r="K2835" t="s">
        <v>536</v>
      </c>
      <c r="L2835" t="s">
        <v>536</v>
      </c>
      <c r="M2835" t="s">
        <v>536</v>
      </c>
      <c r="N2835" t="s">
        <v>536</v>
      </c>
      <c r="O2835" t="s">
        <v>536</v>
      </c>
      <c r="P2835" t="s">
        <v>535</v>
      </c>
      <c r="R2835" t="s">
        <v>13069</v>
      </c>
      <c r="U2835" t="s">
        <v>13070</v>
      </c>
    </row>
    <row r="2836" spans="1:21" x14ac:dyDescent="0.25">
      <c r="A2836" t="s">
        <v>13071</v>
      </c>
      <c r="B2836" t="s">
        <v>38</v>
      </c>
      <c r="C2836" t="s">
        <v>13072</v>
      </c>
      <c r="D2836">
        <f t="shared" si="79"/>
        <v>-63869953</v>
      </c>
      <c r="E2836" t="s">
        <v>12884</v>
      </c>
      <c r="F2836" t="s">
        <v>12838</v>
      </c>
      <c r="G2836" t="s">
        <v>12839</v>
      </c>
      <c r="H2836">
        <v>10.413221383278101</v>
      </c>
      <c r="I2836">
        <v>63.435271090849298</v>
      </c>
      <c r="J2836">
        <v>100</v>
      </c>
      <c r="K2836" t="s">
        <v>312</v>
      </c>
      <c r="L2836" t="s">
        <v>312</v>
      </c>
      <c r="M2836" t="s">
        <v>312</v>
      </c>
      <c r="N2836" t="s">
        <v>312</v>
      </c>
      <c r="O2836" t="s">
        <v>312</v>
      </c>
      <c r="P2836" t="s">
        <v>166</v>
      </c>
      <c r="R2836" t="s">
        <v>13073</v>
      </c>
      <c r="U2836" t="s">
        <v>13074</v>
      </c>
    </row>
    <row r="2837" spans="1:21" x14ac:dyDescent="0.25">
      <c r="A2837" t="s">
        <v>13075</v>
      </c>
      <c r="B2837" t="s">
        <v>22</v>
      </c>
      <c r="C2837" t="s">
        <v>13076</v>
      </c>
      <c r="D2837">
        <f t="shared" si="79"/>
        <v>-63869953</v>
      </c>
      <c r="E2837" t="s">
        <v>12837</v>
      </c>
      <c r="F2837" t="s">
        <v>12838</v>
      </c>
      <c r="G2837" t="s">
        <v>12839</v>
      </c>
      <c r="H2837">
        <v>10.635495185851999</v>
      </c>
      <c r="I2837">
        <v>59.917774138827802</v>
      </c>
      <c r="J2837">
        <v>100</v>
      </c>
      <c r="K2837" t="s">
        <v>536</v>
      </c>
      <c r="L2837" t="s">
        <v>536</v>
      </c>
      <c r="M2837" t="s">
        <v>536</v>
      </c>
      <c r="N2837" t="s">
        <v>536</v>
      </c>
      <c r="O2837" t="s">
        <v>536</v>
      </c>
      <c r="P2837" t="s">
        <v>165</v>
      </c>
      <c r="R2837" t="s">
        <v>13077</v>
      </c>
      <c r="U2837" t="s">
        <v>13078</v>
      </c>
    </row>
    <row r="2838" spans="1:21" x14ac:dyDescent="0.25">
      <c r="A2838" t="s">
        <v>13079</v>
      </c>
      <c r="B2838" t="s">
        <v>22</v>
      </c>
      <c r="C2838" t="s">
        <v>13080</v>
      </c>
      <c r="D2838">
        <f t="shared" si="79"/>
        <v>-63869953</v>
      </c>
      <c r="E2838" t="s">
        <v>12884</v>
      </c>
      <c r="F2838" t="s">
        <v>12838</v>
      </c>
      <c r="G2838" t="s">
        <v>12839</v>
      </c>
      <c r="H2838">
        <v>10.446753501891999</v>
      </c>
      <c r="I2838">
        <v>63.444053780893199</v>
      </c>
      <c r="J2838">
        <v>100</v>
      </c>
      <c r="K2838" t="s">
        <v>312</v>
      </c>
      <c r="L2838" t="s">
        <v>312</v>
      </c>
      <c r="M2838" t="s">
        <v>312</v>
      </c>
      <c r="N2838" t="s">
        <v>312</v>
      </c>
      <c r="O2838" t="s">
        <v>312</v>
      </c>
      <c r="P2838" t="s">
        <v>192</v>
      </c>
      <c r="R2838" t="s">
        <v>13081</v>
      </c>
      <c r="U2838" t="s">
        <v>13082</v>
      </c>
    </row>
    <row r="2839" spans="1:21" x14ac:dyDescent="0.25">
      <c r="A2839" t="s">
        <v>13083</v>
      </c>
      <c r="B2839" t="s">
        <v>38</v>
      </c>
      <c r="C2839" t="s">
        <v>13084</v>
      </c>
      <c r="D2839">
        <f t="shared" si="79"/>
        <v>-63869953</v>
      </c>
      <c r="E2839" t="s">
        <v>13085</v>
      </c>
      <c r="F2839" t="s">
        <v>12838</v>
      </c>
      <c r="G2839" t="s">
        <v>12839</v>
      </c>
      <c r="H2839">
        <v>11.5670961141586</v>
      </c>
      <c r="I2839">
        <v>60.878950416061699</v>
      </c>
      <c r="J2839">
        <v>100</v>
      </c>
      <c r="K2839" t="s">
        <v>45</v>
      </c>
      <c r="L2839" t="s">
        <v>45</v>
      </c>
      <c r="M2839" t="s">
        <v>45</v>
      </c>
      <c r="N2839" t="s">
        <v>45</v>
      </c>
      <c r="O2839" t="s">
        <v>45</v>
      </c>
      <c r="P2839" t="s">
        <v>428</v>
      </c>
      <c r="R2839" t="s">
        <v>13086</v>
      </c>
      <c r="U2839" t="s">
        <v>13087</v>
      </c>
    </row>
    <row r="2840" spans="1:21" x14ac:dyDescent="0.25">
      <c r="A2840" t="s">
        <v>13088</v>
      </c>
      <c r="B2840" t="s">
        <v>38</v>
      </c>
      <c r="C2840" t="s">
        <v>13089</v>
      </c>
      <c r="D2840">
        <f t="shared" si="79"/>
        <v>-63869953</v>
      </c>
      <c r="E2840" t="s">
        <v>13090</v>
      </c>
      <c r="F2840" t="s">
        <v>12838</v>
      </c>
      <c r="G2840" t="s">
        <v>12839</v>
      </c>
      <c r="H2840">
        <v>10.2542410314459</v>
      </c>
      <c r="I2840">
        <v>60.165254240725098</v>
      </c>
      <c r="J2840">
        <v>100</v>
      </c>
      <c r="K2840" t="s">
        <v>45</v>
      </c>
      <c r="L2840" t="s">
        <v>45</v>
      </c>
      <c r="M2840" t="s">
        <v>45</v>
      </c>
      <c r="N2840" t="s">
        <v>45</v>
      </c>
      <c r="O2840" t="s">
        <v>45</v>
      </c>
      <c r="P2840" t="s">
        <v>428</v>
      </c>
      <c r="R2840" t="s">
        <v>13091</v>
      </c>
      <c r="U2840" t="s">
        <v>13092</v>
      </c>
    </row>
    <row r="2841" spans="1:21" x14ac:dyDescent="0.25">
      <c r="A2841" t="s">
        <v>13093</v>
      </c>
      <c r="B2841" t="s">
        <v>38</v>
      </c>
      <c r="C2841" t="s">
        <v>13094</v>
      </c>
      <c r="D2841">
        <f t="shared" si="79"/>
        <v>-63869953</v>
      </c>
      <c r="E2841" t="s">
        <v>13095</v>
      </c>
      <c r="F2841" t="s">
        <v>12838</v>
      </c>
      <c r="G2841" t="s">
        <v>12839</v>
      </c>
      <c r="H2841">
        <v>7.7326257537838501</v>
      </c>
      <c r="I2841">
        <v>63.110405588293801</v>
      </c>
      <c r="J2841">
        <v>100</v>
      </c>
      <c r="K2841" t="s">
        <v>45</v>
      </c>
      <c r="L2841" t="s">
        <v>45</v>
      </c>
      <c r="M2841" t="s">
        <v>45</v>
      </c>
      <c r="N2841" t="s">
        <v>45</v>
      </c>
      <c r="O2841" t="s">
        <v>45</v>
      </c>
      <c r="P2841" t="s">
        <v>428</v>
      </c>
      <c r="R2841" t="s">
        <v>13096</v>
      </c>
      <c r="U2841" t="s">
        <v>13097</v>
      </c>
    </row>
    <row r="2842" spans="1:21" x14ac:dyDescent="0.25">
      <c r="A2842" t="s">
        <v>13098</v>
      </c>
      <c r="B2842" t="s">
        <v>22</v>
      </c>
      <c r="C2842" t="s">
        <v>13099</v>
      </c>
      <c r="D2842">
        <f t="shared" si="79"/>
        <v>-63869953</v>
      </c>
      <c r="E2842" t="s">
        <v>13100</v>
      </c>
      <c r="F2842" t="s">
        <v>12838</v>
      </c>
      <c r="G2842" t="s">
        <v>12839</v>
      </c>
      <c r="H2842">
        <v>9.6420049667358398</v>
      </c>
      <c r="I2842">
        <v>59.137952468722403</v>
      </c>
      <c r="J2842">
        <v>100</v>
      </c>
      <c r="K2842" t="s">
        <v>192</v>
      </c>
      <c r="L2842" t="s">
        <v>192</v>
      </c>
      <c r="M2842" t="s">
        <v>192</v>
      </c>
      <c r="N2842" t="s">
        <v>192</v>
      </c>
      <c r="O2842" t="s">
        <v>192</v>
      </c>
      <c r="P2842" t="s">
        <v>166</v>
      </c>
      <c r="R2842" t="s">
        <v>13101</v>
      </c>
      <c r="U2842" t="s">
        <v>13102</v>
      </c>
    </row>
    <row r="2843" spans="1:21" x14ac:dyDescent="0.25">
      <c r="A2843" t="s">
        <v>13103</v>
      </c>
      <c r="B2843" t="s">
        <v>22</v>
      </c>
      <c r="C2843" t="s">
        <v>13104</v>
      </c>
      <c r="D2843">
        <f t="shared" si="79"/>
        <v>-63869953</v>
      </c>
      <c r="E2843" t="s">
        <v>13105</v>
      </c>
      <c r="F2843" t="s">
        <v>12838</v>
      </c>
      <c r="G2843" t="s">
        <v>12839</v>
      </c>
      <c r="H2843">
        <v>8.7636324763297999</v>
      </c>
      <c r="I2843">
        <v>58.459842533361702</v>
      </c>
      <c r="J2843">
        <v>100</v>
      </c>
      <c r="K2843" t="s">
        <v>192</v>
      </c>
      <c r="L2843" t="s">
        <v>192</v>
      </c>
      <c r="M2843" t="s">
        <v>192</v>
      </c>
      <c r="N2843" t="s">
        <v>192</v>
      </c>
      <c r="O2843" t="s">
        <v>192</v>
      </c>
      <c r="P2843" t="s">
        <v>166</v>
      </c>
      <c r="R2843" t="s">
        <v>13106</v>
      </c>
      <c r="U2843" t="s">
        <v>13107</v>
      </c>
    </row>
    <row r="2844" spans="1:21" x14ac:dyDescent="0.25">
      <c r="A2844" t="s">
        <v>13108</v>
      </c>
      <c r="B2844" t="s">
        <v>38</v>
      </c>
      <c r="C2844" t="s">
        <v>13109</v>
      </c>
      <c r="D2844">
        <f t="shared" si="79"/>
        <v>-63869953</v>
      </c>
      <c r="E2844" t="s">
        <v>13045</v>
      </c>
      <c r="F2844" t="s">
        <v>12838</v>
      </c>
      <c r="G2844" t="s">
        <v>12839</v>
      </c>
      <c r="H2844">
        <v>5.7396268844604501</v>
      </c>
      <c r="I2844">
        <v>58.947819553530302</v>
      </c>
      <c r="J2844">
        <v>100</v>
      </c>
      <c r="K2844" t="s">
        <v>45</v>
      </c>
      <c r="L2844" t="s">
        <v>45</v>
      </c>
      <c r="M2844" t="s">
        <v>45</v>
      </c>
      <c r="N2844" t="s">
        <v>45</v>
      </c>
      <c r="O2844" t="s">
        <v>45</v>
      </c>
      <c r="P2844" t="s">
        <v>428</v>
      </c>
      <c r="R2844" t="s">
        <v>13110</v>
      </c>
      <c r="U2844" t="s">
        <v>13111</v>
      </c>
    </row>
    <row r="2845" spans="1:21" x14ac:dyDescent="0.25">
      <c r="A2845" t="s">
        <v>13112</v>
      </c>
      <c r="B2845" t="s">
        <v>22</v>
      </c>
      <c r="C2845" t="s">
        <v>13113</v>
      </c>
      <c r="D2845">
        <f t="shared" si="79"/>
        <v>-63869953</v>
      </c>
      <c r="E2845" t="s">
        <v>12946</v>
      </c>
      <c r="F2845" t="s">
        <v>12838</v>
      </c>
      <c r="G2845" t="s">
        <v>12839</v>
      </c>
      <c r="H2845">
        <v>10.6649780273437</v>
      </c>
      <c r="I2845">
        <v>59.436194568915802</v>
      </c>
      <c r="J2845">
        <v>100</v>
      </c>
      <c r="K2845" t="s">
        <v>192</v>
      </c>
      <c r="L2845" t="s">
        <v>192</v>
      </c>
      <c r="M2845" t="s">
        <v>192</v>
      </c>
      <c r="N2845" t="s">
        <v>192</v>
      </c>
      <c r="O2845" t="s">
        <v>192</v>
      </c>
      <c r="P2845" t="s">
        <v>166</v>
      </c>
      <c r="R2845" t="s">
        <v>13114</v>
      </c>
      <c r="U2845" t="s">
        <v>13115</v>
      </c>
    </row>
    <row r="2846" spans="1:21" x14ac:dyDescent="0.25">
      <c r="A2846" t="s">
        <v>13116</v>
      </c>
      <c r="B2846" t="s">
        <v>38</v>
      </c>
      <c r="C2846" t="s">
        <v>13117</v>
      </c>
      <c r="D2846">
        <f t="shared" si="79"/>
        <v>-63869953</v>
      </c>
      <c r="E2846" t="s">
        <v>13118</v>
      </c>
      <c r="F2846" t="s">
        <v>12838</v>
      </c>
      <c r="G2846" t="s">
        <v>12839</v>
      </c>
      <c r="H2846">
        <v>9.65152325041959</v>
      </c>
      <c r="I2846">
        <v>59.670219320537299</v>
      </c>
      <c r="J2846">
        <v>100</v>
      </c>
      <c r="K2846" t="s">
        <v>45</v>
      </c>
      <c r="L2846" t="s">
        <v>45</v>
      </c>
      <c r="M2846" t="s">
        <v>45</v>
      </c>
      <c r="N2846" t="s">
        <v>45</v>
      </c>
      <c r="O2846" t="s">
        <v>45</v>
      </c>
      <c r="P2846" t="s">
        <v>428</v>
      </c>
      <c r="R2846" t="s">
        <v>13119</v>
      </c>
      <c r="U2846" t="s">
        <v>13120</v>
      </c>
    </row>
    <row r="2847" spans="1:21" x14ac:dyDescent="0.25">
      <c r="A2847" t="s">
        <v>13121</v>
      </c>
      <c r="B2847" t="s">
        <v>38</v>
      </c>
      <c r="C2847" t="s">
        <v>13122</v>
      </c>
      <c r="D2847">
        <f t="shared" si="79"/>
        <v>-63869953</v>
      </c>
      <c r="E2847" t="s">
        <v>13045</v>
      </c>
      <c r="F2847" t="s">
        <v>12838</v>
      </c>
      <c r="G2847" t="s">
        <v>12839</v>
      </c>
      <c r="H2847">
        <v>5.6913117170824998</v>
      </c>
      <c r="I2847">
        <v>58.984204341641998</v>
      </c>
      <c r="J2847">
        <v>100</v>
      </c>
      <c r="K2847" t="s">
        <v>45</v>
      </c>
      <c r="L2847" t="s">
        <v>45</v>
      </c>
      <c r="M2847" t="s">
        <v>45</v>
      </c>
      <c r="N2847" t="s">
        <v>45</v>
      </c>
      <c r="O2847" t="s">
        <v>45</v>
      </c>
      <c r="P2847" t="s">
        <v>428</v>
      </c>
      <c r="R2847" t="s">
        <v>13123</v>
      </c>
      <c r="U2847" t="s">
        <v>13124</v>
      </c>
    </row>
    <row r="2848" spans="1:21" x14ac:dyDescent="0.25">
      <c r="A2848" t="s">
        <v>13125</v>
      </c>
      <c r="B2848" t="s">
        <v>22</v>
      </c>
      <c r="C2848" t="s">
        <v>13126</v>
      </c>
      <c r="D2848">
        <f t="shared" si="79"/>
        <v>-63869953</v>
      </c>
      <c r="E2848" t="s">
        <v>13127</v>
      </c>
      <c r="F2848" t="s">
        <v>12838</v>
      </c>
      <c r="G2848" t="s">
        <v>12839</v>
      </c>
      <c r="H2848">
        <v>9.6023879348740593</v>
      </c>
      <c r="I2848">
        <v>59.1967281241972</v>
      </c>
      <c r="J2848">
        <v>100</v>
      </c>
      <c r="K2848" t="s">
        <v>192</v>
      </c>
      <c r="L2848" t="s">
        <v>192</v>
      </c>
      <c r="M2848" t="s">
        <v>192</v>
      </c>
      <c r="N2848" t="s">
        <v>192</v>
      </c>
      <c r="O2848" t="s">
        <v>192</v>
      </c>
      <c r="P2848" t="s">
        <v>166</v>
      </c>
      <c r="R2848" t="s">
        <v>13128</v>
      </c>
      <c r="U2848" t="s">
        <v>13129</v>
      </c>
    </row>
    <row r="2849" spans="1:21" x14ac:dyDescent="0.25">
      <c r="A2849" t="s">
        <v>13130</v>
      </c>
      <c r="B2849" t="s">
        <v>38</v>
      </c>
      <c r="C2849" t="s">
        <v>13131</v>
      </c>
      <c r="D2849">
        <f t="shared" si="79"/>
        <v>-63869953</v>
      </c>
      <c r="E2849" t="s">
        <v>12941</v>
      </c>
      <c r="F2849" t="s">
        <v>12838</v>
      </c>
      <c r="G2849" t="s">
        <v>12839</v>
      </c>
      <c r="H2849">
        <v>5.3229315519365601</v>
      </c>
      <c r="I2849">
        <v>60.4657866333242</v>
      </c>
      <c r="J2849">
        <v>100</v>
      </c>
      <c r="K2849" t="s">
        <v>536</v>
      </c>
      <c r="L2849" t="s">
        <v>536</v>
      </c>
      <c r="M2849" t="s">
        <v>536</v>
      </c>
      <c r="N2849" t="s">
        <v>536</v>
      </c>
      <c r="O2849" t="s">
        <v>536</v>
      </c>
      <c r="P2849" t="s">
        <v>428</v>
      </c>
      <c r="R2849" t="s">
        <v>13132</v>
      </c>
      <c r="U2849" t="s">
        <v>13133</v>
      </c>
    </row>
    <row r="2850" spans="1:21" x14ac:dyDescent="0.25">
      <c r="A2850" t="s">
        <v>13134</v>
      </c>
      <c r="B2850" t="s">
        <v>38</v>
      </c>
      <c r="C2850" t="s">
        <v>13135</v>
      </c>
      <c r="D2850">
        <f t="shared" ref="D2850:D2881" si="80">47-63870000</f>
        <v>-63869953</v>
      </c>
      <c r="E2850" t="s">
        <v>13136</v>
      </c>
      <c r="F2850" t="s">
        <v>12838</v>
      </c>
      <c r="G2850" t="s">
        <v>12839</v>
      </c>
      <c r="H2850">
        <v>23.272175788879299</v>
      </c>
      <c r="I2850">
        <v>69.965269550663294</v>
      </c>
      <c r="J2850">
        <v>100</v>
      </c>
      <c r="K2850" t="s">
        <v>45</v>
      </c>
      <c r="L2850" t="s">
        <v>45</v>
      </c>
      <c r="M2850" t="s">
        <v>45</v>
      </c>
      <c r="N2850" t="s">
        <v>45</v>
      </c>
      <c r="O2850" t="s">
        <v>45</v>
      </c>
      <c r="P2850" t="s">
        <v>428</v>
      </c>
      <c r="R2850" t="s">
        <v>13137</v>
      </c>
      <c r="U2850" t="s">
        <v>13138</v>
      </c>
    </row>
    <row r="2851" spans="1:21" x14ac:dyDescent="0.25">
      <c r="A2851" t="s">
        <v>13139</v>
      </c>
      <c r="B2851" t="s">
        <v>38</v>
      </c>
      <c r="C2851" t="s">
        <v>13140</v>
      </c>
      <c r="D2851">
        <f t="shared" si="80"/>
        <v>-63869953</v>
      </c>
      <c r="E2851" t="s">
        <v>13141</v>
      </c>
      <c r="F2851" t="s">
        <v>12838</v>
      </c>
      <c r="G2851" t="s">
        <v>12839</v>
      </c>
      <c r="H2851">
        <v>5.6403435229731302</v>
      </c>
      <c r="I2851">
        <v>58.735796407684198</v>
      </c>
      <c r="J2851">
        <v>100</v>
      </c>
      <c r="K2851" t="s">
        <v>45</v>
      </c>
      <c r="L2851" t="s">
        <v>45</v>
      </c>
      <c r="M2851" t="s">
        <v>45</v>
      </c>
      <c r="N2851" t="s">
        <v>45</v>
      </c>
      <c r="O2851" t="s">
        <v>45</v>
      </c>
      <c r="P2851" t="s">
        <v>428</v>
      </c>
      <c r="R2851" t="s">
        <v>13142</v>
      </c>
      <c r="U2851" t="s">
        <v>13143</v>
      </c>
    </row>
    <row r="2852" spans="1:21" x14ac:dyDescent="0.25">
      <c r="A2852" t="s">
        <v>13144</v>
      </c>
      <c r="B2852" t="s">
        <v>22</v>
      </c>
      <c r="C2852" t="s">
        <v>13145</v>
      </c>
      <c r="D2852">
        <f t="shared" si="80"/>
        <v>-63869953</v>
      </c>
      <c r="E2852" t="s">
        <v>12932</v>
      </c>
      <c r="F2852" t="s">
        <v>12838</v>
      </c>
      <c r="G2852" t="s">
        <v>12839</v>
      </c>
      <c r="H2852">
        <v>7.9961264133453396</v>
      </c>
      <c r="I2852">
        <v>58.145131997816897</v>
      </c>
      <c r="J2852">
        <v>100</v>
      </c>
      <c r="K2852" t="s">
        <v>192</v>
      </c>
      <c r="L2852" t="s">
        <v>192</v>
      </c>
      <c r="M2852" t="s">
        <v>192</v>
      </c>
      <c r="N2852" t="s">
        <v>192</v>
      </c>
      <c r="O2852" t="s">
        <v>192</v>
      </c>
      <c r="P2852" t="s">
        <v>428</v>
      </c>
      <c r="R2852" t="s">
        <v>13146</v>
      </c>
      <c r="U2852" t="s">
        <v>13147</v>
      </c>
    </row>
    <row r="2853" spans="1:21" x14ac:dyDescent="0.25">
      <c r="A2853" t="s">
        <v>13148</v>
      </c>
      <c r="B2853" t="s">
        <v>38</v>
      </c>
      <c r="C2853" t="s">
        <v>13010</v>
      </c>
      <c r="D2853">
        <f t="shared" si="80"/>
        <v>-63869953</v>
      </c>
      <c r="E2853" t="s">
        <v>12941</v>
      </c>
      <c r="F2853" t="s">
        <v>12838</v>
      </c>
      <c r="G2853" t="s">
        <v>12839</v>
      </c>
      <c r="H2853">
        <v>5.29217272996903</v>
      </c>
      <c r="I2853">
        <v>60.349077782689399</v>
      </c>
      <c r="J2853">
        <v>100</v>
      </c>
      <c r="K2853" t="s">
        <v>536</v>
      </c>
      <c r="L2853" t="s">
        <v>536</v>
      </c>
      <c r="M2853" t="s">
        <v>536</v>
      </c>
      <c r="N2853" t="s">
        <v>536</v>
      </c>
      <c r="O2853" t="s">
        <v>536</v>
      </c>
      <c r="P2853" t="s">
        <v>428</v>
      </c>
      <c r="R2853" t="s">
        <v>13149</v>
      </c>
      <c r="U2853" t="s">
        <v>13150</v>
      </c>
    </row>
    <row r="2854" spans="1:21" x14ac:dyDescent="0.25">
      <c r="A2854" t="s">
        <v>13151</v>
      </c>
      <c r="B2854" t="s">
        <v>38</v>
      </c>
      <c r="C2854" t="s">
        <v>13152</v>
      </c>
      <c r="D2854">
        <f t="shared" si="80"/>
        <v>-63869953</v>
      </c>
      <c r="E2854" t="s">
        <v>13153</v>
      </c>
      <c r="F2854" t="s">
        <v>12838</v>
      </c>
      <c r="G2854" t="s">
        <v>12839</v>
      </c>
      <c r="H2854">
        <v>11.281746625900199</v>
      </c>
      <c r="I2854">
        <v>63.733125433943101</v>
      </c>
      <c r="J2854">
        <v>100</v>
      </c>
      <c r="K2854" t="s">
        <v>45</v>
      </c>
      <c r="L2854" t="s">
        <v>45</v>
      </c>
      <c r="M2854" t="s">
        <v>45</v>
      </c>
      <c r="N2854" t="s">
        <v>45</v>
      </c>
      <c r="O2854" t="s">
        <v>45</v>
      </c>
      <c r="P2854" t="s">
        <v>428</v>
      </c>
      <c r="R2854" t="s">
        <v>13154</v>
      </c>
      <c r="U2854" t="s">
        <v>13155</v>
      </c>
    </row>
    <row r="2855" spans="1:21" x14ac:dyDescent="0.25">
      <c r="A2855" t="s">
        <v>13156</v>
      </c>
      <c r="B2855" t="s">
        <v>38</v>
      </c>
      <c r="C2855" t="s">
        <v>13157</v>
      </c>
      <c r="D2855">
        <f t="shared" si="80"/>
        <v>-63869953</v>
      </c>
      <c r="E2855" t="s">
        <v>13158</v>
      </c>
      <c r="F2855" t="s">
        <v>12838</v>
      </c>
      <c r="G2855" t="s">
        <v>12839</v>
      </c>
      <c r="H2855">
        <v>7.1030044555664098</v>
      </c>
      <c r="I2855">
        <v>61.232439268443599</v>
      </c>
      <c r="J2855">
        <v>100</v>
      </c>
      <c r="K2855" t="s">
        <v>535</v>
      </c>
      <c r="L2855" t="s">
        <v>535</v>
      </c>
      <c r="M2855" t="s">
        <v>535</v>
      </c>
      <c r="N2855" t="s">
        <v>535</v>
      </c>
      <c r="O2855" t="s">
        <v>535</v>
      </c>
      <c r="P2855" t="s">
        <v>428</v>
      </c>
      <c r="R2855" t="s">
        <v>13159</v>
      </c>
      <c r="U2855" t="s">
        <v>13160</v>
      </c>
    </row>
    <row r="2856" spans="1:21" x14ac:dyDescent="0.25">
      <c r="A2856" t="s">
        <v>13161</v>
      </c>
      <c r="B2856" t="s">
        <v>22</v>
      </c>
      <c r="C2856" t="s">
        <v>13162</v>
      </c>
      <c r="D2856">
        <f t="shared" si="80"/>
        <v>-63869953</v>
      </c>
      <c r="E2856" t="s">
        <v>12961</v>
      </c>
      <c r="F2856" t="s">
        <v>12838</v>
      </c>
      <c r="G2856" t="s">
        <v>12839</v>
      </c>
      <c r="H2856">
        <v>10.204968452453601</v>
      </c>
      <c r="I2856">
        <v>59.743650284149901</v>
      </c>
      <c r="J2856">
        <v>100</v>
      </c>
      <c r="K2856" t="s">
        <v>45</v>
      </c>
      <c r="L2856" t="s">
        <v>45</v>
      </c>
      <c r="M2856" t="s">
        <v>45</v>
      </c>
      <c r="N2856" t="s">
        <v>45</v>
      </c>
      <c r="O2856" t="s">
        <v>45</v>
      </c>
      <c r="P2856" t="s">
        <v>428</v>
      </c>
      <c r="R2856" t="s">
        <v>13163</v>
      </c>
      <c r="U2856" t="s">
        <v>13164</v>
      </c>
    </row>
    <row r="2857" spans="1:21" x14ac:dyDescent="0.25">
      <c r="A2857" t="s">
        <v>13165</v>
      </c>
      <c r="B2857" t="s">
        <v>22</v>
      </c>
      <c r="C2857" t="s">
        <v>13166</v>
      </c>
      <c r="D2857">
        <f t="shared" si="80"/>
        <v>-63869953</v>
      </c>
      <c r="E2857" t="s">
        <v>12837</v>
      </c>
      <c r="F2857" t="s">
        <v>12838</v>
      </c>
      <c r="G2857" t="s">
        <v>12839</v>
      </c>
      <c r="H2857">
        <v>10.7240792960419</v>
      </c>
      <c r="I2857">
        <v>59.924820443877202</v>
      </c>
      <c r="J2857">
        <v>100</v>
      </c>
      <c r="K2857" t="s">
        <v>45</v>
      </c>
      <c r="L2857" t="s">
        <v>45</v>
      </c>
      <c r="M2857" t="s">
        <v>45</v>
      </c>
      <c r="N2857" t="s">
        <v>45</v>
      </c>
      <c r="O2857" t="s">
        <v>45</v>
      </c>
      <c r="P2857" t="s">
        <v>535</v>
      </c>
      <c r="R2857" t="s">
        <v>13167</v>
      </c>
      <c r="U2857" t="s">
        <v>13168</v>
      </c>
    </row>
    <row r="2858" spans="1:21" x14ac:dyDescent="0.25">
      <c r="A2858" t="s">
        <v>13169</v>
      </c>
      <c r="B2858" t="s">
        <v>38</v>
      </c>
      <c r="C2858" t="s">
        <v>13170</v>
      </c>
      <c r="D2858">
        <f t="shared" si="80"/>
        <v>-63869953</v>
      </c>
      <c r="E2858" t="s">
        <v>12837</v>
      </c>
      <c r="F2858" t="s">
        <v>12838</v>
      </c>
      <c r="G2858" t="s">
        <v>12839</v>
      </c>
      <c r="H2858">
        <v>10.810729909080599</v>
      </c>
      <c r="I2858">
        <v>59.873889307738999</v>
      </c>
      <c r="J2858">
        <v>100</v>
      </c>
      <c r="K2858" t="s">
        <v>536</v>
      </c>
      <c r="L2858" t="s">
        <v>536</v>
      </c>
      <c r="M2858" t="s">
        <v>536</v>
      </c>
      <c r="N2858" t="s">
        <v>536</v>
      </c>
      <c r="O2858" t="s">
        <v>536</v>
      </c>
      <c r="P2858" t="s">
        <v>165</v>
      </c>
      <c r="R2858" t="s">
        <v>13171</v>
      </c>
      <c r="U2858" t="s">
        <v>13172</v>
      </c>
    </row>
    <row r="2859" spans="1:21" x14ac:dyDescent="0.25">
      <c r="A2859" t="s">
        <v>13173</v>
      </c>
      <c r="B2859" t="s">
        <v>38</v>
      </c>
      <c r="C2859" t="s">
        <v>13174</v>
      </c>
      <c r="D2859">
        <f t="shared" si="80"/>
        <v>-63869953</v>
      </c>
      <c r="E2859" t="s">
        <v>12837</v>
      </c>
      <c r="F2859" t="s">
        <v>12838</v>
      </c>
      <c r="G2859" t="s">
        <v>12839</v>
      </c>
      <c r="H2859">
        <v>10.735244768929901</v>
      </c>
      <c r="I2859">
        <v>59.950203144177003</v>
      </c>
      <c r="J2859">
        <v>100</v>
      </c>
      <c r="K2859" t="s">
        <v>165</v>
      </c>
      <c r="L2859" t="s">
        <v>165</v>
      </c>
      <c r="M2859" t="s">
        <v>165</v>
      </c>
      <c r="N2859" t="s">
        <v>165</v>
      </c>
      <c r="O2859" t="s">
        <v>165</v>
      </c>
      <c r="P2859" t="s">
        <v>166</v>
      </c>
      <c r="R2859" t="s">
        <v>13175</v>
      </c>
      <c r="U2859" t="s">
        <v>13176</v>
      </c>
    </row>
    <row r="2860" spans="1:21" x14ac:dyDescent="0.25">
      <c r="A2860" t="s">
        <v>13177</v>
      </c>
      <c r="B2860" t="s">
        <v>38</v>
      </c>
      <c r="C2860" t="s">
        <v>13178</v>
      </c>
      <c r="D2860">
        <f t="shared" si="80"/>
        <v>-63869953</v>
      </c>
      <c r="E2860" t="s">
        <v>13179</v>
      </c>
      <c r="F2860" t="s">
        <v>12838</v>
      </c>
      <c r="G2860" t="s">
        <v>12839</v>
      </c>
      <c r="H2860">
        <v>14.131207466125399</v>
      </c>
      <c r="I2860">
        <v>66.305741111422293</v>
      </c>
      <c r="J2860">
        <v>100</v>
      </c>
      <c r="K2860" t="s">
        <v>45</v>
      </c>
      <c r="L2860" t="s">
        <v>45</v>
      </c>
      <c r="M2860" t="s">
        <v>45</v>
      </c>
      <c r="N2860" t="s">
        <v>45</v>
      </c>
      <c r="O2860" t="s">
        <v>45</v>
      </c>
      <c r="P2860" t="s">
        <v>428</v>
      </c>
      <c r="R2860" t="s">
        <v>13180</v>
      </c>
      <c r="U2860" t="s">
        <v>13181</v>
      </c>
    </row>
    <row r="2861" spans="1:21" x14ac:dyDescent="0.25">
      <c r="A2861" t="s">
        <v>13182</v>
      </c>
      <c r="B2861" t="s">
        <v>22</v>
      </c>
      <c r="C2861" t="s">
        <v>13183</v>
      </c>
      <c r="D2861">
        <f t="shared" si="80"/>
        <v>-63869953</v>
      </c>
      <c r="E2861" t="s">
        <v>12889</v>
      </c>
      <c r="F2861" t="s">
        <v>12838</v>
      </c>
      <c r="G2861" t="s">
        <v>12839</v>
      </c>
      <c r="H2861">
        <v>18.9218100419336</v>
      </c>
      <c r="I2861">
        <v>69.674606040828806</v>
      </c>
      <c r="J2861">
        <v>100</v>
      </c>
      <c r="K2861" t="s">
        <v>536</v>
      </c>
      <c r="L2861" t="s">
        <v>536</v>
      </c>
      <c r="M2861" t="s">
        <v>536</v>
      </c>
      <c r="N2861" t="s">
        <v>536</v>
      </c>
      <c r="O2861" t="s">
        <v>536</v>
      </c>
      <c r="P2861" t="s">
        <v>428</v>
      </c>
      <c r="R2861" t="s">
        <v>13184</v>
      </c>
      <c r="U2861" t="s">
        <v>13185</v>
      </c>
    </row>
    <row r="2862" spans="1:21" x14ac:dyDescent="0.25">
      <c r="A2862" t="s">
        <v>13186</v>
      </c>
      <c r="B2862" t="s">
        <v>38</v>
      </c>
      <c r="C2862" t="s">
        <v>13187</v>
      </c>
      <c r="D2862">
        <f t="shared" si="80"/>
        <v>-63869953</v>
      </c>
      <c r="E2862" t="s">
        <v>13188</v>
      </c>
      <c r="F2862" t="s">
        <v>12838</v>
      </c>
      <c r="G2862" t="s">
        <v>12839</v>
      </c>
      <c r="H2862">
        <v>5.4993867874145499</v>
      </c>
      <c r="I2862">
        <v>59.7785003838463</v>
      </c>
      <c r="J2862">
        <v>100</v>
      </c>
      <c r="K2862" t="s">
        <v>45</v>
      </c>
      <c r="L2862" t="s">
        <v>45</v>
      </c>
      <c r="M2862" t="s">
        <v>45</v>
      </c>
      <c r="N2862" t="s">
        <v>45</v>
      </c>
      <c r="O2862" t="s">
        <v>45</v>
      </c>
      <c r="P2862" t="s">
        <v>428</v>
      </c>
      <c r="R2862" t="s">
        <v>13189</v>
      </c>
      <c r="U2862" t="s">
        <v>13190</v>
      </c>
    </row>
    <row r="2863" spans="1:21" x14ac:dyDescent="0.25">
      <c r="A2863" t="s">
        <v>13191</v>
      </c>
      <c r="B2863" t="s">
        <v>22</v>
      </c>
      <c r="C2863" t="s">
        <v>13192</v>
      </c>
      <c r="D2863">
        <f t="shared" si="80"/>
        <v>-63869953</v>
      </c>
      <c r="E2863" t="s">
        <v>12884</v>
      </c>
      <c r="F2863" t="s">
        <v>12838</v>
      </c>
      <c r="G2863" t="s">
        <v>12839</v>
      </c>
      <c r="H2863">
        <v>10.454671382903999</v>
      </c>
      <c r="I2863">
        <v>63.436075996660598</v>
      </c>
      <c r="J2863">
        <v>100</v>
      </c>
      <c r="K2863" t="s">
        <v>312</v>
      </c>
      <c r="L2863" t="s">
        <v>312</v>
      </c>
      <c r="M2863" t="s">
        <v>312</v>
      </c>
      <c r="N2863" t="s">
        <v>312</v>
      </c>
      <c r="O2863" t="s">
        <v>312</v>
      </c>
      <c r="P2863" t="s">
        <v>192</v>
      </c>
      <c r="R2863" t="s">
        <v>13193</v>
      </c>
      <c r="U2863" t="s">
        <v>13194</v>
      </c>
    </row>
    <row r="2864" spans="1:21" x14ac:dyDescent="0.25">
      <c r="A2864" t="s">
        <v>13195</v>
      </c>
      <c r="B2864" t="s">
        <v>38</v>
      </c>
      <c r="C2864" t="s">
        <v>13196</v>
      </c>
      <c r="D2864">
        <f t="shared" si="80"/>
        <v>-63869953</v>
      </c>
      <c r="E2864" t="s">
        <v>13100</v>
      </c>
      <c r="F2864" t="s">
        <v>12838</v>
      </c>
      <c r="G2864" t="s">
        <v>12839</v>
      </c>
      <c r="H2864">
        <v>9.6950054168701207</v>
      </c>
      <c r="I2864">
        <v>59.045869242001302</v>
      </c>
      <c r="J2864">
        <v>100</v>
      </c>
      <c r="K2864" t="s">
        <v>192</v>
      </c>
      <c r="L2864" t="s">
        <v>192</v>
      </c>
      <c r="M2864" t="s">
        <v>192</v>
      </c>
      <c r="N2864" t="s">
        <v>192</v>
      </c>
      <c r="O2864" t="s">
        <v>192</v>
      </c>
      <c r="P2864" t="s">
        <v>166</v>
      </c>
      <c r="R2864" t="s">
        <v>13197</v>
      </c>
      <c r="U2864" t="s">
        <v>13198</v>
      </c>
    </row>
    <row r="2865" spans="1:21" x14ac:dyDescent="0.25">
      <c r="A2865" t="s">
        <v>13199</v>
      </c>
      <c r="B2865" t="s">
        <v>38</v>
      </c>
      <c r="C2865" t="s">
        <v>13200</v>
      </c>
      <c r="D2865">
        <f t="shared" si="80"/>
        <v>-63869953</v>
      </c>
      <c r="E2865" t="s">
        <v>13201</v>
      </c>
      <c r="F2865" t="s">
        <v>12838</v>
      </c>
      <c r="G2865" t="s">
        <v>12839</v>
      </c>
      <c r="H2865">
        <v>10.9583554744131</v>
      </c>
      <c r="I2865">
        <v>59.927219183270303</v>
      </c>
      <c r="J2865">
        <v>100</v>
      </c>
      <c r="K2865" t="s">
        <v>536</v>
      </c>
      <c r="L2865" t="s">
        <v>536</v>
      </c>
      <c r="M2865" t="s">
        <v>536</v>
      </c>
      <c r="N2865" t="s">
        <v>536</v>
      </c>
      <c r="O2865" t="s">
        <v>536</v>
      </c>
      <c r="P2865" t="s">
        <v>535</v>
      </c>
      <c r="R2865" t="s">
        <v>13202</v>
      </c>
      <c r="U2865" t="s">
        <v>13203</v>
      </c>
    </row>
    <row r="2866" spans="1:21" x14ac:dyDescent="0.25">
      <c r="A2866" t="s">
        <v>13204</v>
      </c>
      <c r="B2866" t="s">
        <v>38</v>
      </c>
      <c r="C2866" t="s">
        <v>13205</v>
      </c>
      <c r="D2866">
        <f t="shared" si="80"/>
        <v>-63869953</v>
      </c>
      <c r="E2866" t="s">
        <v>13036</v>
      </c>
      <c r="F2866" t="s">
        <v>12838</v>
      </c>
      <c r="G2866" t="s">
        <v>12839</v>
      </c>
      <c r="H2866">
        <v>10.488606691360401</v>
      </c>
      <c r="I2866">
        <v>59.8541374998481</v>
      </c>
      <c r="J2866">
        <v>100</v>
      </c>
      <c r="K2866" t="s">
        <v>45</v>
      </c>
      <c r="L2866" t="s">
        <v>45</v>
      </c>
      <c r="M2866" t="s">
        <v>45</v>
      </c>
      <c r="N2866" t="s">
        <v>45</v>
      </c>
      <c r="O2866" t="s">
        <v>45</v>
      </c>
      <c r="P2866" t="s">
        <v>166</v>
      </c>
      <c r="R2866" t="s">
        <v>13206</v>
      </c>
      <c r="U2866" t="s">
        <v>13207</v>
      </c>
    </row>
    <row r="2867" spans="1:21" x14ac:dyDescent="0.25">
      <c r="A2867" t="s">
        <v>13208</v>
      </c>
      <c r="B2867" t="s">
        <v>38</v>
      </c>
      <c r="C2867" t="s">
        <v>13209</v>
      </c>
      <c r="D2867">
        <f t="shared" si="80"/>
        <v>-63869953</v>
      </c>
      <c r="E2867" t="s">
        <v>13210</v>
      </c>
      <c r="F2867" t="s">
        <v>12838</v>
      </c>
      <c r="G2867" t="s">
        <v>12839</v>
      </c>
      <c r="H2867">
        <v>11.3817071914672</v>
      </c>
      <c r="I2867">
        <v>59.121639269387899</v>
      </c>
      <c r="J2867">
        <v>100</v>
      </c>
      <c r="K2867" t="s">
        <v>45</v>
      </c>
      <c r="L2867" t="s">
        <v>45</v>
      </c>
      <c r="M2867" t="s">
        <v>45</v>
      </c>
      <c r="N2867" t="s">
        <v>45</v>
      </c>
      <c r="O2867" t="s">
        <v>45</v>
      </c>
      <c r="P2867" t="s">
        <v>166</v>
      </c>
      <c r="R2867" t="s">
        <v>13211</v>
      </c>
      <c r="U2867" t="s">
        <v>13212</v>
      </c>
    </row>
    <row r="2868" spans="1:21" x14ac:dyDescent="0.25">
      <c r="A2868" t="s">
        <v>13213</v>
      </c>
      <c r="B2868" t="s">
        <v>38</v>
      </c>
      <c r="C2868" t="s">
        <v>13214</v>
      </c>
      <c r="D2868">
        <f t="shared" si="80"/>
        <v>-63869953</v>
      </c>
      <c r="E2868" t="s">
        <v>13215</v>
      </c>
      <c r="F2868" t="s">
        <v>12838</v>
      </c>
      <c r="G2868" t="s">
        <v>12839</v>
      </c>
      <c r="H2868">
        <v>11.1662702925332</v>
      </c>
      <c r="I2868">
        <v>59.583485302694299</v>
      </c>
      <c r="J2868">
        <v>100</v>
      </c>
      <c r="K2868" t="s">
        <v>45</v>
      </c>
      <c r="L2868" t="s">
        <v>45</v>
      </c>
      <c r="M2868" t="s">
        <v>45</v>
      </c>
      <c r="N2868" t="s">
        <v>45</v>
      </c>
      <c r="O2868" t="s">
        <v>45</v>
      </c>
      <c r="P2868" t="s">
        <v>428</v>
      </c>
      <c r="R2868" t="s">
        <v>13216</v>
      </c>
      <c r="U2868" t="s">
        <v>13217</v>
      </c>
    </row>
    <row r="2869" spans="1:21" x14ac:dyDescent="0.25">
      <c r="A2869" t="s">
        <v>13218</v>
      </c>
      <c r="B2869" t="s">
        <v>22</v>
      </c>
      <c r="C2869" t="s">
        <v>13219</v>
      </c>
      <c r="D2869">
        <f t="shared" si="80"/>
        <v>-63869953</v>
      </c>
      <c r="E2869" t="s">
        <v>13220</v>
      </c>
      <c r="F2869" t="s">
        <v>12838</v>
      </c>
      <c r="G2869" t="s">
        <v>12839</v>
      </c>
      <c r="H2869">
        <v>11.079027301623499</v>
      </c>
      <c r="I2869">
        <v>60.795828541887303</v>
      </c>
      <c r="J2869">
        <v>100</v>
      </c>
      <c r="K2869" t="s">
        <v>536</v>
      </c>
      <c r="L2869" t="s">
        <v>536</v>
      </c>
      <c r="M2869" t="s">
        <v>536</v>
      </c>
      <c r="N2869" t="s">
        <v>536</v>
      </c>
      <c r="O2869" t="s">
        <v>536</v>
      </c>
      <c r="P2869" t="s">
        <v>428</v>
      </c>
      <c r="R2869" t="s">
        <v>13221</v>
      </c>
      <c r="U2869" t="s">
        <v>13222</v>
      </c>
    </row>
    <row r="2870" spans="1:21" x14ac:dyDescent="0.25">
      <c r="A2870" t="s">
        <v>13223</v>
      </c>
      <c r="B2870" t="s">
        <v>38</v>
      </c>
      <c r="C2870" t="s">
        <v>13224</v>
      </c>
      <c r="D2870">
        <f t="shared" si="80"/>
        <v>-63869953</v>
      </c>
      <c r="E2870" t="s">
        <v>13225</v>
      </c>
      <c r="F2870" t="s">
        <v>12838</v>
      </c>
      <c r="G2870" t="s">
        <v>12839</v>
      </c>
      <c r="H2870">
        <v>9.8447688697754092</v>
      </c>
      <c r="I2870">
        <v>63.297541690543497</v>
      </c>
      <c r="J2870">
        <v>100</v>
      </c>
      <c r="K2870" t="s">
        <v>192</v>
      </c>
      <c r="L2870" t="s">
        <v>192</v>
      </c>
      <c r="M2870" t="s">
        <v>192</v>
      </c>
      <c r="N2870" t="s">
        <v>192</v>
      </c>
      <c r="O2870" t="s">
        <v>192</v>
      </c>
      <c r="P2870" t="s">
        <v>166</v>
      </c>
      <c r="R2870" t="s">
        <v>13226</v>
      </c>
      <c r="U2870" t="s">
        <v>13227</v>
      </c>
    </row>
    <row r="2871" spans="1:21" x14ac:dyDescent="0.25">
      <c r="A2871" t="s">
        <v>13228</v>
      </c>
      <c r="B2871" t="s">
        <v>38</v>
      </c>
      <c r="C2871" t="s">
        <v>13229</v>
      </c>
      <c r="D2871">
        <f t="shared" si="80"/>
        <v>-63869953</v>
      </c>
      <c r="E2871" t="s">
        <v>13230</v>
      </c>
      <c r="F2871" t="s">
        <v>12838</v>
      </c>
      <c r="G2871" t="s">
        <v>12839</v>
      </c>
      <c r="H2871">
        <v>7.4608451000000304</v>
      </c>
      <c r="I2871">
        <v>58.028946599999998</v>
      </c>
      <c r="J2871">
        <v>100</v>
      </c>
      <c r="K2871" t="s">
        <v>45</v>
      </c>
      <c r="L2871" t="s">
        <v>45</v>
      </c>
      <c r="M2871" t="s">
        <v>45</v>
      </c>
      <c r="N2871" t="s">
        <v>45</v>
      </c>
      <c r="O2871" t="s">
        <v>45</v>
      </c>
      <c r="P2871" t="s">
        <v>428</v>
      </c>
      <c r="R2871" t="s">
        <v>13231</v>
      </c>
      <c r="U2871" t="s">
        <v>13232</v>
      </c>
    </row>
    <row r="2872" spans="1:21" x14ac:dyDescent="0.25">
      <c r="A2872" t="s">
        <v>13233</v>
      </c>
      <c r="B2872" t="s">
        <v>22</v>
      </c>
      <c r="C2872" t="s">
        <v>13234</v>
      </c>
      <c r="D2872">
        <f t="shared" si="80"/>
        <v>-63869953</v>
      </c>
      <c r="E2872" t="s">
        <v>12941</v>
      </c>
      <c r="F2872" t="s">
        <v>12838</v>
      </c>
      <c r="G2872" t="s">
        <v>12839</v>
      </c>
      <c r="H2872">
        <v>5.3229842944427901</v>
      </c>
      <c r="I2872">
        <v>60.469797930176398</v>
      </c>
      <c r="J2872">
        <v>100</v>
      </c>
      <c r="K2872" t="s">
        <v>536</v>
      </c>
      <c r="L2872" t="s">
        <v>536</v>
      </c>
      <c r="M2872" t="s">
        <v>536</v>
      </c>
      <c r="N2872" t="s">
        <v>536</v>
      </c>
      <c r="O2872" t="s">
        <v>536</v>
      </c>
      <c r="P2872" t="s">
        <v>428</v>
      </c>
      <c r="R2872" t="s">
        <v>13235</v>
      </c>
      <c r="U2872" t="s">
        <v>13236</v>
      </c>
    </row>
    <row r="2873" spans="1:21" x14ac:dyDescent="0.25">
      <c r="A2873" t="s">
        <v>13237</v>
      </c>
      <c r="B2873" t="s">
        <v>38</v>
      </c>
      <c r="C2873" t="s">
        <v>13238</v>
      </c>
      <c r="D2873">
        <f t="shared" si="80"/>
        <v>-63869953</v>
      </c>
      <c r="E2873" t="s">
        <v>12837</v>
      </c>
      <c r="F2873" t="s">
        <v>12838</v>
      </c>
      <c r="G2873" t="s">
        <v>12839</v>
      </c>
      <c r="H2873">
        <v>10.8353331925577</v>
      </c>
      <c r="I2873">
        <v>59.9428260553955</v>
      </c>
      <c r="J2873">
        <v>100</v>
      </c>
      <c r="K2873" t="s">
        <v>536</v>
      </c>
      <c r="L2873" t="s">
        <v>536</v>
      </c>
      <c r="M2873" t="s">
        <v>536</v>
      </c>
      <c r="N2873" t="s">
        <v>536</v>
      </c>
      <c r="O2873" t="s">
        <v>536</v>
      </c>
      <c r="P2873" t="s">
        <v>535</v>
      </c>
      <c r="R2873" t="s">
        <v>13239</v>
      </c>
      <c r="U2873" t="s">
        <v>13240</v>
      </c>
    </row>
    <row r="2874" spans="1:21" x14ac:dyDescent="0.25">
      <c r="A2874" t="s">
        <v>13241</v>
      </c>
      <c r="B2874" t="s">
        <v>38</v>
      </c>
      <c r="C2874" t="s">
        <v>13242</v>
      </c>
      <c r="D2874">
        <f t="shared" si="80"/>
        <v>-63869953</v>
      </c>
      <c r="E2874" t="s">
        <v>13243</v>
      </c>
      <c r="F2874" t="s">
        <v>12838</v>
      </c>
      <c r="G2874" t="s">
        <v>12839</v>
      </c>
      <c r="H2874">
        <v>6.4356191620406697</v>
      </c>
      <c r="I2874">
        <v>60.628731718073503</v>
      </c>
      <c r="J2874">
        <v>100</v>
      </c>
      <c r="K2874" t="s">
        <v>535</v>
      </c>
      <c r="L2874" t="s">
        <v>535</v>
      </c>
      <c r="M2874" t="s">
        <v>535</v>
      </c>
      <c r="N2874" t="s">
        <v>535</v>
      </c>
      <c r="O2874" t="s">
        <v>535</v>
      </c>
      <c r="P2874" t="s">
        <v>428</v>
      </c>
      <c r="R2874" t="s">
        <v>13244</v>
      </c>
      <c r="U2874" t="s">
        <v>13245</v>
      </c>
    </row>
    <row r="2875" spans="1:21" x14ac:dyDescent="0.25">
      <c r="A2875" t="s">
        <v>13246</v>
      </c>
      <c r="B2875" t="s">
        <v>38</v>
      </c>
      <c r="C2875" t="s">
        <v>13247</v>
      </c>
      <c r="D2875">
        <f t="shared" si="80"/>
        <v>-63869953</v>
      </c>
      <c r="E2875" t="s">
        <v>13248</v>
      </c>
      <c r="F2875" t="s">
        <v>12838</v>
      </c>
      <c r="G2875" t="s">
        <v>12839</v>
      </c>
      <c r="H2875">
        <v>16.5662553689696</v>
      </c>
      <c r="I2875">
        <v>68.779654506481904</v>
      </c>
      <c r="J2875">
        <v>100</v>
      </c>
      <c r="K2875" t="s">
        <v>45</v>
      </c>
      <c r="L2875" t="s">
        <v>45</v>
      </c>
      <c r="M2875" t="s">
        <v>45</v>
      </c>
      <c r="N2875" t="s">
        <v>45</v>
      </c>
      <c r="O2875" t="s">
        <v>45</v>
      </c>
      <c r="P2875" t="s">
        <v>428</v>
      </c>
      <c r="R2875" t="s">
        <v>13249</v>
      </c>
      <c r="U2875" t="s">
        <v>13250</v>
      </c>
    </row>
    <row r="2876" spans="1:21" x14ac:dyDescent="0.25">
      <c r="A2876" t="s">
        <v>13251</v>
      </c>
      <c r="B2876" t="s">
        <v>38</v>
      </c>
      <c r="C2876" t="s">
        <v>13252</v>
      </c>
      <c r="D2876">
        <f t="shared" si="80"/>
        <v>-63869953</v>
      </c>
      <c r="E2876" t="s">
        <v>13253</v>
      </c>
      <c r="F2876" t="s">
        <v>12838</v>
      </c>
      <c r="G2876" t="s">
        <v>12839</v>
      </c>
      <c r="H2876">
        <v>10.924091759667901</v>
      </c>
      <c r="I2876">
        <v>63.468879538248203</v>
      </c>
      <c r="J2876">
        <v>100</v>
      </c>
      <c r="K2876" t="s">
        <v>192</v>
      </c>
      <c r="L2876" t="s">
        <v>192</v>
      </c>
      <c r="M2876" t="s">
        <v>192</v>
      </c>
      <c r="N2876" t="s">
        <v>192</v>
      </c>
      <c r="O2876" t="s">
        <v>192</v>
      </c>
      <c r="P2876" t="s">
        <v>166</v>
      </c>
      <c r="R2876" t="s">
        <v>13254</v>
      </c>
      <c r="U2876" t="s">
        <v>13255</v>
      </c>
    </row>
    <row r="2877" spans="1:21" x14ac:dyDescent="0.25">
      <c r="A2877" t="s">
        <v>13256</v>
      </c>
      <c r="B2877" t="s">
        <v>32</v>
      </c>
      <c r="C2877" t="s">
        <v>13257</v>
      </c>
      <c r="D2877">
        <f t="shared" si="80"/>
        <v>-63869953</v>
      </c>
      <c r="E2877" t="s">
        <v>12837</v>
      </c>
      <c r="F2877" t="s">
        <v>12838</v>
      </c>
      <c r="G2877" t="s">
        <v>12839</v>
      </c>
      <c r="H2877">
        <v>10.7439198232177</v>
      </c>
      <c r="I2877">
        <v>59.9105125215047</v>
      </c>
      <c r="J2877">
        <v>100</v>
      </c>
      <c r="K2877" t="s">
        <v>45</v>
      </c>
      <c r="L2877" t="s">
        <v>45</v>
      </c>
      <c r="M2877" t="s">
        <v>45</v>
      </c>
      <c r="N2877" t="s">
        <v>45</v>
      </c>
      <c r="O2877" t="s">
        <v>45</v>
      </c>
      <c r="P2877" t="s">
        <v>535</v>
      </c>
      <c r="R2877" t="s">
        <v>13258</v>
      </c>
      <c r="U2877" t="s">
        <v>13259</v>
      </c>
    </row>
    <row r="2878" spans="1:21" x14ac:dyDescent="0.25">
      <c r="A2878" t="s">
        <v>13260</v>
      </c>
      <c r="B2878" t="s">
        <v>32</v>
      </c>
      <c r="C2878" t="s">
        <v>13261</v>
      </c>
      <c r="D2878">
        <f t="shared" si="80"/>
        <v>-63869953</v>
      </c>
      <c r="E2878" t="s">
        <v>12837</v>
      </c>
      <c r="F2878" t="s">
        <v>12838</v>
      </c>
      <c r="G2878" t="s">
        <v>12839</v>
      </c>
      <c r="H2878">
        <v>10.7449605203155</v>
      </c>
      <c r="I2878">
        <v>59.912139605940197</v>
      </c>
      <c r="J2878">
        <v>100</v>
      </c>
      <c r="K2878" t="s">
        <v>45</v>
      </c>
      <c r="L2878" t="s">
        <v>45</v>
      </c>
      <c r="M2878" t="s">
        <v>45</v>
      </c>
      <c r="N2878" t="s">
        <v>45</v>
      </c>
      <c r="O2878" t="s">
        <v>45</v>
      </c>
      <c r="P2878" t="s">
        <v>535</v>
      </c>
      <c r="R2878" t="s">
        <v>13258</v>
      </c>
      <c r="U2878" t="s">
        <v>13259</v>
      </c>
    </row>
    <row r="2879" spans="1:21" x14ac:dyDescent="0.25">
      <c r="A2879" t="s">
        <v>13262</v>
      </c>
      <c r="B2879" t="s">
        <v>32</v>
      </c>
      <c r="C2879" t="s">
        <v>13263</v>
      </c>
      <c r="D2879">
        <f t="shared" si="80"/>
        <v>-63869953</v>
      </c>
      <c r="E2879" t="s">
        <v>12837</v>
      </c>
      <c r="F2879" t="s">
        <v>12838</v>
      </c>
      <c r="G2879" t="s">
        <v>12839</v>
      </c>
      <c r="H2879">
        <v>10.719048000000001</v>
      </c>
      <c r="I2879">
        <v>59.926496</v>
      </c>
      <c r="J2879">
        <v>100</v>
      </c>
      <c r="K2879" t="s">
        <v>535</v>
      </c>
      <c r="L2879" t="s">
        <v>535</v>
      </c>
      <c r="M2879" t="s">
        <v>535</v>
      </c>
      <c r="N2879" t="s">
        <v>535</v>
      </c>
      <c r="O2879" t="s">
        <v>535</v>
      </c>
      <c r="P2879" t="s">
        <v>428</v>
      </c>
      <c r="R2879" t="s">
        <v>13264</v>
      </c>
      <c r="U2879" t="s">
        <v>13265</v>
      </c>
    </row>
    <row r="2880" spans="1:21" x14ac:dyDescent="0.25">
      <c r="A2880" t="s">
        <v>13266</v>
      </c>
      <c r="B2880" t="s">
        <v>32</v>
      </c>
      <c r="C2880" t="s">
        <v>13267</v>
      </c>
      <c r="D2880">
        <f t="shared" si="80"/>
        <v>-63869953</v>
      </c>
      <c r="E2880" t="s">
        <v>12884</v>
      </c>
      <c r="F2880" t="s">
        <v>12838</v>
      </c>
      <c r="G2880" t="s">
        <v>12839</v>
      </c>
      <c r="H2880">
        <v>10.396265</v>
      </c>
      <c r="I2880">
        <v>63.432870999999999</v>
      </c>
      <c r="J2880">
        <v>100</v>
      </c>
      <c r="K2880" t="s">
        <v>428</v>
      </c>
      <c r="L2880" t="s">
        <v>428</v>
      </c>
      <c r="M2880" t="s">
        <v>428</v>
      </c>
      <c r="N2880" t="s">
        <v>428</v>
      </c>
      <c r="O2880" t="s">
        <v>428</v>
      </c>
      <c r="P2880" t="s">
        <v>428</v>
      </c>
      <c r="R2880" t="s">
        <v>13268</v>
      </c>
      <c r="U2880" t="s">
        <v>13269</v>
      </c>
    </row>
    <row r="2881" spans="1:21" x14ac:dyDescent="0.25">
      <c r="A2881" t="s">
        <v>13270</v>
      </c>
      <c r="B2881" t="s">
        <v>38</v>
      </c>
      <c r="C2881" t="s">
        <v>13271</v>
      </c>
      <c r="D2881">
        <f t="shared" si="80"/>
        <v>-63869953</v>
      </c>
      <c r="E2881" t="s">
        <v>13201</v>
      </c>
      <c r="F2881" t="s">
        <v>12838</v>
      </c>
      <c r="G2881" t="s">
        <v>12839</v>
      </c>
      <c r="H2881">
        <v>10.953131171100001</v>
      </c>
      <c r="I2881">
        <v>59.919495499999996</v>
      </c>
      <c r="J2881">
        <v>100</v>
      </c>
      <c r="K2881" t="s">
        <v>536</v>
      </c>
      <c r="L2881" t="s">
        <v>536</v>
      </c>
      <c r="M2881" t="s">
        <v>536</v>
      </c>
      <c r="N2881" t="s">
        <v>536</v>
      </c>
      <c r="O2881" t="s">
        <v>536</v>
      </c>
      <c r="P2881" t="s">
        <v>535</v>
      </c>
      <c r="R2881" t="s">
        <v>13271</v>
      </c>
      <c r="U2881" t="s">
        <v>13272</v>
      </c>
    </row>
    <row r="2882" spans="1:21" x14ac:dyDescent="0.25">
      <c r="A2882" t="s">
        <v>13273</v>
      </c>
      <c r="B2882" t="s">
        <v>32</v>
      </c>
      <c r="C2882" t="s">
        <v>13274</v>
      </c>
      <c r="D2882">
        <f t="shared" ref="D2882:D2889" si="81">64-800406700</f>
        <v>-800406636</v>
      </c>
      <c r="E2882" t="s">
        <v>13275</v>
      </c>
      <c r="F2882" t="s">
        <v>13276</v>
      </c>
      <c r="G2882" t="s">
        <v>13277</v>
      </c>
      <c r="H2882">
        <v>174.76579799999999</v>
      </c>
      <c r="I2882">
        <v>-36.844248</v>
      </c>
      <c r="J2882">
        <v>290</v>
      </c>
      <c r="K2882" t="s">
        <v>165</v>
      </c>
      <c r="L2882" t="s">
        <v>165</v>
      </c>
      <c r="M2882" t="s">
        <v>165</v>
      </c>
      <c r="N2882" t="s">
        <v>312</v>
      </c>
      <c r="O2882" t="s">
        <v>312</v>
      </c>
      <c r="P2882" t="s">
        <v>165</v>
      </c>
      <c r="Q2882" t="s">
        <v>535</v>
      </c>
      <c r="R2882" t="s">
        <v>13278</v>
      </c>
      <c r="T2882" t="s">
        <v>13279</v>
      </c>
      <c r="U2882" t="s">
        <v>13280</v>
      </c>
    </row>
    <row r="2883" spans="1:21" x14ac:dyDescent="0.25">
      <c r="A2883" t="s">
        <v>13281</v>
      </c>
      <c r="B2883" t="s">
        <v>22</v>
      </c>
      <c r="C2883" t="s">
        <v>13282</v>
      </c>
      <c r="D2883">
        <f t="shared" si="81"/>
        <v>-800406636</v>
      </c>
      <c r="E2883" t="s">
        <v>13275</v>
      </c>
      <c r="F2883" t="s">
        <v>13276</v>
      </c>
      <c r="G2883" t="s">
        <v>13277</v>
      </c>
      <c r="H2883">
        <v>174.77593630000001</v>
      </c>
      <c r="I2883">
        <v>-36.870853799999999</v>
      </c>
      <c r="J2883">
        <v>290</v>
      </c>
      <c r="K2883" t="s">
        <v>165</v>
      </c>
      <c r="L2883" t="s">
        <v>165</v>
      </c>
      <c r="M2883" t="s">
        <v>165</v>
      </c>
      <c r="N2883" t="s">
        <v>312</v>
      </c>
      <c r="O2883" t="s">
        <v>312</v>
      </c>
      <c r="P2883" t="s">
        <v>165</v>
      </c>
      <c r="Q2883" t="s">
        <v>535</v>
      </c>
      <c r="R2883" t="s">
        <v>13283</v>
      </c>
      <c r="S2883" t="s">
        <v>13283</v>
      </c>
      <c r="T2883" t="s">
        <v>13279</v>
      </c>
      <c r="U2883" t="s">
        <v>13284</v>
      </c>
    </row>
    <row r="2884" spans="1:21" x14ac:dyDescent="0.25">
      <c r="A2884" t="s">
        <v>13285</v>
      </c>
      <c r="B2884" t="s">
        <v>22</v>
      </c>
      <c r="C2884" t="s">
        <v>13286</v>
      </c>
      <c r="D2884">
        <f t="shared" si="81"/>
        <v>-800406636</v>
      </c>
      <c r="E2884" t="s">
        <v>13275</v>
      </c>
      <c r="F2884" t="s">
        <v>13276</v>
      </c>
      <c r="G2884" t="s">
        <v>13277</v>
      </c>
      <c r="H2884">
        <v>174.91319999999999</v>
      </c>
      <c r="I2884">
        <v>-36.933700000000002</v>
      </c>
      <c r="J2884">
        <v>290</v>
      </c>
      <c r="K2884" t="s">
        <v>166</v>
      </c>
      <c r="L2884" t="s">
        <v>166</v>
      </c>
      <c r="M2884" t="s">
        <v>166</v>
      </c>
      <c r="N2884" t="s">
        <v>312</v>
      </c>
      <c r="O2884" t="s">
        <v>312</v>
      </c>
      <c r="P2884" t="s">
        <v>166</v>
      </c>
      <c r="Q2884" t="s">
        <v>428</v>
      </c>
      <c r="R2884" t="s">
        <v>13287</v>
      </c>
      <c r="T2884" t="s">
        <v>13279</v>
      </c>
      <c r="U2884" t="s">
        <v>13288</v>
      </c>
    </row>
    <row r="2885" spans="1:21" x14ac:dyDescent="0.25">
      <c r="A2885" t="s">
        <v>13289</v>
      </c>
      <c r="B2885" t="s">
        <v>22</v>
      </c>
      <c r="C2885" t="s">
        <v>13290</v>
      </c>
      <c r="D2885">
        <f t="shared" si="81"/>
        <v>-800406636</v>
      </c>
      <c r="E2885" t="s">
        <v>13291</v>
      </c>
      <c r="F2885" t="s">
        <v>13276</v>
      </c>
      <c r="G2885" t="s">
        <v>13277</v>
      </c>
      <c r="H2885">
        <v>172.63510220000001</v>
      </c>
      <c r="I2885">
        <v>-43.532995999999997</v>
      </c>
      <c r="J2885">
        <v>290</v>
      </c>
      <c r="K2885" t="s">
        <v>166</v>
      </c>
      <c r="L2885" t="s">
        <v>166</v>
      </c>
      <c r="M2885" t="s">
        <v>166</v>
      </c>
      <c r="N2885" t="s">
        <v>166</v>
      </c>
      <c r="O2885" t="s">
        <v>166</v>
      </c>
      <c r="P2885" t="s">
        <v>428</v>
      </c>
      <c r="Q2885" t="s">
        <v>428</v>
      </c>
      <c r="R2885" t="s">
        <v>13292</v>
      </c>
      <c r="T2885" t="s">
        <v>13293</v>
      </c>
      <c r="U2885" t="s">
        <v>13294</v>
      </c>
    </row>
    <row r="2886" spans="1:21" x14ac:dyDescent="0.25">
      <c r="A2886" t="s">
        <v>13295</v>
      </c>
      <c r="B2886" t="s">
        <v>22</v>
      </c>
      <c r="C2886" t="s">
        <v>13296</v>
      </c>
      <c r="D2886">
        <f t="shared" si="81"/>
        <v>-800406636</v>
      </c>
      <c r="E2886" t="s">
        <v>13297</v>
      </c>
      <c r="F2886" t="s">
        <v>13276</v>
      </c>
      <c r="G2886" t="s">
        <v>13277</v>
      </c>
      <c r="H2886">
        <v>174.90805599999999</v>
      </c>
      <c r="I2886">
        <v>-41.209164999999999</v>
      </c>
      <c r="J2886">
        <v>290</v>
      </c>
      <c r="K2886" t="s">
        <v>166</v>
      </c>
      <c r="L2886" t="s">
        <v>166</v>
      </c>
      <c r="M2886" t="s">
        <v>166</v>
      </c>
      <c r="N2886" t="s">
        <v>312</v>
      </c>
      <c r="O2886" t="s">
        <v>166</v>
      </c>
      <c r="P2886" t="s">
        <v>166</v>
      </c>
      <c r="Q2886" t="s">
        <v>659</v>
      </c>
      <c r="R2886" t="s">
        <v>13298</v>
      </c>
      <c r="T2886" t="s">
        <v>13279</v>
      </c>
      <c r="U2886" t="s">
        <v>13299</v>
      </c>
    </row>
    <row r="2887" spans="1:21" x14ac:dyDescent="0.25">
      <c r="A2887" t="s">
        <v>13300</v>
      </c>
      <c r="B2887" t="s">
        <v>22</v>
      </c>
      <c r="C2887" t="s">
        <v>13301</v>
      </c>
      <c r="D2887">
        <f t="shared" si="81"/>
        <v>-800406636</v>
      </c>
      <c r="E2887" t="s">
        <v>13291</v>
      </c>
      <c r="F2887" t="s">
        <v>13276</v>
      </c>
      <c r="G2887" t="s">
        <v>13277</v>
      </c>
      <c r="H2887">
        <v>172.59733233652699</v>
      </c>
      <c r="I2887">
        <v>-43.530108597662398</v>
      </c>
      <c r="J2887">
        <v>290</v>
      </c>
      <c r="K2887" t="s">
        <v>166</v>
      </c>
      <c r="L2887" t="s">
        <v>166</v>
      </c>
      <c r="M2887" t="s">
        <v>166</v>
      </c>
      <c r="N2887" t="s">
        <v>312</v>
      </c>
      <c r="O2887" t="s">
        <v>312</v>
      </c>
      <c r="P2887" t="s">
        <v>166</v>
      </c>
      <c r="Q2887" t="s">
        <v>428</v>
      </c>
      <c r="R2887" t="s">
        <v>13302</v>
      </c>
      <c r="T2887" t="s">
        <v>13293</v>
      </c>
      <c r="U2887" t="s">
        <v>13303</v>
      </c>
    </row>
    <row r="2888" spans="1:21" x14ac:dyDescent="0.25">
      <c r="A2888" t="s">
        <v>13304</v>
      </c>
      <c r="B2888" t="s">
        <v>22</v>
      </c>
      <c r="C2888" t="s">
        <v>13305</v>
      </c>
      <c r="D2888">
        <f t="shared" si="81"/>
        <v>-800406636</v>
      </c>
      <c r="E2888" t="s">
        <v>13306</v>
      </c>
      <c r="F2888" t="s">
        <v>13276</v>
      </c>
      <c r="G2888" t="s">
        <v>13277</v>
      </c>
      <c r="H2888">
        <v>176.10446110000001</v>
      </c>
      <c r="I2888">
        <v>-37.737812099999999</v>
      </c>
      <c r="J2888">
        <v>290</v>
      </c>
      <c r="K2888" t="s">
        <v>166</v>
      </c>
      <c r="L2888" t="s">
        <v>166</v>
      </c>
      <c r="M2888" t="s">
        <v>166</v>
      </c>
      <c r="N2888" t="s">
        <v>192</v>
      </c>
      <c r="O2888" t="s">
        <v>166</v>
      </c>
      <c r="P2888" t="s">
        <v>166</v>
      </c>
      <c r="Q2888" t="s">
        <v>166</v>
      </c>
      <c r="R2888" t="s">
        <v>13307</v>
      </c>
      <c r="T2888" t="s">
        <v>13279</v>
      </c>
      <c r="U2888" t="s">
        <v>13308</v>
      </c>
    </row>
    <row r="2889" spans="1:21" x14ac:dyDescent="0.25">
      <c r="A2889" t="s">
        <v>13309</v>
      </c>
      <c r="B2889" t="s">
        <v>38</v>
      </c>
      <c r="C2889" t="s">
        <v>13310</v>
      </c>
      <c r="D2889">
        <f t="shared" si="81"/>
        <v>-800406636</v>
      </c>
      <c r="E2889" t="s">
        <v>1241</v>
      </c>
      <c r="F2889" t="s">
        <v>13276</v>
      </c>
      <c r="G2889" t="s">
        <v>13277</v>
      </c>
      <c r="H2889">
        <v>175.27873801586901</v>
      </c>
      <c r="I2889">
        <v>-37.750498853160003</v>
      </c>
      <c r="J2889">
        <v>290</v>
      </c>
      <c r="K2889" t="s">
        <v>166</v>
      </c>
      <c r="L2889" t="s">
        <v>166</v>
      </c>
      <c r="M2889" t="s">
        <v>166</v>
      </c>
      <c r="N2889" t="s">
        <v>312</v>
      </c>
      <c r="O2889" t="s">
        <v>166</v>
      </c>
      <c r="P2889" t="s">
        <v>166</v>
      </c>
      <c r="Q2889" t="s">
        <v>553</v>
      </c>
      <c r="R2889" t="s">
        <v>13311</v>
      </c>
      <c r="T2889" t="s">
        <v>13279</v>
      </c>
      <c r="U2889" t="s">
        <v>13312</v>
      </c>
    </row>
    <row r="2890" spans="1:21" x14ac:dyDescent="0.25">
      <c r="A2890" t="s">
        <v>13313</v>
      </c>
      <c r="B2890" t="s">
        <v>22</v>
      </c>
      <c r="C2890" t="s">
        <v>13314</v>
      </c>
      <c r="D2890">
        <f>64-95251284</f>
        <v>-95251220</v>
      </c>
      <c r="E2890" t="s">
        <v>13275</v>
      </c>
      <c r="F2890" t="s">
        <v>13276</v>
      </c>
      <c r="G2890" t="s">
        <v>13277</v>
      </c>
      <c r="H2890">
        <v>174.841385</v>
      </c>
      <c r="I2890">
        <v>-36.915717999999998</v>
      </c>
      <c r="J2890">
        <v>290</v>
      </c>
      <c r="K2890" t="s">
        <v>165</v>
      </c>
      <c r="L2890" t="s">
        <v>165</v>
      </c>
      <c r="M2890" t="s">
        <v>165</v>
      </c>
      <c r="N2890" t="s">
        <v>312</v>
      </c>
      <c r="O2890" t="s">
        <v>312</v>
      </c>
      <c r="P2890" t="s">
        <v>165</v>
      </c>
      <c r="Q2890" t="s">
        <v>165</v>
      </c>
      <c r="R2890" t="s">
        <v>13315</v>
      </c>
      <c r="T2890" t="s">
        <v>13279</v>
      </c>
      <c r="U2890" t="s">
        <v>13316</v>
      </c>
    </row>
    <row r="2891" spans="1:21" x14ac:dyDescent="0.25">
      <c r="A2891" t="s">
        <v>13317</v>
      </c>
      <c r="B2891" t="s">
        <v>22</v>
      </c>
      <c r="C2891" t="s">
        <v>13318</v>
      </c>
      <c r="D2891">
        <f>968-22300119</f>
        <v>-22299151</v>
      </c>
      <c r="E2891" t="s">
        <v>13319</v>
      </c>
      <c r="F2891" t="s">
        <v>13320</v>
      </c>
      <c r="G2891" t="s">
        <v>13321</v>
      </c>
      <c r="H2891">
        <v>58.248243000000002</v>
      </c>
      <c r="I2891">
        <v>23.599291000000001</v>
      </c>
      <c r="J2891">
        <v>165</v>
      </c>
      <c r="K2891" t="s">
        <v>27</v>
      </c>
      <c r="L2891" t="s">
        <v>27</v>
      </c>
      <c r="M2891" t="s">
        <v>27</v>
      </c>
      <c r="N2891" t="s">
        <v>28</v>
      </c>
      <c r="O2891" t="s">
        <v>28</v>
      </c>
      <c r="P2891" t="s">
        <v>27</v>
      </c>
      <c r="Q2891" t="s">
        <v>27</v>
      </c>
      <c r="R2891" t="s">
        <v>13318</v>
      </c>
      <c r="S2891" t="s">
        <v>13322</v>
      </c>
      <c r="U2891" t="s">
        <v>13323</v>
      </c>
    </row>
    <row r="2892" spans="1:21" x14ac:dyDescent="0.25">
      <c r="A2892" t="s">
        <v>13324</v>
      </c>
      <c r="B2892" t="s">
        <v>22</v>
      </c>
      <c r="C2892" t="s">
        <v>13325</v>
      </c>
      <c r="D2892">
        <f>968-93521924</f>
        <v>-93520956</v>
      </c>
      <c r="E2892" t="s">
        <v>13319</v>
      </c>
      <c r="F2892" t="s">
        <v>13320</v>
      </c>
      <c r="G2892" t="s">
        <v>13321</v>
      </c>
      <c r="H2892">
        <v>58.410156999999998</v>
      </c>
      <c r="I2892">
        <v>23.589908000000001</v>
      </c>
      <c r="J2892">
        <v>165</v>
      </c>
      <c r="K2892" t="s">
        <v>27</v>
      </c>
      <c r="L2892" t="s">
        <v>27</v>
      </c>
      <c r="M2892" t="s">
        <v>27</v>
      </c>
      <c r="N2892" t="s">
        <v>34</v>
      </c>
      <c r="O2892" t="s">
        <v>34</v>
      </c>
      <c r="P2892" t="s">
        <v>34</v>
      </c>
      <c r="Q2892" t="s">
        <v>27</v>
      </c>
      <c r="R2892" t="s">
        <v>13325</v>
      </c>
      <c r="U2892" t="s">
        <v>13326</v>
      </c>
    </row>
    <row r="2893" spans="1:21" x14ac:dyDescent="0.25">
      <c r="A2893" t="s">
        <v>13327</v>
      </c>
      <c r="B2893" t="s">
        <v>22</v>
      </c>
      <c r="C2893" t="s">
        <v>13328</v>
      </c>
      <c r="D2893">
        <f>968-22303572</f>
        <v>-22302604</v>
      </c>
      <c r="E2893" t="s">
        <v>13319</v>
      </c>
      <c r="F2893" t="s">
        <v>13320</v>
      </c>
      <c r="G2893" t="s">
        <v>13321</v>
      </c>
      <c r="H2893">
        <v>58.149061000000003</v>
      </c>
      <c r="I2893">
        <v>23.645257999999998</v>
      </c>
      <c r="J2893">
        <v>165</v>
      </c>
      <c r="K2893" t="s">
        <v>27</v>
      </c>
      <c r="L2893" t="s">
        <v>27</v>
      </c>
      <c r="M2893" t="s">
        <v>27</v>
      </c>
      <c r="N2893" t="s">
        <v>28</v>
      </c>
      <c r="O2893" t="s">
        <v>28</v>
      </c>
      <c r="P2893" t="s">
        <v>27</v>
      </c>
      <c r="Q2893" t="s">
        <v>27</v>
      </c>
      <c r="R2893" t="s">
        <v>13328</v>
      </c>
      <c r="U2893" t="s">
        <v>13329</v>
      </c>
    </row>
    <row r="2894" spans="1:21" x14ac:dyDescent="0.25">
      <c r="A2894" t="s">
        <v>13330</v>
      </c>
      <c r="B2894" t="s">
        <v>32</v>
      </c>
      <c r="C2894" t="s">
        <v>13331</v>
      </c>
      <c r="E2894" t="s">
        <v>13332</v>
      </c>
      <c r="F2894" t="s">
        <v>13333</v>
      </c>
      <c r="G2894" t="s">
        <v>13334</v>
      </c>
      <c r="H2894">
        <v>-79.510893999999993</v>
      </c>
      <c r="I2894">
        <v>8.9859430000000007</v>
      </c>
      <c r="J2894">
        <v>35</v>
      </c>
      <c r="R2894" t="s">
        <v>13331</v>
      </c>
      <c r="S2894" t="s">
        <v>13335</v>
      </c>
      <c r="U2894" t="s">
        <v>13336</v>
      </c>
    </row>
    <row r="2895" spans="1:21" x14ac:dyDescent="0.25">
      <c r="A2895" t="s">
        <v>13337</v>
      </c>
      <c r="B2895" t="s">
        <v>32</v>
      </c>
      <c r="C2895" t="s">
        <v>13338</v>
      </c>
      <c r="D2895">
        <f>51-1-6223150</f>
        <v>-6223100</v>
      </c>
      <c r="E2895" t="s">
        <v>13339</v>
      </c>
      <c r="F2895" t="s">
        <v>13340</v>
      </c>
      <c r="G2895" t="s">
        <v>1453</v>
      </c>
      <c r="H2895">
        <v>-76.976796510717804</v>
      </c>
      <c r="I2895">
        <v>-12.0865354124875</v>
      </c>
      <c r="J2895">
        <v>45</v>
      </c>
      <c r="K2895" t="s">
        <v>27</v>
      </c>
      <c r="L2895" t="s">
        <v>27</v>
      </c>
      <c r="M2895" t="s">
        <v>27</v>
      </c>
      <c r="N2895" t="s">
        <v>27</v>
      </c>
      <c r="O2895" t="s">
        <v>27</v>
      </c>
      <c r="P2895" t="s">
        <v>27</v>
      </c>
      <c r="Q2895" t="s">
        <v>27</v>
      </c>
      <c r="R2895" t="s">
        <v>13341</v>
      </c>
      <c r="U2895" t="s">
        <v>13342</v>
      </c>
    </row>
    <row r="2896" spans="1:21" x14ac:dyDescent="0.25">
      <c r="A2896" t="s">
        <v>13343</v>
      </c>
      <c r="B2896" t="s">
        <v>22</v>
      </c>
      <c r="C2896" t="s">
        <v>13344</v>
      </c>
      <c r="D2896">
        <f>51-1-7147102</f>
        <v>-7147052</v>
      </c>
      <c r="E2896" t="s">
        <v>13339</v>
      </c>
      <c r="F2896" t="s">
        <v>13340</v>
      </c>
      <c r="G2896" t="s">
        <v>1453</v>
      </c>
      <c r="H2896">
        <v>-77.042793399999994</v>
      </c>
      <c r="I2896">
        <v>-12.046374</v>
      </c>
      <c r="J2896">
        <v>45</v>
      </c>
      <c r="K2896" t="s">
        <v>27</v>
      </c>
      <c r="L2896" t="s">
        <v>27</v>
      </c>
      <c r="M2896" t="s">
        <v>27</v>
      </c>
      <c r="N2896" t="s">
        <v>27</v>
      </c>
      <c r="O2896" t="s">
        <v>27</v>
      </c>
      <c r="P2896" t="s">
        <v>27</v>
      </c>
      <c r="Q2896" t="s">
        <v>27</v>
      </c>
      <c r="R2896" t="s">
        <v>13345</v>
      </c>
      <c r="U2896" t="s">
        <v>13346</v>
      </c>
    </row>
    <row r="2897" spans="1:21" x14ac:dyDescent="0.25">
      <c r="A2897" t="s">
        <v>13347</v>
      </c>
      <c r="B2897" t="s">
        <v>22</v>
      </c>
      <c r="C2897" t="s">
        <v>13348</v>
      </c>
      <c r="D2897">
        <f>51-1-6284740</f>
        <v>-6284690</v>
      </c>
      <c r="E2897" t="s">
        <v>13339</v>
      </c>
      <c r="F2897" t="s">
        <v>13340</v>
      </c>
      <c r="G2897" t="s">
        <v>1453</v>
      </c>
      <c r="H2897">
        <v>-77.061681079345703</v>
      </c>
      <c r="I2897">
        <v>-11.993788755145999</v>
      </c>
      <c r="J2897">
        <v>45</v>
      </c>
      <c r="K2897" t="s">
        <v>27</v>
      </c>
      <c r="L2897" t="s">
        <v>27</v>
      </c>
      <c r="M2897" t="s">
        <v>27</v>
      </c>
      <c r="N2897" t="s">
        <v>27</v>
      </c>
      <c r="O2897" t="s">
        <v>27</v>
      </c>
      <c r="P2897" t="s">
        <v>27</v>
      </c>
      <c r="Q2897" t="s">
        <v>27</v>
      </c>
      <c r="R2897" t="s">
        <v>13349</v>
      </c>
      <c r="U2897" t="s">
        <v>13350</v>
      </c>
    </row>
    <row r="2898" spans="1:21" x14ac:dyDescent="0.25">
      <c r="A2898" t="s">
        <v>13351</v>
      </c>
      <c r="B2898" t="s">
        <v>22</v>
      </c>
      <c r="C2898" t="s">
        <v>13352</v>
      </c>
      <c r="D2898">
        <f>51-1-6283640</f>
        <v>-6283590</v>
      </c>
      <c r="E2898" t="s">
        <v>13339</v>
      </c>
      <c r="F2898" t="s">
        <v>13340</v>
      </c>
      <c r="G2898" t="s">
        <v>1453</v>
      </c>
      <c r="H2898">
        <v>-77.060337738623005</v>
      </c>
      <c r="I2898">
        <v>-12.007352434413599</v>
      </c>
      <c r="J2898">
        <v>45</v>
      </c>
      <c r="K2898" t="s">
        <v>27</v>
      </c>
      <c r="L2898" t="s">
        <v>27</v>
      </c>
      <c r="M2898" t="s">
        <v>27</v>
      </c>
      <c r="N2898" t="s">
        <v>27</v>
      </c>
      <c r="O2898" t="s">
        <v>27</v>
      </c>
      <c r="P2898" t="s">
        <v>27</v>
      </c>
      <c r="Q2898" t="s">
        <v>27</v>
      </c>
      <c r="R2898" t="s">
        <v>13353</v>
      </c>
      <c r="U2898" t="s">
        <v>13354</v>
      </c>
    </row>
    <row r="2899" spans="1:21" x14ac:dyDescent="0.25">
      <c r="A2899" t="s">
        <v>13355</v>
      </c>
      <c r="B2899" t="s">
        <v>22</v>
      </c>
      <c r="C2899" t="s">
        <v>13356</v>
      </c>
      <c r="D2899">
        <f>51-1-6210050</f>
        <v>-6210000</v>
      </c>
      <c r="E2899" t="s">
        <v>13339</v>
      </c>
      <c r="F2899" t="s">
        <v>13340</v>
      </c>
      <c r="G2899" t="s">
        <v>1453</v>
      </c>
      <c r="H2899">
        <v>-77.014493715624994</v>
      </c>
      <c r="I2899">
        <v>-12.1517127243934</v>
      </c>
      <c r="J2899">
        <v>45</v>
      </c>
      <c r="K2899" t="s">
        <v>27</v>
      </c>
      <c r="L2899" t="s">
        <v>27</v>
      </c>
      <c r="M2899" t="s">
        <v>27</v>
      </c>
      <c r="N2899" t="s">
        <v>27</v>
      </c>
      <c r="O2899" t="s">
        <v>27</v>
      </c>
      <c r="P2899" t="s">
        <v>27</v>
      </c>
      <c r="Q2899" t="s">
        <v>27</v>
      </c>
      <c r="R2899" t="s">
        <v>13357</v>
      </c>
      <c r="U2899" t="s">
        <v>13358</v>
      </c>
    </row>
    <row r="2900" spans="1:21" x14ac:dyDescent="0.25">
      <c r="A2900" t="s">
        <v>13359</v>
      </c>
      <c r="B2900" t="s">
        <v>22</v>
      </c>
      <c r="C2900" t="s">
        <v>13360</v>
      </c>
      <c r="D2900">
        <f>51-44-601880</f>
        <v>-601873</v>
      </c>
      <c r="E2900" t="s">
        <v>13361</v>
      </c>
      <c r="F2900" t="s">
        <v>13340</v>
      </c>
      <c r="G2900" t="s">
        <v>1453</v>
      </c>
      <c r="H2900">
        <v>-79.032262436059497</v>
      </c>
      <c r="I2900">
        <v>-8.1316544492962102</v>
      </c>
      <c r="J2900">
        <v>45</v>
      </c>
      <c r="K2900" t="s">
        <v>27</v>
      </c>
      <c r="L2900" t="s">
        <v>27</v>
      </c>
      <c r="M2900" t="s">
        <v>27</v>
      </c>
      <c r="N2900" t="s">
        <v>27</v>
      </c>
      <c r="O2900" t="s">
        <v>27</v>
      </c>
      <c r="P2900" t="s">
        <v>27</v>
      </c>
      <c r="Q2900" t="s">
        <v>27</v>
      </c>
      <c r="R2900" t="s">
        <v>13362</v>
      </c>
      <c r="U2900" t="s">
        <v>13363</v>
      </c>
    </row>
    <row r="2901" spans="1:21" x14ac:dyDescent="0.25">
      <c r="A2901" t="s">
        <v>13364</v>
      </c>
      <c r="B2901" t="s">
        <v>22</v>
      </c>
      <c r="C2901" t="s">
        <v>13365</v>
      </c>
      <c r="D2901">
        <f>51-73-601250</f>
        <v>-601272</v>
      </c>
      <c r="E2901" t="s">
        <v>13366</v>
      </c>
      <c r="F2901" t="s">
        <v>13340</v>
      </c>
      <c r="G2901" t="s">
        <v>1453</v>
      </c>
      <c r="H2901">
        <v>-80.642655108770796</v>
      </c>
      <c r="I2901">
        <v>-5.1863562485644303</v>
      </c>
      <c r="J2901">
        <v>45</v>
      </c>
      <c r="K2901" t="s">
        <v>27</v>
      </c>
      <c r="L2901" t="s">
        <v>27</v>
      </c>
      <c r="M2901" t="s">
        <v>27</v>
      </c>
      <c r="N2901" t="s">
        <v>27</v>
      </c>
      <c r="O2901" t="s">
        <v>27</v>
      </c>
      <c r="P2901" t="s">
        <v>27</v>
      </c>
      <c r="Q2901" t="s">
        <v>27</v>
      </c>
      <c r="R2901" t="s">
        <v>13367</v>
      </c>
      <c r="U2901" t="s">
        <v>13368</v>
      </c>
    </row>
    <row r="2902" spans="1:21" x14ac:dyDescent="0.25">
      <c r="A2902" t="s">
        <v>13369</v>
      </c>
      <c r="B2902" t="s">
        <v>22</v>
      </c>
      <c r="C2902" t="s">
        <v>13370</v>
      </c>
      <c r="E2902" t="s">
        <v>13339</v>
      </c>
      <c r="F2902" t="s">
        <v>13340</v>
      </c>
      <c r="G2902" t="s">
        <v>1453</v>
      </c>
      <c r="H2902">
        <v>-76.927436954687494</v>
      </c>
      <c r="I2902">
        <v>-12.0349578342801</v>
      </c>
      <c r="J2902">
        <v>45</v>
      </c>
      <c r="K2902" t="s">
        <v>27</v>
      </c>
      <c r="L2902" t="s">
        <v>27</v>
      </c>
      <c r="M2902" t="s">
        <v>27</v>
      </c>
      <c r="N2902" t="s">
        <v>27</v>
      </c>
      <c r="O2902" t="s">
        <v>27</v>
      </c>
      <c r="P2902" t="s">
        <v>27</v>
      </c>
      <c r="Q2902" t="s">
        <v>27</v>
      </c>
      <c r="R2902" t="s">
        <v>13371</v>
      </c>
      <c r="U2902" t="s">
        <v>13372</v>
      </c>
    </row>
    <row r="2903" spans="1:21" x14ac:dyDescent="0.25">
      <c r="A2903" t="s">
        <v>13373</v>
      </c>
      <c r="B2903" t="s">
        <v>22</v>
      </c>
      <c r="C2903" t="s">
        <v>13374</v>
      </c>
      <c r="E2903" t="s">
        <v>13375</v>
      </c>
      <c r="F2903" t="s">
        <v>13340</v>
      </c>
      <c r="G2903" t="s">
        <v>1453</v>
      </c>
      <c r="H2903">
        <v>-71.949867308862196</v>
      </c>
      <c r="I2903">
        <v>-13.5232712505134</v>
      </c>
      <c r="J2903">
        <v>45</v>
      </c>
      <c r="K2903" t="s">
        <v>27</v>
      </c>
      <c r="L2903" t="s">
        <v>27</v>
      </c>
      <c r="M2903" t="s">
        <v>27</v>
      </c>
      <c r="N2903" t="s">
        <v>27</v>
      </c>
      <c r="O2903" t="s">
        <v>27</v>
      </c>
      <c r="P2903" t="s">
        <v>27</v>
      </c>
      <c r="Q2903" t="s">
        <v>27</v>
      </c>
      <c r="R2903" t="s">
        <v>13376</v>
      </c>
      <c r="U2903" t="s">
        <v>13377</v>
      </c>
    </row>
    <row r="2904" spans="1:21" x14ac:dyDescent="0.25">
      <c r="A2904" t="s">
        <v>13378</v>
      </c>
      <c r="B2904" t="s">
        <v>22</v>
      </c>
      <c r="C2904" t="s">
        <v>13379</v>
      </c>
      <c r="D2904">
        <f>51-54-608796</f>
        <v>-608799</v>
      </c>
      <c r="E2904" t="s">
        <v>13380</v>
      </c>
      <c r="F2904" t="s">
        <v>13340</v>
      </c>
      <c r="G2904" t="s">
        <v>1453</v>
      </c>
      <c r="H2904">
        <v>-71.549818329757699</v>
      </c>
      <c r="I2904">
        <v>-16.389558480760499</v>
      </c>
      <c r="J2904">
        <v>45</v>
      </c>
      <c r="K2904" t="s">
        <v>27</v>
      </c>
      <c r="L2904" t="s">
        <v>27</v>
      </c>
      <c r="M2904" t="s">
        <v>27</v>
      </c>
      <c r="N2904" t="s">
        <v>27</v>
      </c>
      <c r="O2904" t="s">
        <v>27</v>
      </c>
      <c r="P2904" t="s">
        <v>27</v>
      </c>
      <c r="Q2904" t="s">
        <v>27</v>
      </c>
      <c r="R2904" t="s">
        <v>13381</v>
      </c>
      <c r="U2904" t="s">
        <v>13382</v>
      </c>
    </row>
    <row r="2905" spans="1:21" x14ac:dyDescent="0.25">
      <c r="A2905" t="s">
        <v>13383</v>
      </c>
      <c r="B2905" t="s">
        <v>22</v>
      </c>
      <c r="C2905" t="s">
        <v>13384</v>
      </c>
      <c r="E2905" t="s">
        <v>13339</v>
      </c>
      <c r="F2905" t="s">
        <v>13340</v>
      </c>
      <c r="G2905" t="s">
        <v>1453</v>
      </c>
      <c r="H2905">
        <v>-77.001423008154205</v>
      </c>
      <c r="I2905">
        <v>-12.1108326367307</v>
      </c>
      <c r="J2905">
        <v>45</v>
      </c>
      <c r="K2905" t="s">
        <v>27</v>
      </c>
      <c r="L2905" t="s">
        <v>27</v>
      </c>
      <c r="M2905" t="s">
        <v>27</v>
      </c>
      <c r="N2905" t="s">
        <v>27</v>
      </c>
      <c r="O2905" t="s">
        <v>27</v>
      </c>
      <c r="P2905" t="s">
        <v>27</v>
      </c>
      <c r="Q2905" t="s">
        <v>27</v>
      </c>
      <c r="R2905" t="s">
        <v>13385</v>
      </c>
      <c r="S2905" t="s">
        <v>13386</v>
      </c>
      <c r="U2905" t="s">
        <v>13387</v>
      </c>
    </row>
    <row r="2906" spans="1:21" x14ac:dyDescent="0.25">
      <c r="A2906" t="s">
        <v>13388</v>
      </c>
      <c r="B2906" t="s">
        <v>22</v>
      </c>
      <c r="C2906" t="s">
        <v>13389</v>
      </c>
      <c r="E2906" t="s">
        <v>13390</v>
      </c>
      <c r="F2906" t="s">
        <v>13340</v>
      </c>
      <c r="G2906" t="s">
        <v>1453</v>
      </c>
      <c r="H2906">
        <v>-75.205104843347101</v>
      </c>
      <c r="I2906">
        <v>-12.066957021849101</v>
      </c>
      <c r="J2906">
        <v>45</v>
      </c>
      <c r="K2906" t="s">
        <v>27</v>
      </c>
      <c r="L2906" t="s">
        <v>27</v>
      </c>
      <c r="M2906" t="s">
        <v>27</v>
      </c>
      <c r="N2906" t="s">
        <v>27</v>
      </c>
      <c r="O2906" t="s">
        <v>27</v>
      </c>
      <c r="P2906" t="s">
        <v>27</v>
      </c>
      <c r="Q2906" t="s">
        <v>27</v>
      </c>
      <c r="R2906" t="s">
        <v>13391</v>
      </c>
      <c r="U2906" t="s">
        <v>13392</v>
      </c>
    </row>
    <row r="2907" spans="1:21" x14ac:dyDescent="0.25">
      <c r="A2907" t="s">
        <v>13393</v>
      </c>
      <c r="B2907" t="s">
        <v>22</v>
      </c>
      <c r="C2907" t="s">
        <v>13394</v>
      </c>
      <c r="D2907">
        <f>51-76-608286</f>
        <v>-608311</v>
      </c>
      <c r="E2907" t="s">
        <v>13395</v>
      </c>
      <c r="F2907" t="s">
        <v>13340</v>
      </c>
      <c r="G2907" t="s">
        <v>1453</v>
      </c>
      <c r="H2907">
        <v>-78.509928008459397</v>
      </c>
      <c r="I2907">
        <v>-7.1491957844004901</v>
      </c>
      <c r="J2907">
        <v>45</v>
      </c>
      <c r="K2907" t="s">
        <v>27</v>
      </c>
      <c r="L2907" t="s">
        <v>27</v>
      </c>
      <c r="M2907" t="s">
        <v>27</v>
      </c>
      <c r="N2907" t="s">
        <v>27</v>
      </c>
      <c r="O2907" t="s">
        <v>27</v>
      </c>
      <c r="P2907" t="s">
        <v>27</v>
      </c>
      <c r="Q2907" t="s">
        <v>27</v>
      </c>
      <c r="R2907" t="s">
        <v>13396</v>
      </c>
      <c r="U2907" t="s">
        <v>13397</v>
      </c>
    </row>
    <row r="2908" spans="1:21" x14ac:dyDescent="0.25">
      <c r="A2908" t="s">
        <v>13398</v>
      </c>
      <c r="B2908" t="s">
        <v>22</v>
      </c>
      <c r="C2908" t="s">
        <v>13399</v>
      </c>
      <c r="E2908" t="s">
        <v>13339</v>
      </c>
      <c r="F2908" t="s">
        <v>13340</v>
      </c>
      <c r="G2908" t="s">
        <v>1453</v>
      </c>
      <c r="H2908">
        <v>-77.042793399999994</v>
      </c>
      <c r="I2908">
        <v>-12.046374</v>
      </c>
      <c r="J2908">
        <v>45</v>
      </c>
      <c r="K2908" t="s">
        <v>27</v>
      </c>
      <c r="L2908" t="s">
        <v>27</v>
      </c>
      <c r="M2908" t="s">
        <v>27</v>
      </c>
      <c r="N2908" t="s">
        <v>27</v>
      </c>
      <c r="O2908" t="s">
        <v>27</v>
      </c>
      <c r="P2908" t="s">
        <v>27</v>
      </c>
      <c r="Q2908" t="s">
        <v>27</v>
      </c>
      <c r="R2908" t="s">
        <v>13400</v>
      </c>
      <c r="T2908" t="s">
        <v>13339</v>
      </c>
      <c r="U2908" t="s">
        <v>13401</v>
      </c>
    </row>
    <row r="2909" spans="1:21" x14ac:dyDescent="0.25">
      <c r="A2909" t="s">
        <v>13402</v>
      </c>
      <c r="B2909" t="s">
        <v>22</v>
      </c>
      <c r="C2909" t="s">
        <v>13403</v>
      </c>
      <c r="E2909" t="s">
        <v>13339</v>
      </c>
      <c r="F2909" t="s">
        <v>13340</v>
      </c>
      <c r="G2909" t="s">
        <v>1453</v>
      </c>
      <c r="H2909">
        <v>-77.042793399999994</v>
      </c>
      <c r="I2909">
        <v>-12.046374</v>
      </c>
      <c r="J2909">
        <v>45</v>
      </c>
      <c r="K2909" t="s">
        <v>27</v>
      </c>
      <c r="L2909" t="s">
        <v>27</v>
      </c>
      <c r="M2909" t="s">
        <v>27</v>
      </c>
      <c r="N2909" t="s">
        <v>27</v>
      </c>
      <c r="O2909" t="s">
        <v>27</v>
      </c>
      <c r="P2909" t="s">
        <v>27</v>
      </c>
      <c r="Q2909" t="s">
        <v>27</v>
      </c>
      <c r="R2909" t="s">
        <v>13404</v>
      </c>
      <c r="U2909" t="s">
        <v>13405</v>
      </c>
    </row>
    <row r="2910" spans="1:21" x14ac:dyDescent="0.25">
      <c r="A2910" t="s">
        <v>13406</v>
      </c>
      <c r="B2910" t="s">
        <v>22</v>
      </c>
      <c r="C2910" t="s">
        <v>13407</v>
      </c>
      <c r="D2910">
        <f>51-54-608531</f>
        <v>-608534</v>
      </c>
      <c r="E2910" t="s">
        <v>13380</v>
      </c>
      <c r="F2910" t="s">
        <v>13340</v>
      </c>
      <c r="G2910" t="s">
        <v>1453</v>
      </c>
      <c r="H2910">
        <v>-71.513933391357398</v>
      </c>
      <c r="I2910">
        <v>-16.417116038281499</v>
      </c>
      <c r="J2910">
        <v>45</v>
      </c>
      <c r="K2910" t="s">
        <v>27</v>
      </c>
      <c r="L2910" t="s">
        <v>27</v>
      </c>
      <c r="M2910" t="s">
        <v>27</v>
      </c>
      <c r="N2910" t="s">
        <v>27</v>
      </c>
      <c r="O2910" t="s">
        <v>27</v>
      </c>
      <c r="P2910" t="s">
        <v>27</v>
      </c>
      <c r="Q2910" t="s">
        <v>27</v>
      </c>
      <c r="R2910" t="s">
        <v>13408</v>
      </c>
      <c r="U2910" t="s">
        <v>13409</v>
      </c>
    </row>
    <row r="2911" spans="1:21" x14ac:dyDescent="0.25">
      <c r="A2911" t="s">
        <v>13410</v>
      </c>
      <c r="B2911" t="s">
        <v>22</v>
      </c>
      <c r="C2911" t="s">
        <v>13411</v>
      </c>
      <c r="E2911" t="s">
        <v>13412</v>
      </c>
      <c r="F2911" t="s">
        <v>13340</v>
      </c>
      <c r="G2911" t="s">
        <v>1453</v>
      </c>
      <c r="H2911">
        <v>-79.861227903301995</v>
      </c>
      <c r="I2911">
        <v>-6.7622783699511704</v>
      </c>
      <c r="J2911">
        <v>45</v>
      </c>
      <c r="K2911" t="s">
        <v>27</v>
      </c>
      <c r="L2911" t="s">
        <v>27</v>
      </c>
      <c r="M2911" t="s">
        <v>27</v>
      </c>
      <c r="N2911" t="s">
        <v>27</v>
      </c>
      <c r="O2911" t="s">
        <v>27</v>
      </c>
      <c r="P2911" t="s">
        <v>27</v>
      </c>
      <c r="Q2911" t="s">
        <v>27</v>
      </c>
      <c r="R2911" t="s">
        <v>13413</v>
      </c>
      <c r="U2911" t="s">
        <v>13414</v>
      </c>
    </row>
    <row r="2912" spans="1:21" x14ac:dyDescent="0.25">
      <c r="A2912" t="s">
        <v>13415</v>
      </c>
      <c r="B2912" t="s">
        <v>22</v>
      </c>
      <c r="E2912" t="s">
        <v>13339</v>
      </c>
      <c r="F2912" t="s">
        <v>13340</v>
      </c>
      <c r="G2912" t="s">
        <v>1453</v>
      </c>
      <c r="H2912">
        <v>-76.999405986975106</v>
      </c>
      <c r="I2912">
        <v>-12.0164475058156</v>
      </c>
      <c r="J2912">
        <v>45</v>
      </c>
      <c r="R2912" t="s">
        <v>13416</v>
      </c>
      <c r="U2912" t="s">
        <v>13417</v>
      </c>
    </row>
    <row r="2913" spans="1:21" x14ac:dyDescent="0.25">
      <c r="A2913" t="s">
        <v>13418</v>
      </c>
      <c r="B2913" t="s">
        <v>38</v>
      </c>
      <c r="C2913" t="s">
        <v>13419</v>
      </c>
      <c r="E2913" t="s">
        <v>13339</v>
      </c>
      <c r="F2913" t="s">
        <v>13340</v>
      </c>
      <c r="G2913" t="s">
        <v>1453</v>
      </c>
      <c r="H2913">
        <v>-77.111394000000004</v>
      </c>
      <c r="I2913">
        <v>-12.047791999999999</v>
      </c>
      <c r="J2913">
        <v>45</v>
      </c>
      <c r="K2913" t="s">
        <v>27</v>
      </c>
      <c r="L2913" t="s">
        <v>27</v>
      </c>
      <c r="M2913" t="s">
        <v>27</v>
      </c>
      <c r="N2913" t="s">
        <v>27</v>
      </c>
      <c r="O2913" t="s">
        <v>27</v>
      </c>
      <c r="P2913" t="s">
        <v>27</v>
      </c>
      <c r="Q2913" t="s">
        <v>27</v>
      </c>
      <c r="R2913" t="s">
        <v>13420</v>
      </c>
      <c r="U2913" t="s">
        <v>13421</v>
      </c>
    </row>
    <row r="2914" spans="1:21" x14ac:dyDescent="0.25">
      <c r="A2914" t="s">
        <v>13422</v>
      </c>
      <c r="B2914" t="s">
        <v>2322</v>
      </c>
      <c r="C2914" t="s">
        <v>13423</v>
      </c>
      <c r="D2914">
        <f>63-25315374</f>
        <v>-25315311</v>
      </c>
      <c r="E2914" t="s">
        <v>13424</v>
      </c>
      <c r="F2914" t="s">
        <v>13425</v>
      </c>
      <c r="G2914" t="s">
        <v>13426</v>
      </c>
      <c r="H2914">
        <v>121.05703034381099</v>
      </c>
      <c r="I2914">
        <v>14.583303960555501</v>
      </c>
      <c r="J2914">
        <v>215</v>
      </c>
      <c r="K2914" t="s">
        <v>428</v>
      </c>
      <c r="L2914" t="s">
        <v>428</v>
      </c>
      <c r="M2914" t="s">
        <v>428</v>
      </c>
      <c r="N2914" t="s">
        <v>428</v>
      </c>
      <c r="O2914" t="s">
        <v>428</v>
      </c>
      <c r="P2914" t="s">
        <v>428</v>
      </c>
      <c r="Q2914" t="s">
        <v>428</v>
      </c>
      <c r="R2914" t="s">
        <v>13427</v>
      </c>
      <c r="S2914" t="s">
        <v>13428</v>
      </c>
      <c r="U2914" t="s">
        <v>13429</v>
      </c>
    </row>
    <row r="2915" spans="1:21" x14ac:dyDescent="0.25">
      <c r="A2915" t="s">
        <v>13430</v>
      </c>
      <c r="B2915" t="s">
        <v>32</v>
      </c>
      <c r="C2915" t="s">
        <v>13431</v>
      </c>
      <c r="D2915">
        <f>632-8931619</f>
        <v>-8930987</v>
      </c>
      <c r="E2915" t="s">
        <v>13432</v>
      </c>
      <c r="F2915" t="s">
        <v>13425</v>
      </c>
      <c r="G2915" t="s">
        <v>13426</v>
      </c>
      <c r="H2915">
        <v>121.026750489563</v>
      </c>
      <c r="I2915">
        <v>14.549808437134001</v>
      </c>
      <c r="J2915">
        <v>227</v>
      </c>
      <c r="K2915" t="s">
        <v>45</v>
      </c>
      <c r="L2915" t="s">
        <v>45</v>
      </c>
      <c r="M2915" t="s">
        <v>45</v>
      </c>
      <c r="N2915" t="s">
        <v>45</v>
      </c>
      <c r="O2915" t="s">
        <v>536</v>
      </c>
      <c r="P2915" t="s">
        <v>536</v>
      </c>
      <c r="Q2915" t="s">
        <v>536</v>
      </c>
      <c r="R2915" t="s">
        <v>13433</v>
      </c>
      <c r="S2915" t="s">
        <v>13434</v>
      </c>
      <c r="U2915" t="s">
        <v>13435</v>
      </c>
    </row>
    <row r="2916" spans="1:21" x14ac:dyDescent="0.25">
      <c r="A2916" t="s">
        <v>13436</v>
      </c>
      <c r="B2916" t="s">
        <v>22</v>
      </c>
      <c r="C2916" t="s">
        <v>13437</v>
      </c>
      <c r="D2916">
        <f>63-22565054</f>
        <v>-22564991</v>
      </c>
      <c r="E2916" t="s">
        <v>13438</v>
      </c>
      <c r="F2916" t="s">
        <v>13425</v>
      </c>
      <c r="G2916" t="s">
        <v>13426</v>
      </c>
      <c r="H2916">
        <v>120.984229</v>
      </c>
      <c r="I2916">
        <v>14.576974999999999</v>
      </c>
      <c r="J2916">
        <v>215</v>
      </c>
      <c r="K2916" t="s">
        <v>45</v>
      </c>
      <c r="L2916" t="s">
        <v>45</v>
      </c>
      <c r="M2916" t="s">
        <v>45</v>
      </c>
      <c r="N2916" t="s">
        <v>45</v>
      </c>
      <c r="O2916" t="s">
        <v>536</v>
      </c>
      <c r="P2916" t="s">
        <v>536</v>
      </c>
      <c r="Q2916" t="s">
        <v>45</v>
      </c>
      <c r="R2916" t="s">
        <v>13439</v>
      </c>
      <c r="S2916" t="s">
        <v>13440</v>
      </c>
      <c r="U2916" t="s">
        <v>13441</v>
      </c>
    </row>
    <row r="2917" spans="1:21" x14ac:dyDescent="0.25">
      <c r="A2917" t="s">
        <v>13442</v>
      </c>
      <c r="B2917" t="s">
        <v>22</v>
      </c>
      <c r="C2917" t="s">
        <v>13443</v>
      </c>
      <c r="D2917">
        <f>63-25315786</f>
        <v>-25315723</v>
      </c>
      <c r="E2917" t="s">
        <v>13444</v>
      </c>
      <c r="F2917" t="s">
        <v>13425</v>
      </c>
      <c r="G2917" t="s">
        <v>13426</v>
      </c>
      <c r="H2917">
        <v>121.03767402442</v>
      </c>
      <c r="I2917">
        <v>14.614830875792499</v>
      </c>
      <c r="J2917">
        <v>215</v>
      </c>
      <c r="K2917" t="s">
        <v>535</v>
      </c>
      <c r="L2917" t="s">
        <v>535</v>
      </c>
      <c r="M2917" t="s">
        <v>535</v>
      </c>
      <c r="N2917" t="s">
        <v>535</v>
      </c>
      <c r="O2917" t="s">
        <v>535</v>
      </c>
      <c r="P2917" t="s">
        <v>535</v>
      </c>
      <c r="Q2917" t="s">
        <v>535</v>
      </c>
      <c r="R2917" t="s">
        <v>13445</v>
      </c>
      <c r="S2917" t="s">
        <v>13446</v>
      </c>
      <c r="U2917" t="s">
        <v>13447</v>
      </c>
    </row>
    <row r="2918" spans="1:21" x14ac:dyDescent="0.25">
      <c r="A2918" t="s">
        <v>13448</v>
      </c>
      <c r="B2918" t="s">
        <v>22</v>
      </c>
      <c r="C2918" t="s">
        <v>13449</v>
      </c>
      <c r="D2918">
        <f>63-23512638</f>
        <v>-23512575</v>
      </c>
      <c r="E2918" t="s">
        <v>13444</v>
      </c>
      <c r="F2918" t="s">
        <v>13425</v>
      </c>
      <c r="G2918" t="s">
        <v>13426</v>
      </c>
      <c r="H2918">
        <v>121.030334950634</v>
      </c>
      <c r="I2918">
        <v>14.6567697916705</v>
      </c>
      <c r="J2918">
        <v>215</v>
      </c>
      <c r="K2918" t="s">
        <v>428</v>
      </c>
      <c r="L2918" t="s">
        <v>428</v>
      </c>
      <c r="M2918" t="s">
        <v>428</v>
      </c>
      <c r="N2918" t="s">
        <v>428</v>
      </c>
      <c r="O2918" t="s">
        <v>428</v>
      </c>
      <c r="P2918" t="s">
        <v>428</v>
      </c>
      <c r="Q2918" t="s">
        <v>428</v>
      </c>
      <c r="R2918" t="s">
        <v>13450</v>
      </c>
      <c r="S2918" t="s">
        <v>13451</v>
      </c>
      <c r="U2918" t="s">
        <v>13452</v>
      </c>
    </row>
    <row r="2919" spans="1:21" x14ac:dyDescent="0.25">
      <c r="A2919" t="s">
        <v>13453</v>
      </c>
      <c r="B2919" t="s">
        <v>22</v>
      </c>
      <c r="C2919" t="s">
        <v>13454</v>
      </c>
      <c r="D2919">
        <f>63-28211046</f>
        <v>-28210983</v>
      </c>
      <c r="E2919" t="s">
        <v>13455</v>
      </c>
      <c r="F2919" t="s">
        <v>13425</v>
      </c>
      <c r="G2919" t="s">
        <v>13426</v>
      </c>
      <c r="H2919">
        <v>120.98220000000001</v>
      </c>
      <c r="I2919">
        <v>14.5351</v>
      </c>
      <c r="J2919">
        <v>215</v>
      </c>
      <c r="K2919" t="s">
        <v>45</v>
      </c>
      <c r="L2919" t="s">
        <v>45</v>
      </c>
      <c r="M2919" t="s">
        <v>45</v>
      </c>
      <c r="N2919" t="s">
        <v>45</v>
      </c>
      <c r="O2919" t="s">
        <v>45</v>
      </c>
      <c r="P2919" t="s">
        <v>536</v>
      </c>
      <c r="Q2919" t="s">
        <v>536</v>
      </c>
      <c r="R2919" t="s">
        <v>13456</v>
      </c>
      <c r="S2919" t="s">
        <v>13457</v>
      </c>
      <c r="U2919" t="s">
        <v>13458</v>
      </c>
    </row>
    <row r="2920" spans="1:21" x14ac:dyDescent="0.25">
      <c r="A2920" t="s">
        <v>13459</v>
      </c>
      <c r="B2920" t="s">
        <v>22</v>
      </c>
      <c r="C2920" t="s">
        <v>13460</v>
      </c>
      <c r="D2920">
        <f>63-28058656</f>
        <v>-28058593</v>
      </c>
      <c r="E2920" t="s">
        <v>13461</v>
      </c>
      <c r="F2920" t="s">
        <v>13425</v>
      </c>
      <c r="G2920" t="s">
        <v>13426</v>
      </c>
      <c r="H2920">
        <v>121.053512</v>
      </c>
      <c r="I2920">
        <v>14.556673999999999</v>
      </c>
      <c r="J2920">
        <v>215</v>
      </c>
      <c r="K2920" t="s">
        <v>165</v>
      </c>
      <c r="L2920" t="s">
        <v>165</v>
      </c>
      <c r="M2920" t="s">
        <v>165</v>
      </c>
      <c r="N2920" t="s">
        <v>165</v>
      </c>
      <c r="O2920" t="s">
        <v>165</v>
      </c>
      <c r="P2920" t="s">
        <v>165</v>
      </c>
      <c r="Q2920" t="s">
        <v>165</v>
      </c>
      <c r="R2920" t="s">
        <v>13462</v>
      </c>
      <c r="S2920" t="s">
        <v>13463</v>
      </c>
      <c r="U2920" t="s">
        <v>13464</v>
      </c>
    </row>
    <row r="2921" spans="1:21" x14ac:dyDescent="0.25">
      <c r="A2921" t="s">
        <v>13465</v>
      </c>
      <c r="B2921" t="s">
        <v>22</v>
      </c>
      <c r="C2921" t="s">
        <v>13466</v>
      </c>
      <c r="D2921">
        <f>63-22883765</f>
        <v>-22883702</v>
      </c>
      <c r="E2921" t="s">
        <v>13444</v>
      </c>
      <c r="F2921" t="s">
        <v>13425</v>
      </c>
      <c r="G2921" t="s">
        <v>13426</v>
      </c>
      <c r="H2921">
        <v>121.058811330596</v>
      </c>
      <c r="I2921">
        <v>14.732822728398601</v>
      </c>
      <c r="J2921">
        <v>215</v>
      </c>
      <c r="K2921" t="s">
        <v>428</v>
      </c>
      <c r="L2921" t="s">
        <v>428</v>
      </c>
      <c r="M2921" t="s">
        <v>428</v>
      </c>
      <c r="N2921" t="s">
        <v>428</v>
      </c>
      <c r="O2921" t="s">
        <v>428</v>
      </c>
      <c r="P2921" t="s">
        <v>428</v>
      </c>
      <c r="Q2921" t="s">
        <v>428</v>
      </c>
      <c r="R2921" t="s">
        <v>13467</v>
      </c>
      <c r="S2921" t="s">
        <v>13468</v>
      </c>
      <c r="U2921" t="s">
        <v>13469</v>
      </c>
    </row>
    <row r="2922" spans="1:21" x14ac:dyDescent="0.25">
      <c r="A2922" t="s">
        <v>13470</v>
      </c>
      <c r="B2922" t="s">
        <v>22</v>
      </c>
      <c r="C2922" t="s">
        <v>13471</v>
      </c>
      <c r="D2922">
        <f>63-28357733</f>
        <v>-28357670</v>
      </c>
      <c r="E2922" t="s">
        <v>13472</v>
      </c>
      <c r="F2922" t="s">
        <v>13425</v>
      </c>
      <c r="G2922" t="s">
        <v>13426</v>
      </c>
      <c r="H2922">
        <v>121.010229639672</v>
      </c>
      <c r="I2922">
        <v>14.4327690619262</v>
      </c>
      <c r="J2922">
        <v>215</v>
      </c>
      <c r="K2922" t="s">
        <v>536</v>
      </c>
      <c r="L2922" t="s">
        <v>536</v>
      </c>
      <c r="M2922" t="s">
        <v>536</v>
      </c>
      <c r="N2922" t="s">
        <v>536</v>
      </c>
      <c r="O2922" t="s">
        <v>536</v>
      </c>
      <c r="P2922" t="s">
        <v>536</v>
      </c>
      <c r="Q2922" t="s">
        <v>536</v>
      </c>
      <c r="R2922" t="s">
        <v>13473</v>
      </c>
      <c r="S2922" t="s">
        <v>13474</v>
      </c>
      <c r="U2922" t="s">
        <v>13475</v>
      </c>
    </row>
    <row r="2923" spans="1:21" x14ac:dyDescent="0.25">
      <c r="A2923" t="s">
        <v>13476</v>
      </c>
      <c r="B2923" t="s">
        <v>22</v>
      </c>
      <c r="C2923" t="s">
        <v>13477</v>
      </c>
      <c r="D2923">
        <f>63-323677880</f>
        <v>-323677817</v>
      </c>
      <c r="E2923" t="s">
        <v>13478</v>
      </c>
      <c r="F2923" t="s">
        <v>13425</v>
      </c>
      <c r="G2923" t="s">
        <v>13426</v>
      </c>
      <c r="H2923">
        <v>123.881546640197</v>
      </c>
      <c r="I2923">
        <v>10.281700426318</v>
      </c>
      <c r="J2923">
        <v>215</v>
      </c>
      <c r="K2923" t="s">
        <v>536</v>
      </c>
      <c r="L2923" t="s">
        <v>536</v>
      </c>
      <c r="M2923" t="s">
        <v>536</v>
      </c>
      <c r="N2923" t="s">
        <v>536</v>
      </c>
      <c r="O2923" t="s">
        <v>536</v>
      </c>
      <c r="P2923" t="s">
        <v>536</v>
      </c>
      <c r="Q2923" t="s">
        <v>536</v>
      </c>
      <c r="R2923" t="s">
        <v>13479</v>
      </c>
      <c r="S2923" t="s">
        <v>13480</v>
      </c>
      <c r="U2923" t="s">
        <v>13481</v>
      </c>
    </row>
    <row r="2924" spans="1:21" x14ac:dyDescent="0.25">
      <c r="A2924" t="s">
        <v>13482</v>
      </c>
      <c r="B2924" t="s">
        <v>22</v>
      </c>
      <c r="C2924" t="s">
        <v>13483</v>
      </c>
      <c r="D2924">
        <f>63-322321562</f>
        <v>-322321499</v>
      </c>
      <c r="E2924" t="s">
        <v>13478</v>
      </c>
      <c r="F2924" t="s">
        <v>13425</v>
      </c>
      <c r="G2924" t="s">
        <v>13426</v>
      </c>
      <c r="H2924">
        <v>123.904808966101</v>
      </c>
      <c r="I2924">
        <v>10.3184556497435</v>
      </c>
      <c r="J2924">
        <v>215</v>
      </c>
      <c r="K2924" t="s">
        <v>536</v>
      </c>
      <c r="L2924" t="s">
        <v>536</v>
      </c>
      <c r="M2924" t="s">
        <v>536</v>
      </c>
      <c r="N2924" t="s">
        <v>536</v>
      </c>
      <c r="O2924" t="s">
        <v>536</v>
      </c>
      <c r="P2924" t="s">
        <v>536</v>
      </c>
      <c r="Q2924" t="s">
        <v>536</v>
      </c>
      <c r="R2924" t="s">
        <v>13484</v>
      </c>
      <c r="S2924" t="s">
        <v>13485</v>
      </c>
      <c r="U2924" t="s">
        <v>13486</v>
      </c>
    </row>
    <row r="2925" spans="1:21" x14ac:dyDescent="0.25">
      <c r="A2925" t="s">
        <v>13487</v>
      </c>
      <c r="B2925" t="s">
        <v>22</v>
      </c>
      <c r="C2925" t="s">
        <v>13488</v>
      </c>
      <c r="D2925">
        <f>63-28359061</f>
        <v>-28358998</v>
      </c>
      <c r="E2925" t="s">
        <v>13472</v>
      </c>
      <c r="F2925" t="s">
        <v>13425</v>
      </c>
      <c r="G2925" t="s">
        <v>13426</v>
      </c>
      <c r="H2925">
        <v>121.0389</v>
      </c>
      <c r="I2925">
        <v>14.415699999999999</v>
      </c>
      <c r="J2925">
        <v>215</v>
      </c>
      <c r="K2925" t="s">
        <v>1035</v>
      </c>
      <c r="L2925" t="s">
        <v>1035</v>
      </c>
      <c r="M2925" t="s">
        <v>1035</v>
      </c>
      <c r="N2925" t="s">
        <v>1035</v>
      </c>
      <c r="O2925" t="s">
        <v>1035</v>
      </c>
      <c r="P2925" t="s">
        <v>1035</v>
      </c>
      <c r="Q2925" t="s">
        <v>1035</v>
      </c>
      <c r="R2925" t="s">
        <v>13489</v>
      </c>
      <c r="S2925" t="s">
        <v>13490</v>
      </c>
      <c r="U2925" t="s">
        <v>13491</v>
      </c>
    </row>
    <row r="2926" spans="1:21" x14ac:dyDescent="0.25">
      <c r="A2926" t="s">
        <v>13492</v>
      </c>
      <c r="B2926" t="s">
        <v>38</v>
      </c>
      <c r="C2926" t="s">
        <v>13493</v>
      </c>
      <c r="D2926">
        <f>63-464352622</f>
        <v>-464352559</v>
      </c>
      <c r="E2926" t="s">
        <v>13494</v>
      </c>
      <c r="F2926" t="s">
        <v>13425</v>
      </c>
      <c r="G2926" t="s">
        <v>13426</v>
      </c>
      <c r="H2926">
        <v>120.957060393115</v>
      </c>
      <c r="I2926">
        <v>14.301809661038099</v>
      </c>
      <c r="J2926">
        <v>215</v>
      </c>
      <c r="K2926" t="s">
        <v>45</v>
      </c>
      <c r="L2926" t="s">
        <v>45</v>
      </c>
      <c r="M2926" t="s">
        <v>45</v>
      </c>
      <c r="N2926" t="s">
        <v>45</v>
      </c>
      <c r="O2926" t="s">
        <v>45</v>
      </c>
      <c r="P2926" t="s">
        <v>45</v>
      </c>
      <c r="Q2926" t="s">
        <v>45</v>
      </c>
      <c r="R2926" t="s">
        <v>13495</v>
      </c>
      <c r="S2926" t="s">
        <v>13496</v>
      </c>
      <c r="U2926" t="s">
        <v>13497</v>
      </c>
    </row>
    <row r="2927" spans="1:21" x14ac:dyDescent="0.25">
      <c r="A2927" t="s">
        <v>13498</v>
      </c>
      <c r="B2927" t="s">
        <v>38</v>
      </c>
      <c r="C2927" t="s">
        <v>13499</v>
      </c>
      <c r="D2927">
        <f>63-344352374</f>
        <v>-344352311</v>
      </c>
      <c r="E2927" t="s">
        <v>13500</v>
      </c>
      <c r="F2927" t="s">
        <v>13425</v>
      </c>
      <c r="G2927" t="s">
        <v>13426</v>
      </c>
      <c r="H2927">
        <v>122.944385</v>
      </c>
      <c r="I2927">
        <v>10.673137000000001</v>
      </c>
      <c r="J2927">
        <v>215</v>
      </c>
      <c r="K2927" t="s">
        <v>536</v>
      </c>
      <c r="L2927" t="s">
        <v>536</v>
      </c>
      <c r="M2927" t="s">
        <v>536</v>
      </c>
      <c r="N2927" t="s">
        <v>536</v>
      </c>
      <c r="O2927" t="s">
        <v>536</v>
      </c>
      <c r="P2927" t="s">
        <v>536</v>
      </c>
      <c r="Q2927" t="s">
        <v>536</v>
      </c>
      <c r="R2927" t="s">
        <v>13501</v>
      </c>
      <c r="S2927" t="s">
        <v>13502</v>
      </c>
      <c r="U2927" t="s">
        <v>13503</v>
      </c>
    </row>
    <row r="2928" spans="1:21" x14ac:dyDescent="0.25">
      <c r="A2928" t="s">
        <v>13504</v>
      </c>
      <c r="B2928" t="s">
        <v>38</v>
      </c>
      <c r="C2928" t="s">
        <v>13505</v>
      </c>
      <c r="D2928">
        <f>63-454970516</f>
        <v>-454970453</v>
      </c>
      <c r="E2928" t="s">
        <v>13506</v>
      </c>
      <c r="F2928" t="s">
        <v>13425</v>
      </c>
      <c r="G2928" t="s">
        <v>13426</v>
      </c>
      <c r="H2928">
        <v>120.609821</v>
      </c>
      <c r="I2928">
        <v>15.163040000000001</v>
      </c>
      <c r="J2928">
        <v>215</v>
      </c>
      <c r="K2928" t="s">
        <v>45</v>
      </c>
      <c r="L2928" t="s">
        <v>45</v>
      </c>
      <c r="M2928" t="s">
        <v>45</v>
      </c>
      <c r="N2928" t="s">
        <v>45</v>
      </c>
      <c r="O2928" t="s">
        <v>45</v>
      </c>
      <c r="P2928" t="s">
        <v>45</v>
      </c>
      <c r="Q2928" t="s">
        <v>45</v>
      </c>
      <c r="R2928" t="s">
        <v>13507</v>
      </c>
      <c r="S2928" t="s">
        <v>13508</v>
      </c>
      <c r="U2928" t="s">
        <v>13509</v>
      </c>
    </row>
    <row r="2929" spans="1:21" x14ac:dyDescent="0.25">
      <c r="A2929" t="s">
        <v>13510</v>
      </c>
      <c r="B2929" t="s">
        <v>38</v>
      </c>
      <c r="C2929" t="s">
        <v>13511</v>
      </c>
      <c r="D2929">
        <f>63-4-54555746</f>
        <v>-54555687</v>
      </c>
      <c r="E2929" t="s">
        <v>13512</v>
      </c>
      <c r="F2929" t="s">
        <v>13425</v>
      </c>
      <c r="G2929" t="s">
        <v>13426</v>
      </c>
      <c r="H2929">
        <v>120.69835399999999</v>
      </c>
      <c r="I2929">
        <v>15.053074000000001</v>
      </c>
      <c r="J2929">
        <v>215</v>
      </c>
      <c r="K2929" t="s">
        <v>536</v>
      </c>
      <c r="L2929" t="s">
        <v>536</v>
      </c>
      <c r="M2929" t="s">
        <v>536</v>
      </c>
      <c r="N2929" t="s">
        <v>536</v>
      </c>
      <c r="O2929" t="s">
        <v>536</v>
      </c>
      <c r="P2929" t="s">
        <v>536</v>
      </c>
      <c r="Q2929" t="s">
        <v>536</v>
      </c>
      <c r="R2929" t="s">
        <v>13513</v>
      </c>
      <c r="S2929" t="s">
        <v>13514</v>
      </c>
      <c r="U2929" t="s">
        <v>13515</v>
      </c>
    </row>
    <row r="2930" spans="1:21" x14ac:dyDescent="0.25">
      <c r="A2930" t="s">
        <v>13516</v>
      </c>
      <c r="B2930" t="s">
        <v>22</v>
      </c>
      <c r="C2930" t="s">
        <v>13517</v>
      </c>
      <c r="D2930">
        <f>63-22817046</f>
        <v>-22816983</v>
      </c>
      <c r="E2930" t="s">
        <v>13444</v>
      </c>
      <c r="F2930" t="s">
        <v>13425</v>
      </c>
      <c r="G2930" t="s">
        <v>13426</v>
      </c>
      <c r="H2930">
        <v>121.075225</v>
      </c>
      <c r="I2930">
        <v>14.651081</v>
      </c>
      <c r="J2930">
        <v>215</v>
      </c>
      <c r="K2930" t="s">
        <v>428</v>
      </c>
      <c r="L2930" t="s">
        <v>428</v>
      </c>
      <c r="M2930" t="s">
        <v>428</v>
      </c>
      <c r="N2930" t="s">
        <v>428</v>
      </c>
      <c r="O2930" t="s">
        <v>428</v>
      </c>
      <c r="P2930" t="s">
        <v>428</v>
      </c>
      <c r="Q2930" t="s">
        <v>428</v>
      </c>
      <c r="R2930" t="s">
        <v>13518</v>
      </c>
      <c r="S2930" t="s">
        <v>13519</v>
      </c>
      <c r="U2930" t="s">
        <v>13520</v>
      </c>
    </row>
    <row r="2931" spans="1:21" x14ac:dyDescent="0.25">
      <c r="A2931" t="s">
        <v>13521</v>
      </c>
      <c r="B2931" t="s">
        <v>38</v>
      </c>
      <c r="C2931" t="s">
        <v>13522</v>
      </c>
      <c r="D2931">
        <f>63-22772364</f>
        <v>-22772301</v>
      </c>
      <c r="E2931" t="s">
        <v>13444</v>
      </c>
      <c r="F2931" t="s">
        <v>13425</v>
      </c>
      <c r="G2931" t="s">
        <v>13426</v>
      </c>
      <c r="H2931">
        <v>121.05385460833701</v>
      </c>
      <c r="I2931">
        <v>14.6190192033536</v>
      </c>
      <c r="J2931">
        <v>215</v>
      </c>
      <c r="K2931" t="s">
        <v>535</v>
      </c>
      <c r="L2931" t="s">
        <v>535</v>
      </c>
      <c r="M2931" t="s">
        <v>535</v>
      </c>
      <c r="N2931" t="s">
        <v>535</v>
      </c>
      <c r="O2931" t="s">
        <v>535</v>
      </c>
      <c r="P2931" t="s">
        <v>535</v>
      </c>
      <c r="Q2931" t="s">
        <v>535</v>
      </c>
      <c r="R2931" t="s">
        <v>13523</v>
      </c>
      <c r="S2931" t="s">
        <v>13524</v>
      </c>
      <c r="U2931" t="s">
        <v>13525</v>
      </c>
    </row>
    <row r="2932" spans="1:21" x14ac:dyDescent="0.25">
      <c r="A2932" t="s">
        <v>13526</v>
      </c>
      <c r="B2932" t="s">
        <v>38</v>
      </c>
      <c r="C2932" t="s">
        <v>13527</v>
      </c>
      <c r="D2932">
        <f>63-454990680</f>
        <v>-454990617</v>
      </c>
      <c r="E2932" t="s">
        <v>13506</v>
      </c>
      <c r="F2932" t="s">
        <v>13425</v>
      </c>
      <c r="G2932" t="s">
        <v>13426</v>
      </c>
      <c r="H2932">
        <v>120.580000017968</v>
      </c>
      <c r="I2932">
        <v>15.168616883203001</v>
      </c>
      <c r="J2932">
        <v>215</v>
      </c>
      <c r="K2932" t="s">
        <v>536</v>
      </c>
      <c r="L2932" t="s">
        <v>536</v>
      </c>
      <c r="M2932" t="s">
        <v>536</v>
      </c>
      <c r="N2932" t="s">
        <v>536</v>
      </c>
      <c r="O2932" t="s">
        <v>536</v>
      </c>
      <c r="P2932" t="s">
        <v>536</v>
      </c>
      <c r="Q2932" t="s">
        <v>536</v>
      </c>
      <c r="R2932" t="s">
        <v>13528</v>
      </c>
      <c r="S2932" t="s">
        <v>13529</v>
      </c>
      <c r="U2932" t="s">
        <v>13530</v>
      </c>
    </row>
    <row r="2933" spans="1:21" x14ac:dyDescent="0.25">
      <c r="A2933" t="s">
        <v>13531</v>
      </c>
      <c r="B2933" t="s">
        <v>38</v>
      </c>
      <c r="C2933" t="s">
        <v>13532</v>
      </c>
      <c r="D2933">
        <f>63-822969702</f>
        <v>-822969639</v>
      </c>
      <c r="E2933" t="s">
        <v>13533</v>
      </c>
      <c r="F2933" t="s">
        <v>13425</v>
      </c>
      <c r="G2933" t="s">
        <v>13426</v>
      </c>
      <c r="H2933">
        <v>125.61078999999999</v>
      </c>
      <c r="I2933">
        <v>7.0906580000000003</v>
      </c>
      <c r="J2933">
        <v>215</v>
      </c>
      <c r="K2933" t="s">
        <v>45</v>
      </c>
      <c r="L2933" t="s">
        <v>45</v>
      </c>
      <c r="M2933" t="s">
        <v>45</v>
      </c>
      <c r="N2933" t="s">
        <v>45</v>
      </c>
      <c r="O2933" t="s">
        <v>536</v>
      </c>
      <c r="P2933" t="s">
        <v>536</v>
      </c>
      <c r="Q2933" t="s">
        <v>45</v>
      </c>
      <c r="R2933" t="s">
        <v>13534</v>
      </c>
      <c r="S2933" t="s">
        <v>13535</v>
      </c>
      <c r="U2933" t="s">
        <v>13536</v>
      </c>
    </row>
    <row r="2934" spans="1:21" x14ac:dyDescent="0.25">
      <c r="A2934" t="s">
        <v>13537</v>
      </c>
      <c r="B2934" t="s">
        <v>38</v>
      </c>
      <c r="C2934" t="s">
        <v>13538</v>
      </c>
      <c r="D2934">
        <f>63-888590325</f>
        <v>-888590262</v>
      </c>
      <c r="E2934" t="s">
        <v>13539</v>
      </c>
      <c r="F2934" t="s">
        <v>13425</v>
      </c>
      <c r="G2934" t="s">
        <v>13426</v>
      </c>
      <c r="H2934">
        <v>124.651398</v>
      </c>
      <c r="I2934">
        <v>8.4849910000000008</v>
      </c>
      <c r="J2934">
        <v>215</v>
      </c>
      <c r="K2934" t="s">
        <v>535</v>
      </c>
      <c r="L2934" t="s">
        <v>535</v>
      </c>
      <c r="M2934" t="s">
        <v>535</v>
      </c>
      <c r="N2934" t="s">
        <v>535</v>
      </c>
      <c r="O2934" t="s">
        <v>535</v>
      </c>
      <c r="P2934" t="s">
        <v>535</v>
      </c>
      <c r="Q2934" t="s">
        <v>535</v>
      </c>
      <c r="R2934" t="s">
        <v>13540</v>
      </c>
      <c r="S2934" t="s">
        <v>13541</v>
      </c>
      <c r="U2934" t="s">
        <v>13542</v>
      </c>
    </row>
    <row r="2935" spans="1:21" x14ac:dyDescent="0.25">
      <c r="A2935" t="s">
        <v>13543</v>
      </c>
      <c r="B2935" t="s">
        <v>38</v>
      </c>
      <c r="C2935" t="s">
        <v>13544</v>
      </c>
      <c r="D2935">
        <f>63-26364838</f>
        <v>-26364775</v>
      </c>
      <c r="E2935" t="s">
        <v>13424</v>
      </c>
      <c r="F2935" t="s">
        <v>13425</v>
      </c>
      <c r="G2935" t="s">
        <v>13426</v>
      </c>
      <c r="H2935">
        <v>121.05892799999999</v>
      </c>
      <c r="I2935">
        <v>14.592131</v>
      </c>
      <c r="J2935">
        <v>215</v>
      </c>
      <c r="K2935" t="s">
        <v>535</v>
      </c>
      <c r="L2935" t="s">
        <v>535</v>
      </c>
      <c r="M2935" t="s">
        <v>535</v>
      </c>
      <c r="N2935" t="s">
        <v>535</v>
      </c>
      <c r="O2935" t="s">
        <v>535</v>
      </c>
      <c r="P2935" t="s">
        <v>535</v>
      </c>
      <c r="Q2935" t="s">
        <v>535</v>
      </c>
      <c r="R2935" t="s">
        <v>13545</v>
      </c>
      <c r="S2935" t="s">
        <v>13546</v>
      </c>
      <c r="U2935" t="s">
        <v>13547</v>
      </c>
    </row>
    <row r="2936" spans="1:21" x14ac:dyDescent="0.25">
      <c r="A2936" t="s">
        <v>13548</v>
      </c>
      <c r="B2936" t="s">
        <v>38</v>
      </c>
      <c r="C2936" t="s">
        <v>13549</v>
      </c>
      <c r="D2936">
        <f>63-323437735</f>
        <v>-323437672</v>
      </c>
      <c r="E2936" t="s">
        <v>13478</v>
      </c>
      <c r="F2936" t="s">
        <v>13425</v>
      </c>
      <c r="G2936" t="s">
        <v>13426</v>
      </c>
      <c r="H2936">
        <v>123.918289</v>
      </c>
      <c r="I2936">
        <v>10.311916</v>
      </c>
      <c r="J2936">
        <v>215</v>
      </c>
      <c r="K2936" t="s">
        <v>536</v>
      </c>
      <c r="L2936" t="s">
        <v>536</v>
      </c>
      <c r="M2936" t="s">
        <v>536</v>
      </c>
      <c r="N2936" t="s">
        <v>536</v>
      </c>
      <c r="O2936" t="s">
        <v>536</v>
      </c>
      <c r="P2936" t="s">
        <v>536</v>
      </c>
      <c r="Q2936" t="s">
        <v>536</v>
      </c>
      <c r="R2936" t="s">
        <v>13550</v>
      </c>
      <c r="S2936" t="s">
        <v>13551</v>
      </c>
      <c r="U2936" t="s">
        <v>13552</v>
      </c>
    </row>
    <row r="2937" spans="1:21" x14ac:dyDescent="0.25">
      <c r="A2937" t="s">
        <v>13553</v>
      </c>
      <c r="B2937" t="s">
        <v>22</v>
      </c>
      <c r="C2937" t="s">
        <v>13554</v>
      </c>
      <c r="D2937">
        <f>63-27443499</f>
        <v>-27443436</v>
      </c>
      <c r="E2937" t="s">
        <v>13432</v>
      </c>
      <c r="F2937" t="s">
        <v>13425</v>
      </c>
      <c r="G2937" t="s">
        <v>13426</v>
      </c>
      <c r="H2937">
        <v>121.023183</v>
      </c>
      <c r="I2937">
        <v>14.552894</v>
      </c>
      <c r="J2937">
        <v>215</v>
      </c>
      <c r="K2937" t="s">
        <v>717</v>
      </c>
      <c r="L2937" t="s">
        <v>717</v>
      </c>
      <c r="M2937" t="s">
        <v>717</v>
      </c>
      <c r="N2937" t="s">
        <v>717</v>
      </c>
      <c r="O2937" t="s">
        <v>717</v>
      </c>
      <c r="P2937" t="s">
        <v>1035</v>
      </c>
      <c r="Q2937" t="s">
        <v>1035</v>
      </c>
      <c r="R2937" t="s">
        <v>13555</v>
      </c>
      <c r="S2937" t="s">
        <v>13556</v>
      </c>
      <c r="U2937" t="s">
        <v>13557</v>
      </c>
    </row>
    <row r="2938" spans="1:21" x14ac:dyDescent="0.25">
      <c r="A2938" t="s">
        <v>13558</v>
      </c>
      <c r="B2938" t="s">
        <v>38</v>
      </c>
      <c r="C2938" t="s">
        <v>13559</v>
      </c>
      <c r="D2938">
        <f>63-333371406</f>
        <v>-333371343</v>
      </c>
      <c r="E2938" t="s">
        <v>13560</v>
      </c>
      <c r="F2938" t="s">
        <v>13425</v>
      </c>
      <c r="G2938" t="s">
        <v>13426</v>
      </c>
      <c r="H2938">
        <v>122.551108</v>
      </c>
      <c r="I2938">
        <v>10.714587</v>
      </c>
      <c r="J2938">
        <v>215</v>
      </c>
      <c r="K2938" t="s">
        <v>535</v>
      </c>
      <c r="L2938" t="s">
        <v>535</v>
      </c>
      <c r="M2938" t="s">
        <v>535</v>
      </c>
      <c r="N2938" t="s">
        <v>535</v>
      </c>
      <c r="O2938" t="s">
        <v>535</v>
      </c>
      <c r="P2938" t="s">
        <v>535</v>
      </c>
      <c r="Q2938" t="s">
        <v>535</v>
      </c>
      <c r="R2938" t="s">
        <v>13561</v>
      </c>
      <c r="S2938" t="s">
        <v>13562</v>
      </c>
      <c r="U2938" t="s">
        <v>13563</v>
      </c>
    </row>
    <row r="2939" spans="1:21" x14ac:dyDescent="0.25">
      <c r="A2939" t="s">
        <v>13564</v>
      </c>
      <c r="B2939" t="s">
        <v>38</v>
      </c>
      <c r="C2939" t="s">
        <v>13565</v>
      </c>
      <c r="D2939">
        <f>63-28053607</f>
        <v>-28053544</v>
      </c>
      <c r="E2939" t="s">
        <v>13494</v>
      </c>
      <c r="F2939" t="s">
        <v>13425</v>
      </c>
      <c r="G2939" t="s">
        <v>13426</v>
      </c>
      <c r="H2939">
        <v>121.011166</v>
      </c>
      <c r="I2939">
        <v>14.376249</v>
      </c>
      <c r="J2939">
        <v>215</v>
      </c>
      <c r="K2939" t="s">
        <v>536</v>
      </c>
      <c r="L2939" t="s">
        <v>536</v>
      </c>
      <c r="M2939" t="s">
        <v>536</v>
      </c>
      <c r="N2939" t="s">
        <v>536</v>
      </c>
      <c r="O2939" t="s">
        <v>27</v>
      </c>
      <c r="P2939" t="s">
        <v>27</v>
      </c>
      <c r="Q2939" t="s">
        <v>27</v>
      </c>
      <c r="R2939" t="s">
        <v>13566</v>
      </c>
      <c r="S2939" t="s">
        <v>13567</v>
      </c>
      <c r="U2939" t="s">
        <v>13568</v>
      </c>
    </row>
    <row r="2940" spans="1:21" x14ac:dyDescent="0.25">
      <c r="A2940" t="s">
        <v>13569</v>
      </c>
      <c r="B2940" t="s">
        <v>38</v>
      </c>
      <c r="C2940" t="s">
        <v>13570</v>
      </c>
      <c r="D2940">
        <f>63-776772850</f>
        <v>-776772787</v>
      </c>
      <c r="E2940" t="s">
        <v>13571</v>
      </c>
      <c r="F2940" t="s">
        <v>13425</v>
      </c>
      <c r="G2940" t="s">
        <v>13426</v>
      </c>
      <c r="H2940">
        <v>120.592586</v>
      </c>
      <c r="I2940">
        <v>18.180249</v>
      </c>
      <c r="J2940">
        <v>215</v>
      </c>
      <c r="K2940" t="s">
        <v>45</v>
      </c>
      <c r="L2940" t="s">
        <v>45</v>
      </c>
      <c r="M2940" t="s">
        <v>45</v>
      </c>
      <c r="N2940" t="s">
        <v>45</v>
      </c>
      <c r="O2940" t="s">
        <v>45</v>
      </c>
      <c r="P2940" t="s">
        <v>45</v>
      </c>
      <c r="Q2940" t="s">
        <v>45</v>
      </c>
      <c r="R2940" t="s">
        <v>13572</v>
      </c>
      <c r="S2940" t="s">
        <v>13573</v>
      </c>
      <c r="U2940" t="s">
        <v>13574</v>
      </c>
    </row>
    <row r="2941" spans="1:21" x14ac:dyDescent="0.25">
      <c r="A2941" t="s">
        <v>13575</v>
      </c>
      <c r="B2941" t="s">
        <v>38</v>
      </c>
      <c r="C2941" t="s">
        <v>13576</v>
      </c>
      <c r="D2941">
        <f>63-476339137</f>
        <v>-476339074</v>
      </c>
      <c r="E2941" t="s">
        <v>13577</v>
      </c>
      <c r="F2941" t="s">
        <v>13425</v>
      </c>
      <c r="G2941" t="s">
        <v>13426</v>
      </c>
      <c r="H2941">
        <v>120.533676</v>
      </c>
      <c r="I2941">
        <v>14.6557</v>
      </c>
      <c r="J2941">
        <v>215</v>
      </c>
      <c r="K2941" t="s">
        <v>45</v>
      </c>
      <c r="L2941" t="s">
        <v>45</v>
      </c>
      <c r="M2941" t="s">
        <v>45</v>
      </c>
      <c r="N2941" t="s">
        <v>45</v>
      </c>
      <c r="O2941" t="s">
        <v>45</v>
      </c>
      <c r="P2941" t="s">
        <v>45</v>
      </c>
      <c r="Q2941" t="s">
        <v>45</v>
      </c>
      <c r="R2941" t="s">
        <v>13578</v>
      </c>
      <c r="S2941" t="s">
        <v>13579</v>
      </c>
      <c r="U2941" t="s">
        <v>13580</v>
      </c>
    </row>
    <row r="2942" spans="1:21" x14ac:dyDescent="0.25">
      <c r="A2942" t="s">
        <v>13581</v>
      </c>
      <c r="B2942" t="s">
        <v>38</v>
      </c>
      <c r="C2942" t="s">
        <v>13582</v>
      </c>
      <c r="D2942">
        <f>63-495452008</f>
        <v>-495451945</v>
      </c>
      <c r="E2942" t="s">
        <v>13583</v>
      </c>
      <c r="F2942" t="s">
        <v>13425</v>
      </c>
      <c r="G2942" t="s">
        <v>13426</v>
      </c>
      <c r="H2942">
        <v>121.059717565917</v>
      </c>
      <c r="I2942">
        <v>14.2473663425949</v>
      </c>
      <c r="J2942">
        <v>215</v>
      </c>
      <c r="K2942" t="s">
        <v>45</v>
      </c>
      <c r="L2942" t="s">
        <v>45</v>
      </c>
      <c r="M2942" t="s">
        <v>45</v>
      </c>
      <c r="N2942" t="s">
        <v>45</v>
      </c>
      <c r="O2942" t="s">
        <v>536</v>
      </c>
      <c r="P2942" t="s">
        <v>536</v>
      </c>
      <c r="Q2942" t="s">
        <v>45</v>
      </c>
      <c r="R2942" t="s">
        <v>13584</v>
      </c>
      <c r="S2942" t="s">
        <v>13585</v>
      </c>
      <c r="U2942" t="s">
        <v>13586</v>
      </c>
    </row>
    <row r="2943" spans="1:21" x14ac:dyDescent="0.25">
      <c r="A2943" t="s">
        <v>13587</v>
      </c>
      <c r="B2943" t="s">
        <v>38</v>
      </c>
      <c r="C2943" t="s">
        <v>13588</v>
      </c>
      <c r="D2943">
        <f>63-322882169</f>
        <v>-322882106</v>
      </c>
      <c r="E2943" t="s">
        <v>13444</v>
      </c>
      <c r="F2943" t="s">
        <v>13425</v>
      </c>
      <c r="G2943" t="s">
        <v>13426</v>
      </c>
      <c r="H2943">
        <v>121.036314</v>
      </c>
      <c r="I2943">
        <v>14.652430000000001</v>
      </c>
      <c r="J2943">
        <v>215</v>
      </c>
      <c r="K2943" t="s">
        <v>1035</v>
      </c>
      <c r="L2943" t="s">
        <v>1035</v>
      </c>
      <c r="M2943" t="s">
        <v>1035</v>
      </c>
      <c r="N2943" t="s">
        <v>1035</v>
      </c>
      <c r="O2943" t="s">
        <v>1035</v>
      </c>
      <c r="P2943" t="s">
        <v>1035</v>
      </c>
      <c r="Q2943" t="s">
        <v>1035</v>
      </c>
      <c r="R2943" t="s">
        <v>13589</v>
      </c>
      <c r="S2943" t="s">
        <v>13590</v>
      </c>
      <c r="U2943" t="s">
        <v>13591</v>
      </c>
    </row>
    <row r="2944" spans="1:21" x14ac:dyDescent="0.25">
      <c r="A2944" t="s">
        <v>13592</v>
      </c>
      <c r="B2944" t="s">
        <v>38</v>
      </c>
      <c r="C2944" t="s">
        <v>13593</v>
      </c>
      <c r="D2944">
        <f>63-324774069</f>
        <v>-324774006</v>
      </c>
      <c r="E2944" t="s">
        <v>13594</v>
      </c>
      <c r="F2944" t="s">
        <v>13425</v>
      </c>
      <c r="G2944" t="s">
        <v>13426</v>
      </c>
      <c r="H2944">
        <v>121.093248</v>
      </c>
      <c r="I2944">
        <v>14.619870000000001</v>
      </c>
      <c r="J2944">
        <v>215</v>
      </c>
      <c r="K2944" t="s">
        <v>535</v>
      </c>
      <c r="L2944" t="s">
        <v>535</v>
      </c>
      <c r="M2944" t="s">
        <v>535</v>
      </c>
      <c r="N2944" t="s">
        <v>535</v>
      </c>
      <c r="O2944" t="s">
        <v>535</v>
      </c>
      <c r="P2944" t="s">
        <v>535</v>
      </c>
      <c r="Q2944" t="s">
        <v>535</v>
      </c>
      <c r="R2944" t="s">
        <v>13595</v>
      </c>
      <c r="S2944" t="s">
        <v>13596</v>
      </c>
      <c r="U2944" t="s">
        <v>13597</v>
      </c>
    </row>
    <row r="2945" spans="1:21" x14ac:dyDescent="0.25">
      <c r="A2945" t="s">
        <v>13598</v>
      </c>
      <c r="B2945" t="s">
        <v>38</v>
      </c>
      <c r="C2945" t="s">
        <v>13599</v>
      </c>
      <c r="D2945">
        <f>63-329304154</f>
        <v>-329304091</v>
      </c>
      <c r="E2945" t="s">
        <v>13444</v>
      </c>
      <c r="F2945" t="s">
        <v>13425</v>
      </c>
      <c r="G2945" t="s">
        <v>13426</v>
      </c>
      <c r="H2945">
        <v>121.0004</v>
      </c>
      <c r="I2945">
        <v>14.656499999999999</v>
      </c>
      <c r="J2945">
        <v>215</v>
      </c>
      <c r="K2945" t="s">
        <v>535</v>
      </c>
      <c r="L2945" t="s">
        <v>535</v>
      </c>
      <c r="M2945" t="s">
        <v>535</v>
      </c>
      <c r="N2945" t="s">
        <v>535</v>
      </c>
      <c r="O2945" t="s">
        <v>535</v>
      </c>
      <c r="P2945" t="s">
        <v>535</v>
      </c>
      <c r="Q2945" t="s">
        <v>535</v>
      </c>
      <c r="R2945" t="s">
        <v>13600</v>
      </c>
      <c r="S2945" t="s">
        <v>13601</v>
      </c>
      <c r="U2945" t="s">
        <v>13602</v>
      </c>
    </row>
    <row r="2946" spans="1:21" x14ac:dyDescent="0.25">
      <c r="A2946" t="s">
        <v>13603</v>
      </c>
      <c r="B2946" t="s">
        <v>38</v>
      </c>
      <c r="C2946" t="s">
        <v>13604</v>
      </c>
      <c r="D2946">
        <f>63-24597964</f>
        <v>-24597901</v>
      </c>
      <c r="E2946" t="s">
        <v>13432</v>
      </c>
      <c r="F2946" t="s">
        <v>13425</v>
      </c>
      <c r="G2946" t="s">
        <v>13426</v>
      </c>
      <c r="H2946">
        <v>121.01950100000001</v>
      </c>
      <c r="I2946">
        <v>14.576162</v>
      </c>
      <c r="J2946">
        <v>215</v>
      </c>
      <c r="K2946" t="s">
        <v>535</v>
      </c>
      <c r="L2946" t="s">
        <v>535</v>
      </c>
      <c r="M2946" t="s">
        <v>535</v>
      </c>
      <c r="N2946" t="s">
        <v>535</v>
      </c>
      <c r="O2946" t="s">
        <v>45</v>
      </c>
      <c r="P2946" t="s">
        <v>45</v>
      </c>
      <c r="Q2946" t="s">
        <v>45</v>
      </c>
      <c r="R2946" t="s">
        <v>13605</v>
      </c>
      <c r="S2946" t="s">
        <v>13606</v>
      </c>
      <c r="U2946" t="s">
        <v>13607</v>
      </c>
    </row>
    <row r="2947" spans="1:21" x14ac:dyDescent="0.25">
      <c r="A2947" t="s">
        <v>13608</v>
      </c>
      <c r="B2947" t="s">
        <v>38</v>
      </c>
      <c r="C2947" t="s">
        <v>13609</v>
      </c>
      <c r="E2947" t="s">
        <v>13610</v>
      </c>
      <c r="F2947" t="s">
        <v>13425</v>
      </c>
      <c r="G2947" t="s">
        <v>13426</v>
      </c>
      <c r="H2947">
        <v>121.17300286884699</v>
      </c>
      <c r="I2947">
        <v>13.999014206437799</v>
      </c>
      <c r="J2947">
        <v>215</v>
      </c>
      <c r="K2947" t="s">
        <v>45</v>
      </c>
      <c r="L2947" t="s">
        <v>45</v>
      </c>
      <c r="M2947" t="s">
        <v>45</v>
      </c>
      <c r="N2947" t="s">
        <v>45</v>
      </c>
      <c r="O2947" t="s">
        <v>536</v>
      </c>
      <c r="P2947" t="s">
        <v>536</v>
      </c>
      <c r="Q2947" t="s">
        <v>536</v>
      </c>
      <c r="R2947" t="s">
        <v>13611</v>
      </c>
      <c r="S2947" t="s">
        <v>13612</v>
      </c>
      <c r="U2947" t="s">
        <v>13613</v>
      </c>
    </row>
    <row r="2948" spans="1:21" x14ac:dyDescent="0.25">
      <c r="A2948" t="s">
        <v>13614</v>
      </c>
      <c r="B2948" t="s">
        <v>38</v>
      </c>
      <c r="C2948" t="s">
        <v>13615</v>
      </c>
      <c r="E2948" t="s">
        <v>13616</v>
      </c>
      <c r="F2948" t="s">
        <v>13425</v>
      </c>
      <c r="G2948" t="s">
        <v>13426</v>
      </c>
      <c r="H2948">
        <v>120.99</v>
      </c>
      <c r="I2948">
        <v>14.48</v>
      </c>
      <c r="J2948">
        <v>215</v>
      </c>
      <c r="K2948" t="s">
        <v>45</v>
      </c>
      <c r="L2948" t="s">
        <v>45</v>
      </c>
      <c r="M2948" t="s">
        <v>45</v>
      </c>
      <c r="N2948" t="s">
        <v>45</v>
      </c>
      <c r="O2948" t="s">
        <v>45</v>
      </c>
      <c r="P2948" t="s">
        <v>45</v>
      </c>
      <c r="Q2948" t="s">
        <v>45</v>
      </c>
      <c r="R2948" t="s">
        <v>13617</v>
      </c>
      <c r="S2948" t="s">
        <v>13618</v>
      </c>
      <c r="U2948" t="s">
        <v>13619</v>
      </c>
    </row>
    <row r="2949" spans="1:21" x14ac:dyDescent="0.25">
      <c r="A2949" t="s">
        <v>13620</v>
      </c>
      <c r="B2949" t="s">
        <v>38</v>
      </c>
      <c r="C2949" t="s">
        <v>13621</v>
      </c>
      <c r="D2949">
        <f>63-744225717</f>
        <v>-744225654</v>
      </c>
      <c r="E2949" t="s">
        <v>13622</v>
      </c>
      <c r="F2949" t="s">
        <v>13425</v>
      </c>
      <c r="G2949" t="s">
        <v>13426</v>
      </c>
      <c r="H2949">
        <v>120.59</v>
      </c>
      <c r="I2949">
        <v>16.399999999999999</v>
      </c>
      <c r="J2949">
        <v>215</v>
      </c>
      <c r="K2949" t="s">
        <v>536</v>
      </c>
      <c r="L2949" t="s">
        <v>536</v>
      </c>
      <c r="M2949" t="s">
        <v>536</v>
      </c>
      <c r="N2949" t="s">
        <v>536</v>
      </c>
      <c r="O2949" t="s">
        <v>536</v>
      </c>
      <c r="P2949" t="s">
        <v>536</v>
      </c>
      <c r="Q2949" t="s">
        <v>536</v>
      </c>
      <c r="R2949" t="s">
        <v>13623</v>
      </c>
      <c r="S2949" t="s">
        <v>13624</v>
      </c>
      <c r="U2949" t="s">
        <v>13625</v>
      </c>
    </row>
    <row r="2950" spans="1:21" x14ac:dyDescent="0.25">
      <c r="A2950" t="s">
        <v>13626</v>
      </c>
      <c r="B2950" t="s">
        <v>38</v>
      </c>
      <c r="C2950" t="s">
        <v>13627</v>
      </c>
      <c r="E2950" t="s">
        <v>13628</v>
      </c>
      <c r="F2950" t="s">
        <v>13425</v>
      </c>
      <c r="G2950" t="s">
        <v>13426</v>
      </c>
      <c r="H2950">
        <v>120.283</v>
      </c>
      <c r="I2950">
        <v>14.8363</v>
      </c>
      <c r="J2950">
        <v>215</v>
      </c>
      <c r="K2950" t="s">
        <v>45</v>
      </c>
      <c r="L2950" t="s">
        <v>45</v>
      </c>
      <c r="M2950" t="s">
        <v>45</v>
      </c>
      <c r="N2950" t="s">
        <v>45</v>
      </c>
      <c r="O2950" t="s">
        <v>536</v>
      </c>
      <c r="P2950" t="s">
        <v>536</v>
      </c>
      <c r="Q2950" t="s">
        <v>536</v>
      </c>
      <c r="R2950" t="s">
        <v>13629</v>
      </c>
      <c r="S2950" t="s">
        <v>13630</v>
      </c>
      <c r="U2950" t="s">
        <v>13631</v>
      </c>
    </row>
    <row r="2951" spans="1:21" x14ac:dyDescent="0.25">
      <c r="A2951" t="s">
        <v>13632</v>
      </c>
      <c r="B2951" t="s">
        <v>38</v>
      </c>
      <c r="C2951" t="s">
        <v>13633</v>
      </c>
      <c r="E2951" t="s">
        <v>13494</v>
      </c>
      <c r="F2951" t="s">
        <v>13425</v>
      </c>
      <c r="G2951" t="s">
        <v>13426</v>
      </c>
      <c r="H2951">
        <v>120.9682</v>
      </c>
      <c r="I2951">
        <v>14.431100000000001</v>
      </c>
      <c r="J2951">
        <v>215</v>
      </c>
      <c r="K2951" t="s">
        <v>535</v>
      </c>
      <c r="L2951" t="s">
        <v>535</v>
      </c>
      <c r="M2951" t="s">
        <v>535</v>
      </c>
      <c r="N2951" t="s">
        <v>535</v>
      </c>
      <c r="O2951" t="s">
        <v>45</v>
      </c>
      <c r="P2951" t="s">
        <v>45</v>
      </c>
      <c r="Q2951" t="s">
        <v>535</v>
      </c>
      <c r="R2951" t="s">
        <v>13634</v>
      </c>
      <c r="S2951" t="s">
        <v>13635</v>
      </c>
      <c r="U2951" t="s">
        <v>13636</v>
      </c>
    </row>
    <row r="2952" spans="1:21" x14ac:dyDescent="0.25">
      <c r="A2952" t="s">
        <v>13637</v>
      </c>
      <c r="B2952" t="s">
        <v>38</v>
      </c>
      <c r="C2952" t="s">
        <v>13638</v>
      </c>
      <c r="E2952" t="s">
        <v>13639</v>
      </c>
      <c r="F2952" t="s">
        <v>13425</v>
      </c>
      <c r="G2952" t="s">
        <v>13426</v>
      </c>
      <c r="H2952">
        <v>121.06</v>
      </c>
      <c r="I2952">
        <v>14.35</v>
      </c>
      <c r="J2952">
        <v>215</v>
      </c>
      <c r="K2952" t="s">
        <v>45</v>
      </c>
      <c r="L2952" t="s">
        <v>45</v>
      </c>
      <c r="M2952" t="s">
        <v>45</v>
      </c>
      <c r="N2952" t="s">
        <v>45</v>
      </c>
      <c r="O2952" t="s">
        <v>45</v>
      </c>
      <c r="P2952" t="s">
        <v>45</v>
      </c>
      <c r="Q2952" t="s">
        <v>45</v>
      </c>
      <c r="R2952" t="s">
        <v>13640</v>
      </c>
      <c r="S2952" t="s">
        <v>13641</v>
      </c>
      <c r="U2952" t="s">
        <v>13642</v>
      </c>
    </row>
    <row r="2953" spans="1:21" x14ac:dyDescent="0.25">
      <c r="A2953" t="s">
        <v>13643</v>
      </c>
      <c r="B2953" t="s">
        <v>22</v>
      </c>
      <c r="C2953" t="s">
        <v>13644</v>
      </c>
      <c r="E2953" t="s">
        <v>13461</v>
      </c>
      <c r="F2953" t="s">
        <v>13425</v>
      </c>
      <c r="G2953" t="s">
        <v>13426</v>
      </c>
      <c r="H2953">
        <v>121.05468500000001</v>
      </c>
      <c r="I2953">
        <v>14.547374</v>
      </c>
      <c r="J2953">
        <v>215</v>
      </c>
      <c r="R2953" t="s">
        <v>13644</v>
      </c>
      <c r="U2953" t="s">
        <v>13645</v>
      </c>
    </row>
    <row r="2954" spans="1:21" x14ac:dyDescent="0.25">
      <c r="A2954" t="s">
        <v>13646</v>
      </c>
      <c r="B2954" t="s">
        <v>32</v>
      </c>
      <c r="C2954" t="s">
        <v>13647</v>
      </c>
      <c r="D2954">
        <f>48-225512040</f>
        <v>-225511992</v>
      </c>
      <c r="E2954" t="s">
        <v>13648</v>
      </c>
      <c r="F2954" t="s">
        <v>13649</v>
      </c>
      <c r="G2954" t="s">
        <v>13650</v>
      </c>
      <c r="H2954">
        <v>21.01144</v>
      </c>
      <c r="I2954">
        <v>52.230930000000001</v>
      </c>
      <c r="J2954">
        <v>100</v>
      </c>
      <c r="K2954" t="s">
        <v>312</v>
      </c>
      <c r="L2954" t="s">
        <v>312</v>
      </c>
      <c r="M2954" t="s">
        <v>312</v>
      </c>
      <c r="N2954" t="s">
        <v>312</v>
      </c>
      <c r="O2954" t="s">
        <v>312</v>
      </c>
      <c r="P2954" t="s">
        <v>312</v>
      </c>
      <c r="Q2954" t="s">
        <v>45</v>
      </c>
      <c r="R2954" t="s">
        <v>13647</v>
      </c>
      <c r="S2954" t="s">
        <v>13651</v>
      </c>
      <c r="T2954" t="s">
        <v>13652</v>
      </c>
      <c r="U2954" t="s">
        <v>13653</v>
      </c>
    </row>
    <row r="2955" spans="1:21" x14ac:dyDescent="0.25">
      <c r="A2955" t="s">
        <v>13654</v>
      </c>
      <c r="B2955" t="s">
        <v>22</v>
      </c>
      <c r="C2955" t="s">
        <v>13655</v>
      </c>
      <c r="D2955">
        <f>48-225334457</f>
        <v>-225334409</v>
      </c>
      <c r="E2955" t="s">
        <v>13648</v>
      </c>
      <c r="F2955" t="s">
        <v>13649</v>
      </c>
      <c r="G2955" t="s">
        <v>13650</v>
      </c>
      <c r="H2955">
        <v>20.9312364</v>
      </c>
      <c r="I2955">
        <v>52.2413843</v>
      </c>
      <c r="J2955">
        <v>100</v>
      </c>
      <c r="K2955" t="s">
        <v>536</v>
      </c>
      <c r="L2955" t="s">
        <v>536</v>
      </c>
      <c r="M2955" t="s">
        <v>536</v>
      </c>
      <c r="N2955" t="s">
        <v>536</v>
      </c>
      <c r="O2955" t="s">
        <v>27</v>
      </c>
      <c r="P2955" t="s">
        <v>27</v>
      </c>
      <c r="Q2955" t="s">
        <v>45</v>
      </c>
      <c r="R2955" t="s">
        <v>13655</v>
      </c>
      <c r="S2955" t="s">
        <v>13656</v>
      </c>
      <c r="T2955" t="s">
        <v>13652</v>
      </c>
      <c r="U2955" t="s">
        <v>13657</v>
      </c>
    </row>
    <row r="2956" spans="1:21" x14ac:dyDescent="0.25">
      <c r="A2956" t="s">
        <v>13658</v>
      </c>
      <c r="B2956" t="s">
        <v>22</v>
      </c>
      <c r="C2956" t="s">
        <v>13659</v>
      </c>
      <c r="D2956">
        <f>48-225725540</f>
        <v>-225725492</v>
      </c>
      <c r="E2956" t="s">
        <v>13648</v>
      </c>
      <c r="F2956" t="s">
        <v>13649</v>
      </c>
      <c r="G2956" t="s">
        <v>13650</v>
      </c>
      <c r="H2956">
        <v>20.951579200000001</v>
      </c>
      <c r="I2956">
        <v>52.212540599999997</v>
      </c>
      <c r="J2956">
        <v>100</v>
      </c>
      <c r="K2956" t="s">
        <v>536</v>
      </c>
      <c r="L2956" t="s">
        <v>536</v>
      </c>
      <c r="M2956" t="s">
        <v>536</v>
      </c>
      <c r="N2956" t="s">
        <v>536</v>
      </c>
      <c r="O2956" t="s">
        <v>536</v>
      </c>
      <c r="P2956" t="s">
        <v>536</v>
      </c>
      <c r="Q2956" t="s">
        <v>45</v>
      </c>
      <c r="R2956" t="s">
        <v>13659</v>
      </c>
      <c r="S2956" t="s">
        <v>13660</v>
      </c>
      <c r="T2956" t="s">
        <v>13652</v>
      </c>
      <c r="U2956" t="s">
        <v>13661</v>
      </c>
    </row>
    <row r="2957" spans="1:21" x14ac:dyDescent="0.25">
      <c r="A2957" t="s">
        <v>13662</v>
      </c>
      <c r="B2957" t="s">
        <v>22</v>
      </c>
      <c r="C2957" t="s">
        <v>13663</v>
      </c>
      <c r="D2957">
        <f>48-618586640</f>
        <v>-618586592</v>
      </c>
      <c r="E2957" t="s">
        <v>13664</v>
      </c>
      <c r="F2957" t="s">
        <v>13649</v>
      </c>
      <c r="G2957" t="s">
        <v>13650</v>
      </c>
      <c r="H2957">
        <v>16.927199999999999</v>
      </c>
      <c r="I2957">
        <v>52.40164</v>
      </c>
      <c r="J2957">
        <v>100</v>
      </c>
      <c r="K2957" t="s">
        <v>312</v>
      </c>
      <c r="L2957" t="s">
        <v>312</v>
      </c>
      <c r="M2957" t="s">
        <v>312</v>
      </c>
      <c r="N2957" t="s">
        <v>312</v>
      </c>
      <c r="O2957" t="s">
        <v>312</v>
      </c>
      <c r="P2957" t="s">
        <v>312</v>
      </c>
      <c r="Q2957" t="s">
        <v>45</v>
      </c>
      <c r="R2957" t="s">
        <v>13663</v>
      </c>
      <c r="S2957" t="s">
        <v>13665</v>
      </c>
      <c r="T2957" t="s">
        <v>13666</v>
      </c>
      <c r="U2957" t="s">
        <v>13667</v>
      </c>
    </row>
    <row r="2958" spans="1:21" x14ac:dyDescent="0.25">
      <c r="A2958" t="s">
        <v>13668</v>
      </c>
      <c r="B2958" t="s">
        <v>22</v>
      </c>
      <c r="C2958" t="s">
        <v>13669</v>
      </c>
      <c r="D2958">
        <f>48-227358240</f>
        <v>-227358192</v>
      </c>
      <c r="E2958" t="s">
        <v>13648</v>
      </c>
      <c r="F2958" t="s">
        <v>13649</v>
      </c>
      <c r="G2958" t="s">
        <v>13650</v>
      </c>
      <c r="H2958">
        <v>20.888498999999999</v>
      </c>
      <c r="I2958">
        <v>52.134109000000002</v>
      </c>
      <c r="J2958">
        <v>100</v>
      </c>
      <c r="K2958" t="s">
        <v>312</v>
      </c>
      <c r="L2958" t="s">
        <v>312</v>
      </c>
      <c r="M2958" t="s">
        <v>312</v>
      </c>
      <c r="N2958" t="s">
        <v>312</v>
      </c>
      <c r="O2958" t="s">
        <v>312</v>
      </c>
      <c r="P2958" t="s">
        <v>312</v>
      </c>
      <c r="Q2958" t="s">
        <v>192</v>
      </c>
      <c r="R2958" t="s">
        <v>13669</v>
      </c>
      <c r="S2958" t="s">
        <v>13670</v>
      </c>
      <c r="T2958" t="s">
        <v>13652</v>
      </c>
      <c r="U2958" t="s">
        <v>13671</v>
      </c>
    </row>
    <row r="2959" spans="1:21" x14ac:dyDescent="0.25">
      <c r="A2959" t="s">
        <v>13672</v>
      </c>
      <c r="B2959" t="s">
        <v>22</v>
      </c>
      <c r="C2959" t="s">
        <v>13673</v>
      </c>
      <c r="D2959">
        <f>48-914646140</f>
        <v>-914646092</v>
      </c>
      <c r="E2959" t="s">
        <v>13674</v>
      </c>
      <c r="F2959" t="s">
        <v>13649</v>
      </c>
      <c r="G2959" t="s">
        <v>13650</v>
      </c>
      <c r="H2959">
        <v>14.55504</v>
      </c>
      <c r="I2959">
        <v>53.4343</v>
      </c>
      <c r="J2959">
        <v>100</v>
      </c>
      <c r="K2959" t="s">
        <v>312</v>
      </c>
      <c r="L2959" t="s">
        <v>312</v>
      </c>
      <c r="M2959" t="s">
        <v>312</v>
      </c>
      <c r="N2959" t="s">
        <v>312</v>
      </c>
      <c r="O2959" t="s">
        <v>3543</v>
      </c>
      <c r="P2959" t="s">
        <v>3543</v>
      </c>
      <c r="Q2959" t="s">
        <v>45</v>
      </c>
      <c r="R2959" t="s">
        <v>13673</v>
      </c>
      <c r="S2959" t="s">
        <v>13675</v>
      </c>
      <c r="T2959" t="s">
        <v>13676</v>
      </c>
      <c r="U2959" t="s">
        <v>13677</v>
      </c>
    </row>
    <row r="2960" spans="1:21" x14ac:dyDescent="0.25">
      <c r="A2960" t="s">
        <v>13678</v>
      </c>
      <c r="B2960" t="s">
        <v>22</v>
      </c>
      <c r="C2960" t="s">
        <v>13679</v>
      </c>
      <c r="D2960">
        <f>48-713472140</f>
        <v>-713472092</v>
      </c>
      <c r="E2960" t="s">
        <v>13680</v>
      </c>
      <c r="F2960" t="s">
        <v>13649</v>
      </c>
      <c r="G2960" t="s">
        <v>13650</v>
      </c>
      <c r="H2960">
        <v>17.032298900000001</v>
      </c>
      <c r="I2960">
        <v>51.108192099999997</v>
      </c>
      <c r="J2960">
        <v>100</v>
      </c>
      <c r="K2960" t="s">
        <v>312</v>
      </c>
      <c r="L2960" t="s">
        <v>312</v>
      </c>
      <c r="M2960" t="s">
        <v>312</v>
      </c>
      <c r="N2960" t="s">
        <v>312</v>
      </c>
      <c r="O2960" t="s">
        <v>312</v>
      </c>
      <c r="P2960" t="s">
        <v>312</v>
      </c>
      <c r="Q2960" t="s">
        <v>45</v>
      </c>
      <c r="R2960" t="s">
        <v>13679</v>
      </c>
      <c r="S2960" t="s">
        <v>13681</v>
      </c>
      <c r="T2960" t="s">
        <v>13682</v>
      </c>
      <c r="U2960" t="s">
        <v>13683</v>
      </c>
    </row>
    <row r="2961" spans="1:21" x14ac:dyDescent="0.25">
      <c r="A2961" t="s">
        <v>13684</v>
      </c>
      <c r="B2961" t="s">
        <v>38</v>
      </c>
      <c r="C2961" t="s">
        <v>11829</v>
      </c>
      <c r="D2961">
        <f>48-585116540</f>
        <v>-585116492</v>
      </c>
      <c r="E2961" t="s">
        <v>13685</v>
      </c>
      <c r="F2961" t="s">
        <v>13649</v>
      </c>
      <c r="G2961" t="s">
        <v>13650</v>
      </c>
      <c r="H2961">
        <v>18.588500831965199</v>
      </c>
      <c r="I2961">
        <v>54.404465716948501</v>
      </c>
      <c r="J2961">
        <v>100</v>
      </c>
      <c r="K2961" t="s">
        <v>312</v>
      </c>
      <c r="L2961" t="s">
        <v>312</v>
      </c>
      <c r="M2961" t="s">
        <v>312</v>
      </c>
      <c r="N2961" t="s">
        <v>312</v>
      </c>
      <c r="O2961" t="s">
        <v>312</v>
      </c>
      <c r="P2961" t="s">
        <v>312</v>
      </c>
      <c r="Q2961" t="s">
        <v>45</v>
      </c>
      <c r="R2961" t="s">
        <v>11829</v>
      </c>
      <c r="S2961" t="s">
        <v>13686</v>
      </c>
      <c r="T2961" t="s">
        <v>13687</v>
      </c>
      <c r="U2961" t="s">
        <v>13688</v>
      </c>
    </row>
    <row r="2962" spans="1:21" x14ac:dyDescent="0.25">
      <c r="A2962" t="s">
        <v>13689</v>
      </c>
      <c r="B2962" t="s">
        <v>32</v>
      </c>
      <c r="C2962" t="s">
        <v>13690</v>
      </c>
      <c r="D2962">
        <f>48-225306240</f>
        <v>-225306192</v>
      </c>
      <c r="E2962" t="s">
        <v>13648</v>
      </c>
      <c r="F2962" t="s">
        <v>13649</v>
      </c>
      <c r="G2962" t="s">
        <v>13650</v>
      </c>
      <c r="H2962">
        <v>20.983049999999999</v>
      </c>
      <c r="I2962">
        <v>52.258020000000002</v>
      </c>
      <c r="J2962">
        <v>100</v>
      </c>
      <c r="K2962" t="s">
        <v>27</v>
      </c>
      <c r="L2962" t="s">
        <v>27</v>
      </c>
      <c r="M2962" t="s">
        <v>27</v>
      </c>
      <c r="N2962" t="s">
        <v>27</v>
      </c>
      <c r="O2962" t="s">
        <v>27</v>
      </c>
      <c r="P2962" t="s">
        <v>27</v>
      </c>
      <c r="Q2962" t="s">
        <v>536</v>
      </c>
      <c r="R2962" t="s">
        <v>13690</v>
      </c>
      <c r="S2962" t="s">
        <v>13691</v>
      </c>
      <c r="T2962" t="s">
        <v>13652</v>
      </c>
      <c r="U2962" t="s">
        <v>13692</v>
      </c>
    </row>
    <row r="2963" spans="1:21" x14ac:dyDescent="0.25">
      <c r="A2963" t="s">
        <v>13693</v>
      </c>
      <c r="B2963" t="s">
        <v>38</v>
      </c>
      <c r="C2963" t="s">
        <v>13694</v>
      </c>
      <c r="D2963">
        <f>48-586685240</f>
        <v>-586685192</v>
      </c>
      <c r="E2963" t="s">
        <v>13695</v>
      </c>
      <c r="F2963" t="s">
        <v>13649</v>
      </c>
      <c r="G2963" t="s">
        <v>13650</v>
      </c>
      <c r="H2963">
        <v>18.551908955785901</v>
      </c>
      <c r="I2963">
        <v>54.475294428749201</v>
      </c>
      <c r="J2963">
        <v>100</v>
      </c>
      <c r="K2963" t="s">
        <v>312</v>
      </c>
      <c r="L2963" t="s">
        <v>312</v>
      </c>
      <c r="M2963" t="s">
        <v>312</v>
      </c>
      <c r="N2963" t="s">
        <v>312</v>
      </c>
      <c r="O2963" t="s">
        <v>312</v>
      </c>
      <c r="P2963" t="s">
        <v>312</v>
      </c>
      <c r="Q2963" t="s">
        <v>45</v>
      </c>
      <c r="R2963" t="s">
        <v>13694</v>
      </c>
      <c r="S2963" t="s">
        <v>13696</v>
      </c>
      <c r="T2963" t="s">
        <v>13687</v>
      </c>
      <c r="U2963" t="s">
        <v>13697</v>
      </c>
    </row>
    <row r="2964" spans="1:21" x14ac:dyDescent="0.25">
      <c r="A2964" t="s">
        <v>13698</v>
      </c>
      <c r="B2964" t="s">
        <v>32</v>
      </c>
      <c r="C2964" t="s">
        <v>13699</v>
      </c>
      <c r="D2964">
        <f>48-225951440</f>
        <v>-225951392</v>
      </c>
      <c r="E2964" t="s">
        <v>13648</v>
      </c>
      <c r="F2964" t="s">
        <v>13649</v>
      </c>
      <c r="G2964" t="s">
        <v>13650</v>
      </c>
      <c r="H2964">
        <v>21.003408</v>
      </c>
      <c r="I2964">
        <v>52.230004000000001</v>
      </c>
      <c r="J2964">
        <v>100</v>
      </c>
      <c r="K2964" t="s">
        <v>3543</v>
      </c>
      <c r="L2964" t="s">
        <v>3543</v>
      </c>
      <c r="M2964" t="s">
        <v>3543</v>
      </c>
      <c r="N2964" t="s">
        <v>3543</v>
      </c>
      <c r="O2964" t="s">
        <v>3543</v>
      </c>
      <c r="P2964" t="s">
        <v>3543</v>
      </c>
      <c r="Q2964" t="s">
        <v>312</v>
      </c>
      <c r="R2964" t="s">
        <v>13699</v>
      </c>
      <c r="S2964" t="s">
        <v>13700</v>
      </c>
      <c r="T2964" t="s">
        <v>13652</v>
      </c>
      <c r="U2964" t="s">
        <v>13701</v>
      </c>
    </row>
    <row r="2965" spans="1:21" x14ac:dyDescent="0.25">
      <c r="A2965" t="s">
        <v>13702</v>
      </c>
      <c r="B2965" t="s">
        <v>22</v>
      </c>
      <c r="C2965" t="s">
        <v>13703</v>
      </c>
      <c r="D2965">
        <f>48-124249540</f>
        <v>-124249492</v>
      </c>
      <c r="E2965" t="s">
        <v>13704</v>
      </c>
      <c r="F2965" t="s">
        <v>13649</v>
      </c>
      <c r="G2965" t="s">
        <v>13650</v>
      </c>
      <c r="H2965">
        <v>19.955819999999999</v>
      </c>
      <c r="I2965">
        <v>50.053412000000002</v>
      </c>
      <c r="J2965">
        <v>100</v>
      </c>
      <c r="K2965" t="s">
        <v>45</v>
      </c>
      <c r="L2965" t="s">
        <v>45</v>
      </c>
      <c r="M2965" t="s">
        <v>45</v>
      </c>
      <c r="N2965" t="s">
        <v>45</v>
      </c>
      <c r="O2965" t="s">
        <v>45</v>
      </c>
      <c r="P2965" t="s">
        <v>45</v>
      </c>
      <c r="Q2965" t="s">
        <v>45</v>
      </c>
      <c r="R2965" t="s">
        <v>13703</v>
      </c>
      <c r="S2965" t="s">
        <v>13705</v>
      </c>
      <c r="T2965" t="s">
        <v>13706</v>
      </c>
      <c r="U2965" t="s">
        <v>13707</v>
      </c>
    </row>
    <row r="2966" spans="1:21" x14ac:dyDescent="0.25">
      <c r="A2966" t="s">
        <v>13708</v>
      </c>
      <c r="B2966" t="s">
        <v>22</v>
      </c>
      <c r="C2966" t="s">
        <v>13709</v>
      </c>
      <c r="D2966">
        <f>48-323632240</f>
        <v>-323632192</v>
      </c>
      <c r="E2966" t="s">
        <v>13710</v>
      </c>
      <c r="F2966" t="s">
        <v>13649</v>
      </c>
      <c r="G2966" t="s">
        <v>13650</v>
      </c>
      <c r="H2966">
        <v>19.105564000000001</v>
      </c>
      <c r="I2966">
        <v>50.318832</v>
      </c>
      <c r="J2966">
        <v>100</v>
      </c>
      <c r="K2966" t="s">
        <v>312</v>
      </c>
      <c r="L2966" t="s">
        <v>312</v>
      </c>
      <c r="M2966" t="s">
        <v>312</v>
      </c>
      <c r="N2966" t="s">
        <v>312</v>
      </c>
      <c r="O2966" t="s">
        <v>312</v>
      </c>
      <c r="P2966" t="s">
        <v>312</v>
      </c>
      <c r="Q2966" t="s">
        <v>45</v>
      </c>
      <c r="R2966" t="s">
        <v>13709</v>
      </c>
      <c r="S2966" t="s">
        <v>13711</v>
      </c>
      <c r="T2966" t="s">
        <v>13712</v>
      </c>
      <c r="U2966" t="s">
        <v>13713</v>
      </c>
    </row>
    <row r="2967" spans="1:21" x14ac:dyDescent="0.25">
      <c r="A2967" t="s">
        <v>13714</v>
      </c>
      <c r="B2967" t="s">
        <v>22</v>
      </c>
      <c r="C2967" t="s">
        <v>13715</v>
      </c>
      <c r="D2967">
        <f>48-323513640</f>
        <v>-323513592</v>
      </c>
      <c r="E2967" t="s">
        <v>13716</v>
      </c>
      <c r="F2967" t="s">
        <v>13649</v>
      </c>
      <c r="G2967" t="s">
        <v>13650</v>
      </c>
      <c r="H2967">
        <v>19.017994000000002</v>
      </c>
      <c r="I2967">
        <v>50.260123</v>
      </c>
      <c r="J2967">
        <v>100</v>
      </c>
      <c r="K2967" t="s">
        <v>312</v>
      </c>
      <c r="L2967" t="s">
        <v>312</v>
      </c>
      <c r="M2967" t="s">
        <v>312</v>
      </c>
      <c r="N2967" t="s">
        <v>312</v>
      </c>
      <c r="O2967" t="s">
        <v>312</v>
      </c>
      <c r="P2967" t="s">
        <v>312</v>
      </c>
      <c r="Q2967" t="s">
        <v>45</v>
      </c>
      <c r="R2967" t="s">
        <v>13715</v>
      </c>
      <c r="S2967" t="s">
        <v>13717</v>
      </c>
      <c r="T2967" t="s">
        <v>13712</v>
      </c>
      <c r="U2967" t="s">
        <v>13718</v>
      </c>
    </row>
    <row r="2968" spans="1:21" x14ac:dyDescent="0.25">
      <c r="A2968" t="s">
        <v>13719</v>
      </c>
      <c r="B2968" t="s">
        <v>22</v>
      </c>
      <c r="C2968" t="s">
        <v>13720</v>
      </c>
      <c r="D2968">
        <f>48-426391040</f>
        <v>-426390992</v>
      </c>
      <c r="E2968" t="s">
        <v>13721</v>
      </c>
      <c r="F2968" t="s">
        <v>13649</v>
      </c>
      <c r="G2968" t="s">
        <v>13650</v>
      </c>
      <c r="H2968">
        <v>19.446141999999998</v>
      </c>
      <c r="I2968">
        <v>51.779856000000002</v>
      </c>
      <c r="J2968">
        <v>100</v>
      </c>
      <c r="K2968" t="s">
        <v>536</v>
      </c>
      <c r="L2968" t="s">
        <v>536</v>
      </c>
      <c r="M2968" t="s">
        <v>536</v>
      </c>
      <c r="N2968" t="s">
        <v>536</v>
      </c>
      <c r="O2968" t="s">
        <v>536</v>
      </c>
      <c r="P2968" t="s">
        <v>536</v>
      </c>
      <c r="Q2968" t="s">
        <v>536</v>
      </c>
      <c r="R2968" t="s">
        <v>13720</v>
      </c>
      <c r="S2968" t="s">
        <v>13722</v>
      </c>
      <c r="T2968" t="s">
        <v>13723</v>
      </c>
      <c r="U2968" t="s">
        <v>13724</v>
      </c>
    </row>
    <row r="2969" spans="1:21" x14ac:dyDescent="0.25">
      <c r="A2969" t="s">
        <v>13725</v>
      </c>
      <c r="B2969" t="s">
        <v>38</v>
      </c>
      <c r="C2969" t="s">
        <v>13726</v>
      </c>
      <c r="D2969">
        <f>48-126807240</f>
        <v>-126807192</v>
      </c>
      <c r="E2969" t="s">
        <v>13704</v>
      </c>
      <c r="F2969" t="s">
        <v>13649</v>
      </c>
      <c r="G2969" t="s">
        <v>13650</v>
      </c>
      <c r="H2969">
        <v>20.000397</v>
      </c>
      <c r="I2969">
        <v>50.063696</v>
      </c>
      <c r="J2969">
        <v>100</v>
      </c>
      <c r="K2969" t="s">
        <v>312</v>
      </c>
      <c r="L2969" t="s">
        <v>312</v>
      </c>
      <c r="M2969" t="s">
        <v>312</v>
      </c>
      <c r="N2969" t="s">
        <v>312</v>
      </c>
      <c r="O2969" t="s">
        <v>312</v>
      </c>
      <c r="P2969" t="s">
        <v>312</v>
      </c>
      <c r="Q2969" t="s">
        <v>45</v>
      </c>
      <c r="R2969" t="s">
        <v>13726</v>
      </c>
      <c r="S2969" t="s">
        <v>13727</v>
      </c>
      <c r="T2969" t="s">
        <v>13706</v>
      </c>
      <c r="U2969" t="s">
        <v>13728</v>
      </c>
    </row>
    <row r="2970" spans="1:21" x14ac:dyDescent="0.25">
      <c r="A2970" t="s">
        <v>13729</v>
      </c>
      <c r="B2970" t="s">
        <v>22</v>
      </c>
      <c r="C2970" t="s">
        <v>13730</v>
      </c>
      <c r="D2970">
        <f>48-618711740</f>
        <v>-618711692</v>
      </c>
      <c r="E2970" t="s">
        <v>13664</v>
      </c>
      <c r="F2970" t="s">
        <v>13649</v>
      </c>
      <c r="G2970" t="s">
        <v>13650</v>
      </c>
      <c r="H2970">
        <v>16.994029999999999</v>
      </c>
      <c r="I2970">
        <v>52.381819999999998</v>
      </c>
      <c r="J2970">
        <v>100</v>
      </c>
      <c r="K2970" t="s">
        <v>312</v>
      </c>
      <c r="L2970" t="s">
        <v>312</v>
      </c>
      <c r="M2970" t="s">
        <v>312</v>
      </c>
      <c r="N2970" t="s">
        <v>312</v>
      </c>
      <c r="O2970" t="s">
        <v>312</v>
      </c>
      <c r="P2970" t="s">
        <v>312</v>
      </c>
      <c r="Q2970" t="s">
        <v>45</v>
      </c>
      <c r="R2970" t="s">
        <v>13730</v>
      </c>
      <c r="S2970" t="s">
        <v>13731</v>
      </c>
      <c r="T2970" t="s">
        <v>13666</v>
      </c>
      <c r="U2970" t="s">
        <v>13732</v>
      </c>
    </row>
    <row r="2971" spans="1:21" x14ac:dyDescent="0.25">
      <c r="A2971" t="s">
        <v>13733</v>
      </c>
      <c r="B2971" t="s">
        <v>22</v>
      </c>
      <c r="C2971" t="s">
        <v>13734</v>
      </c>
      <c r="D2971">
        <f>48-895443740</f>
        <v>-895443692</v>
      </c>
      <c r="E2971" t="s">
        <v>13735</v>
      </c>
      <c r="F2971" t="s">
        <v>13649</v>
      </c>
      <c r="G2971" t="s">
        <v>13650</v>
      </c>
      <c r="H2971">
        <v>20.482706549078099</v>
      </c>
      <c r="I2971">
        <v>53.777523340045597</v>
      </c>
      <c r="J2971">
        <v>100</v>
      </c>
      <c r="K2971" t="s">
        <v>312</v>
      </c>
      <c r="L2971" t="s">
        <v>312</v>
      </c>
      <c r="M2971" t="s">
        <v>312</v>
      </c>
      <c r="N2971" t="s">
        <v>312</v>
      </c>
      <c r="O2971" t="s">
        <v>312</v>
      </c>
      <c r="P2971" t="s">
        <v>312</v>
      </c>
      <c r="Q2971" t="s">
        <v>45</v>
      </c>
      <c r="R2971" t="s">
        <v>13734</v>
      </c>
      <c r="S2971" t="s">
        <v>13736</v>
      </c>
      <c r="T2971" t="s">
        <v>13737</v>
      </c>
      <c r="U2971" t="s">
        <v>13738</v>
      </c>
    </row>
    <row r="2972" spans="1:21" x14ac:dyDescent="0.25">
      <c r="A2972" t="s">
        <v>13739</v>
      </c>
      <c r="B2972" t="s">
        <v>22</v>
      </c>
      <c r="C2972" t="s">
        <v>13740</v>
      </c>
      <c r="D2972">
        <f>48-618468940</f>
        <v>-618468892</v>
      </c>
      <c r="E2972" t="s">
        <v>13664</v>
      </c>
      <c r="F2972" t="s">
        <v>13649</v>
      </c>
      <c r="G2972" t="s">
        <v>13650</v>
      </c>
      <c r="H2972">
        <v>16.8615168</v>
      </c>
      <c r="I2972">
        <v>52.410820000000001</v>
      </c>
      <c r="J2972">
        <v>100</v>
      </c>
      <c r="K2972" t="s">
        <v>312</v>
      </c>
      <c r="L2972" t="s">
        <v>312</v>
      </c>
      <c r="M2972" t="s">
        <v>312</v>
      </c>
      <c r="N2972" t="s">
        <v>312</v>
      </c>
      <c r="O2972" t="s">
        <v>312</v>
      </c>
      <c r="P2972" t="s">
        <v>312</v>
      </c>
      <c r="Q2972" t="s">
        <v>45</v>
      </c>
      <c r="R2972" t="s">
        <v>13740</v>
      </c>
      <c r="S2972" t="s">
        <v>13741</v>
      </c>
      <c r="T2972" t="s">
        <v>13666</v>
      </c>
      <c r="U2972" t="s">
        <v>13742</v>
      </c>
    </row>
    <row r="2973" spans="1:21" x14ac:dyDescent="0.25">
      <c r="A2973" t="s">
        <v>13743</v>
      </c>
      <c r="B2973" t="s">
        <v>22</v>
      </c>
      <c r="C2973" t="s">
        <v>13744</v>
      </c>
      <c r="D2973">
        <f>48-585226740</f>
        <v>-585226692</v>
      </c>
      <c r="E2973" t="s">
        <v>13685</v>
      </c>
      <c r="F2973" t="s">
        <v>13649</v>
      </c>
      <c r="G2973" t="s">
        <v>13650</v>
      </c>
      <c r="H2973">
        <v>18.519020546133198</v>
      </c>
      <c r="I2973">
        <v>54.372376818156802</v>
      </c>
      <c r="J2973">
        <v>100</v>
      </c>
      <c r="K2973" t="s">
        <v>536</v>
      </c>
      <c r="L2973" t="s">
        <v>536</v>
      </c>
      <c r="M2973" t="s">
        <v>536</v>
      </c>
      <c r="N2973" t="s">
        <v>536</v>
      </c>
      <c r="O2973" t="s">
        <v>536</v>
      </c>
      <c r="P2973" t="s">
        <v>536</v>
      </c>
      <c r="Q2973" t="s">
        <v>45</v>
      </c>
      <c r="R2973" t="s">
        <v>13744</v>
      </c>
      <c r="S2973" t="s">
        <v>13745</v>
      </c>
      <c r="T2973" t="s">
        <v>13687</v>
      </c>
      <c r="U2973" t="s">
        <v>13746</v>
      </c>
    </row>
    <row r="2974" spans="1:21" x14ac:dyDescent="0.25">
      <c r="A2974" t="s">
        <v>13747</v>
      </c>
      <c r="B2974" t="s">
        <v>22</v>
      </c>
      <c r="C2974" t="s">
        <v>13748</v>
      </c>
      <c r="D2974">
        <f>48-618274940</f>
        <v>-618274892</v>
      </c>
      <c r="E2974" t="s">
        <v>13664</v>
      </c>
      <c r="F2974" t="s">
        <v>13649</v>
      </c>
      <c r="G2974" t="s">
        <v>13650</v>
      </c>
      <c r="H2974">
        <v>16.919139999999999</v>
      </c>
      <c r="I2974">
        <v>52.44068</v>
      </c>
      <c r="J2974">
        <v>100</v>
      </c>
      <c r="K2974" t="s">
        <v>312</v>
      </c>
      <c r="L2974" t="s">
        <v>312</v>
      </c>
      <c r="M2974" t="s">
        <v>312</v>
      </c>
      <c r="N2974" t="s">
        <v>312</v>
      </c>
      <c r="O2974" t="s">
        <v>312</v>
      </c>
      <c r="P2974" t="s">
        <v>312</v>
      </c>
      <c r="Q2974" t="s">
        <v>45</v>
      </c>
      <c r="R2974" t="s">
        <v>13748</v>
      </c>
      <c r="S2974" t="s">
        <v>13749</v>
      </c>
      <c r="T2974" t="s">
        <v>13666</v>
      </c>
      <c r="U2974" t="s">
        <v>13750</v>
      </c>
    </row>
    <row r="2975" spans="1:21" x14ac:dyDescent="0.25">
      <c r="A2975" t="s">
        <v>13751</v>
      </c>
      <c r="B2975" t="s">
        <v>32</v>
      </c>
      <c r="C2975" t="s">
        <v>13752</v>
      </c>
      <c r="D2975">
        <f>48-124240740</f>
        <v>-124240692</v>
      </c>
      <c r="E2975" t="s">
        <v>13704</v>
      </c>
      <c r="F2975" t="s">
        <v>13649</v>
      </c>
      <c r="G2975" t="s">
        <v>13650</v>
      </c>
      <c r="H2975">
        <v>19.946652</v>
      </c>
      <c r="I2975">
        <v>50.066240000000001</v>
      </c>
      <c r="J2975">
        <v>100</v>
      </c>
      <c r="K2975" t="s">
        <v>3543</v>
      </c>
      <c r="L2975" t="s">
        <v>3543</v>
      </c>
      <c r="M2975" t="s">
        <v>3543</v>
      </c>
      <c r="N2975" t="s">
        <v>3543</v>
      </c>
      <c r="O2975" t="s">
        <v>3543</v>
      </c>
      <c r="P2975" t="s">
        <v>3543</v>
      </c>
      <c r="Q2975" t="s">
        <v>536</v>
      </c>
      <c r="R2975" t="s">
        <v>13752</v>
      </c>
      <c r="S2975" t="s">
        <v>13753</v>
      </c>
      <c r="T2975" t="s">
        <v>13706</v>
      </c>
      <c r="U2975" t="s">
        <v>13754</v>
      </c>
    </row>
    <row r="2976" spans="1:21" x14ac:dyDescent="0.25">
      <c r="A2976" t="s">
        <v>13755</v>
      </c>
      <c r="B2976" t="s">
        <v>38</v>
      </c>
      <c r="C2976" t="s">
        <v>13756</v>
      </c>
      <c r="D2976">
        <f>48-323631040</f>
        <v>-323630992</v>
      </c>
      <c r="E2976" t="s">
        <v>13757</v>
      </c>
      <c r="F2976" t="s">
        <v>13649</v>
      </c>
      <c r="G2976" t="s">
        <v>13650</v>
      </c>
      <c r="H2976">
        <v>19.152635</v>
      </c>
      <c r="I2976">
        <v>50.290593999999999</v>
      </c>
      <c r="J2976">
        <v>100</v>
      </c>
      <c r="K2976" t="s">
        <v>312</v>
      </c>
      <c r="L2976" t="s">
        <v>312</v>
      </c>
      <c r="M2976" t="s">
        <v>312</v>
      </c>
      <c r="N2976" t="s">
        <v>312</v>
      </c>
      <c r="O2976" t="s">
        <v>312</v>
      </c>
      <c r="P2976" t="s">
        <v>312</v>
      </c>
      <c r="Q2976" t="s">
        <v>45</v>
      </c>
      <c r="R2976" t="s">
        <v>13756</v>
      </c>
      <c r="S2976" t="s">
        <v>13758</v>
      </c>
      <c r="T2976" t="s">
        <v>13712</v>
      </c>
      <c r="U2976" t="s">
        <v>13759</v>
      </c>
    </row>
    <row r="2977" spans="1:21" x14ac:dyDescent="0.25">
      <c r="A2977" t="s">
        <v>13760</v>
      </c>
      <c r="B2977" t="s">
        <v>38</v>
      </c>
      <c r="C2977" t="s">
        <v>13761</v>
      </c>
      <c r="D2977">
        <f>48-323737440</f>
        <v>-323737392</v>
      </c>
      <c r="E2977" t="s">
        <v>13762</v>
      </c>
      <c r="F2977" t="s">
        <v>13649</v>
      </c>
      <c r="G2977" t="s">
        <v>13650</v>
      </c>
      <c r="H2977">
        <v>18.750347000000001</v>
      </c>
      <c r="I2977">
        <v>50.317188999999999</v>
      </c>
      <c r="J2977">
        <v>100</v>
      </c>
      <c r="K2977" t="s">
        <v>312</v>
      </c>
      <c r="L2977" t="s">
        <v>312</v>
      </c>
      <c r="M2977" t="s">
        <v>312</v>
      </c>
      <c r="N2977" t="s">
        <v>312</v>
      </c>
      <c r="O2977" t="s">
        <v>312</v>
      </c>
      <c r="P2977" t="s">
        <v>312</v>
      </c>
      <c r="Q2977" t="s">
        <v>45</v>
      </c>
      <c r="R2977" t="s">
        <v>13761</v>
      </c>
      <c r="S2977" t="s">
        <v>13763</v>
      </c>
      <c r="T2977" t="s">
        <v>13712</v>
      </c>
      <c r="U2977" t="s">
        <v>13764</v>
      </c>
    </row>
    <row r="2978" spans="1:21" x14ac:dyDescent="0.25">
      <c r="A2978" t="s">
        <v>13765</v>
      </c>
      <c r="B2978" t="s">
        <v>22</v>
      </c>
      <c r="C2978" t="s">
        <v>13766</v>
      </c>
      <c r="D2978">
        <f>48-323574540</f>
        <v>-323574492</v>
      </c>
      <c r="E2978" t="s">
        <v>13716</v>
      </c>
      <c r="F2978" t="s">
        <v>13649</v>
      </c>
      <c r="G2978" t="s">
        <v>13650</v>
      </c>
      <c r="H2978">
        <v>19.036809000000002</v>
      </c>
      <c r="I2978">
        <v>50.242778000000001</v>
      </c>
      <c r="J2978">
        <v>100</v>
      </c>
      <c r="K2978" t="s">
        <v>312</v>
      </c>
      <c r="L2978" t="s">
        <v>312</v>
      </c>
      <c r="M2978" t="s">
        <v>312</v>
      </c>
      <c r="N2978" t="s">
        <v>312</v>
      </c>
      <c r="O2978" t="s">
        <v>312</v>
      </c>
      <c r="P2978" t="s">
        <v>312</v>
      </c>
      <c r="Q2978" t="s">
        <v>192</v>
      </c>
      <c r="R2978" t="s">
        <v>13766</v>
      </c>
      <c r="S2978" t="s">
        <v>13767</v>
      </c>
      <c r="T2978" t="s">
        <v>13712</v>
      </c>
      <c r="U2978" t="s">
        <v>13768</v>
      </c>
    </row>
    <row r="2979" spans="1:21" x14ac:dyDescent="0.25">
      <c r="A2979" t="s">
        <v>13769</v>
      </c>
      <c r="B2979" t="s">
        <v>38</v>
      </c>
      <c r="C2979" t="s">
        <v>13770</v>
      </c>
      <c r="D2979">
        <f>48-523393840</f>
        <v>-523393792</v>
      </c>
      <c r="E2979" t="s">
        <v>13771</v>
      </c>
      <c r="F2979" t="s">
        <v>13649</v>
      </c>
      <c r="G2979" t="s">
        <v>13650</v>
      </c>
      <c r="H2979">
        <v>18.0670773922287</v>
      </c>
      <c r="I2979">
        <v>53.125247207761802</v>
      </c>
      <c r="J2979">
        <v>100</v>
      </c>
      <c r="K2979" t="s">
        <v>312</v>
      </c>
      <c r="L2979" t="s">
        <v>312</v>
      </c>
      <c r="M2979" t="s">
        <v>312</v>
      </c>
      <c r="N2979" t="s">
        <v>312</v>
      </c>
      <c r="O2979" t="s">
        <v>312</v>
      </c>
      <c r="P2979" t="s">
        <v>312</v>
      </c>
      <c r="Q2979" t="s">
        <v>45</v>
      </c>
      <c r="R2979" t="s">
        <v>13770</v>
      </c>
      <c r="S2979" t="s">
        <v>13772</v>
      </c>
      <c r="T2979" t="s">
        <v>13773</v>
      </c>
      <c r="U2979" t="s">
        <v>13774</v>
      </c>
    </row>
    <row r="2980" spans="1:21" x14ac:dyDescent="0.25">
      <c r="A2980" t="s">
        <v>13775</v>
      </c>
      <c r="B2980" t="s">
        <v>38</v>
      </c>
      <c r="C2980" t="s">
        <v>13776</v>
      </c>
      <c r="D2980">
        <f>48-566120540</f>
        <v>-566120492</v>
      </c>
      <c r="E2980" t="s">
        <v>13777</v>
      </c>
      <c r="F2980" t="s">
        <v>13649</v>
      </c>
      <c r="G2980" t="s">
        <v>13650</v>
      </c>
      <c r="H2980">
        <v>18.636330999999998</v>
      </c>
      <c r="I2980">
        <v>53.025522000000002</v>
      </c>
      <c r="J2980">
        <v>100</v>
      </c>
      <c r="K2980" t="s">
        <v>312</v>
      </c>
      <c r="L2980" t="s">
        <v>312</v>
      </c>
      <c r="M2980" t="s">
        <v>312</v>
      </c>
      <c r="N2980" t="s">
        <v>312</v>
      </c>
      <c r="O2980" t="s">
        <v>312</v>
      </c>
      <c r="P2980" t="s">
        <v>312</v>
      </c>
      <c r="Q2980" t="s">
        <v>45</v>
      </c>
      <c r="R2980" t="s">
        <v>13776</v>
      </c>
      <c r="S2980" t="s">
        <v>13778</v>
      </c>
      <c r="T2980" t="s">
        <v>13773</v>
      </c>
      <c r="U2980" t="s">
        <v>13779</v>
      </c>
    </row>
    <row r="2981" spans="1:21" x14ac:dyDescent="0.25">
      <c r="A2981" t="s">
        <v>13780</v>
      </c>
      <c r="B2981" t="s">
        <v>22</v>
      </c>
      <c r="C2981" t="s">
        <v>13781</v>
      </c>
      <c r="D2981">
        <f>48-324395040</f>
        <v>-324394992</v>
      </c>
      <c r="E2981" t="s">
        <v>13782</v>
      </c>
      <c r="F2981" t="s">
        <v>13649</v>
      </c>
      <c r="G2981" t="s">
        <v>13650</v>
      </c>
      <c r="H2981">
        <v>18.537209000000001</v>
      </c>
      <c r="I2981">
        <v>50.096052999999998</v>
      </c>
      <c r="J2981">
        <v>100</v>
      </c>
      <c r="K2981" t="s">
        <v>312</v>
      </c>
      <c r="L2981" t="s">
        <v>312</v>
      </c>
      <c r="M2981" t="s">
        <v>312</v>
      </c>
      <c r="N2981" t="s">
        <v>312</v>
      </c>
      <c r="O2981" t="s">
        <v>312</v>
      </c>
      <c r="P2981" t="s">
        <v>312</v>
      </c>
      <c r="Q2981" t="s">
        <v>312</v>
      </c>
      <c r="R2981" t="s">
        <v>13781</v>
      </c>
      <c r="S2981" t="s">
        <v>13783</v>
      </c>
      <c r="T2981" t="s">
        <v>13712</v>
      </c>
      <c r="U2981" t="s">
        <v>13784</v>
      </c>
    </row>
    <row r="2982" spans="1:21" x14ac:dyDescent="0.25">
      <c r="A2982" t="s">
        <v>13785</v>
      </c>
      <c r="B2982" t="s">
        <v>38</v>
      </c>
      <c r="C2982" t="s">
        <v>13786</v>
      </c>
      <c r="D2982">
        <f>48-323969940</f>
        <v>-323969892</v>
      </c>
      <c r="E2982" t="s">
        <v>13787</v>
      </c>
      <c r="F2982" t="s">
        <v>13649</v>
      </c>
      <c r="G2982" t="s">
        <v>13650</v>
      </c>
      <c r="H2982">
        <v>18.849681</v>
      </c>
      <c r="I2982">
        <v>50.346688</v>
      </c>
      <c r="J2982">
        <v>100</v>
      </c>
      <c r="K2982" t="s">
        <v>536</v>
      </c>
      <c r="L2982" t="s">
        <v>536</v>
      </c>
      <c r="M2982" t="s">
        <v>536</v>
      </c>
      <c r="N2982" t="s">
        <v>536</v>
      </c>
      <c r="O2982" t="s">
        <v>536</v>
      </c>
      <c r="P2982" t="s">
        <v>536</v>
      </c>
      <c r="Q2982" t="s">
        <v>45</v>
      </c>
      <c r="R2982" t="s">
        <v>13786</v>
      </c>
      <c r="S2982" t="s">
        <v>13788</v>
      </c>
      <c r="T2982" t="s">
        <v>13712</v>
      </c>
      <c r="U2982" t="s">
        <v>13789</v>
      </c>
    </row>
    <row r="2983" spans="1:21" x14ac:dyDescent="0.25">
      <c r="A2983" t="s">
        <v>13790</v>
      </c>
      <c r="B2983" t="s">
        <v>22</v>
      </c>
      <c r="C2983" t="s">
        <v>13791</v>
      </c>
      <c r="D2983">
        <f>48-713958040</f>
        <v>-713957992</v>
      </c>
      <c r="E2983" t="s">
        <v>13680</v>
      </c>
      <c r="F2983" t="s">
        <v>13649</v>
      </c>
      <c r="G2983" t="s">
        <v>13650</v>
      </c>
      <c r="H2983">
        <v>17.059100000000001</v>
      </c>
      <c r="I2983">
        <v>51.112679999999997</v>
      </c>
      <c r="J2983">
        <v>100</v>
      </c>
      <c r="K2983" t="s">
        <v>312</v>
      </c>
      <c r="L2983" t="s">
        <v>312</v>
      </c>
      <c r="M2983" t="s">
        <v>312</v>
      </c>
      <c r="N2983" t="s">
        <v>312</v>
      </c>
      <c r="O2983" t="s">
        <v>312</v>
      </c>
      <c r="P2983" t="s">
        <v>312</v>
      </c>
      <c r="Q2983" t="s">
        <v>192</v>
      </c>
      <c r="R2983" t="s">
        <v>13791</v>
      </c>
      <c r="S2983" t="s">
        <v>13792</v>
      </c>
      <c r="T2983" t="s">
        <v>13682</v>
      </c>
      <c r="U2983" t="s">
        <v>13793</v>
      </c>
    </row>
    <row r="2984" spans="1:21" x14ac:dyDescent="0.25">
      <c r="A2984" t="s">
        <v>13794</v>
      </c>
      <c r="B2984" t="s">
        <v>22</v>
      </c>
      <c r="C2984" t="s">
        <v>13795</v>
      </c>
      <c r="D2984">
        <f>48-815366740</f>
        <v>-815366692</v>
      </c>
      <c r="E2984" t="s">
        <v>13796</v>
      </c>
      <c r="F2984" t="s">
        <v>13649</v>
      </c>
      <c r="G2984" t="s">
        <v>13650</v>
      </c>
      <c r="H2984">
        <v>22.551310000000001</v>
      </c>
      <c r="I2984">
        <v>51.244689999999999</v>
      </c>
      <c r="J2984">
        <v>100</v>
      </c>
      <c r="K2984" t="s">
        <v>312</v>
      </c>
      <c r="L2984" t="s">
        <v>312</v>
      </c>
      <c r="M2984" t="s">
        <v>312</v>
      </c>
      <c r="N2984" t="s">
        <v>312</v>
      </c>
      <c r="O2984" t="s">
        <v>312</v>
      </c>
      <c r="P2984" t="s">
        <v>312</v>
      </c>
      <c r="Q2984" t="s">
        <v>312</v>
      </c>
      <c r="R2984" t="s">
        <v>13795</v>
      </c>
      <c r="S2984" t="s">
        <v>13797</v>
      </c>
      <c r="T2984" t="s">
        <v>13798</v>
      </c>
      <c r="U2984" t="s">
        <v>13799</v>
      </c>
    </row>
    <row r="2985" spans="1:21" x14ac:dyDescent="0.25">
      <c r="A2985" t="s">
        <v>13800</v>
      </c>
      <c r="B2985" t="s">
        <v>22</v>
      </c>
      <c r="C2985" t="s">
        <v>13801</v>
      </c>
      <c r="D2985">
        <f>48-857496640</f>
        <v>-857496592</v>
      </c>
      <c r="E2985" t="s">
        <v>13802</v>
      </c>
      <c r="F2985" t="s">
        <v>13649</v>
      </c>
      <c r="G2985" t="s">
        <v>13650</v>
      </c>
      <c r="H2985">
        <v>23.178355</v>
      </c>
      <c r="I2985">
        <v>53.122818000000002</v>
      </c>
      <c r="J2985">
        <v>100</v>
      </c>
      <c r="K2985" t="s">
        <v>312</v>
      </c>
      <c r="L2985" t="s">
        <v>312</v>
      </c>
      <c r="M2985" t="s">
        <v>312</v>
      </c>
      <c r="N2985" t="s">
        <v>312</v>
      </c>
      <c r="O2985" t="s">
        <v>312</v>
      </c>
      <c r="P2985" t="s">
        <v>312</v>
      </c>
      <c r="Q2985" t="s">
        <v>45</v>
      </c>
      <c r="R2985" t="s">
        <v>13801</v>
      </c>
      <c r="S2985" t="s">
        <v>13803</v>
      </c>
      <c r="T2985" t="s">
        <v>13804</v>
      </c>
      <c r="U2985" t="s">
        <v>13805</v>
      </c>
    </row>
    <row r="2986" spans="1:21" x14ac:dyDescent="0.25">
      <c r="A2986" t="s">
        <v>13806</v>
      </c>
      <c r="B2986" t="s">
        <v>22</v>
      </c>
      <c r="C2986" t="s">
        <v>13807</v>
      </c>
      <c r="D2986">
        <f>48-323397840</f>
        <v>-323397792</v>
      </c>
      <c r="E2986" t="s">
        <v>13808</v>
      </c>
      <c r="F2986" t="s">
        <v>13649</v>
      </c>
      <c r="G2986" t="s">
        <v>13650</v>
      </c>
      <c r="H2986">
        <v>18.682372000000001</v>
      </c>
      <c r="I2986">
        <v>50.300196999999997</v>
      </c>
      <c r="J2986">
        <v>100</v>
      </c>
      <c r="K2986" t="s">
        <v>312</v>
      </c>
      <c r="L2986" t="s">
        <v>312</v>
      </c>
      <c r="M2986" t="s">
        <v>312</v>
      </c>
      <c r="N2986" t="s">
        <v>312</v>
      </c>
      <c r="O2986" t="s">
        <v>312</v>
      </c>
      <c r="P2986" t="s">
        <v>312</v>
      </c>
      <c r="Q2986" t="s">
        <v>45</v>
      </c>
      <c r="R2986" t="s">
        <v>13807</v>
      </c>
      <c r="S2986" t="s">
        <v>13809</v>
      </c>
      <c r="T2986" t="s">
        <v>13712</v>
      </c>
      <c r="U2986" t="s">
        <v>13810</v>
      </c>
    </row>
    <row r="2987" spans="1:21" x14ac:dyDescent="0.25">
      <c r="A2987" t="s">
        <v>13811</v>
      </c>
      <c r="B2987" t="s">
        <v>22</v>
      </c>
      <c r="C2987" t="s">
        <v>13812</v>
      </c>
      <c r="D2987">
        <f>48-227375440</f>
        <v>-227375392</v>
      </c>
      <c r="E2987" t="s">
        <v>13813</v>
      </c>
      <c r="F2987" t="s">
        <v>13649</v>
      </c>
      <c r="G2987" t="s">
        <v>13650</v>
      </c>
      <c r="H2987">
        <v>21.022828000000001</v>
      </c>
      <c r="I2987">
        <v>52.096744999999999</v>
      </c>
      <c r="J2987">
        <v>100</v>
      </c>
      <c r="K2987" t="s">
        <v>312</v>
      </c>
      <c r="L2987" t="s">
        <v>312</v>
      </c>
      <c r="M2987" t="s">
        <v>312</v>
      </c>
      <c r="N2987" t="s">
        <v>312</v>
      </c>
      <c r="O2987" t="s">
        <v>312</v>
      </c>
      <c r="P2987" t="s">
        <v>312</v>
      </c>
      <c r="Q2987" t="s">
        <v>192</v>
      </c>
      <c r="R2987" t="s">
        <v>13812</v>
      </c>
      <c r="S2987" t="s">
        <v>13814</v>
      </c>
      <c r="T2987" t="s">
        <v>13652</v>
      </c>
      <c r="U2987" t="s">
        <v>13815</v>
      </c>
    </row>
    <row r="2988" spans="1:21" x14ac:dyDescent="0.25">
      <c r="A2988" t="s">
        <v>13816</v>
      </c>
      <c r="B2988" t="s">
        <v>38</v>
      </c>
      <c r="C2988" t="s">
        <v>13817</v>
      </c>
      <c r="D2988">
        <f>48-713329540</f>
        <v>-713329492</v>
      </c>
      <c r="E2988" t="s">
        <v>13680</v>
      </c>
      <c r="F2988" t="s">
        <v>13649</v>
      </c>
      <c r="G2988" t="s">
        <v>13650</v>
      </c>
      <c r="H2988">
        <v>17.028410000000001</v>
      </c>
      <c r="I2988">
        <v>51.09986</v>
      </c>
      <c r="J2988">
        <v>100</v>
      </c>
      <c r="K2988" t="s">
        <v>312</v>
      </c>
      <c r="L2988" t="s">
        <v>312</v>
      </c>
      <c r="M2988" t="s">
        <v>312</v>
      </c>
      <c r="N2988" t="s">
        <v>312</v>
      </c>
      <c r="O2988" t="s">
        <v>312</v>
      </c>
      <c r="P2988" t="s">
        <v>312</v>
      </c>
      <c r="Q2988" t="s">
        <v>45</v>
      </c>
      <c r="R2988" t="s">
        <v>13817</v>
      </c>
      <c r="S2988" t="s">
        <v>13818</v>
      </c>
      <c r="T2988" t="s">
        <v>13682</v>
      </c>
      <c r="U2988" t="s">
        <v>13819</v>
      </c>
    </row>
    <row r="2989" spans="1:21" x14ac:dyDescent="0.25">
      <c r="A2989" t="s">
        <v>13820</v>
      </c>
      <c r="B2989" t="s">
        <v>22</v>
      </c>
      <c r="C2989" t="s">
        <v>13821</v>
      </c>
      <c r="D2989">
        <f>48-585207640</f>
        <v>-585207592</v>
      </c>
      <c r="E2989" t="s">
        <v>13685</v>
      </c>
      <c r="F2989" t="s">
        <v>13649</v>
      </c>
      <c r="G2989" t="s">
        <v>13650</v>
      </c>
      <c r="H2989">
        <v>18.601368504896602</v>
      </c>
      <c r="I2989">
        <v>54.3821415204727</v>
      </c>
      <c r="J2989">
        <v>100</v>
      </c>
      <c r="K2989" t="s">
        <v>312</v>
      </c>
      <c r="L2989" t="s">
        <v>312</v>
      </c>
      <c r="M2989" t="s">
        <v>312</v>
      </c>
      <c r="N2989" t="s">
        <v>312</v>
      </c>
      <c r="O2989" t="s">
        <v>312</v>
      </c>
      <c r="P2989" t="s">
        <v>312</v>
      </c>
      <c r="Q2989" t="s">
        <v>45</v>
      </c>
      <c r="R2989" t="s">
        <v>13821</v>
      </c>
      <c r="S2989" t="s">
        <v>13822</v>
      </c>
      <c r="T2989" t="s">
        <v>13687</v>
      </c>
      <c r="U2989" t="s">
        <v>13823</v>
      </c>
    </row>
    <row r="2990" spans="1:21" x14ac:dyDescent="0.25">
      <c r="A2990" t="s">
        <v>13824</v>
      </c>
      <c r="B2990" t="s">
        <v>38</v>
      </c>
      <c r="C2990" t="s">
        <v>13825</v>
      </c>
      <c r="D2990">
        <f>48-178670940</f>
        <v>-178670892</v>
      </c>
      <c r="E2990" t="s">
        <v>13826</v>
      </c>
      <c r="F2990" t="s">
        <v>13649</v>
      </c>
      <c r="G2990" t="s">
        <v>13650</v>
      </c>
      <c r="H2990">
        <v>21.997019000000002</v>
      </c>
      <c r="I2990">
        <v>50.035575000000001</v>
      </c>
      <c r="J2990">
        <v>100</v>
      </c>
      <c r="K2990" t="s">
        <v>45</v>
      </c>
      <c r="L2990" t="s">
        <v>45</v>
      </c>
      <c r="M2990" t="s">
        <v>45</v>
      </c>
      <c r="N2990" t="s">
        <v>45</v>
      </c>
      <c r="O2990" t="s">
        <v>45</v>
      </c>
      <c r="P2990" t="s">
        <v>45</v>
      </c>
      <c r="R2990" t="s">
        <v>13825</v>
      </c>
      <c r="S2990" t="s">
        <v>13827</v>
      </c>
      <c r="T2990" t="s">
        <v>13828</v>
      </c>
      <c r="U2990" t="s">
        <v>13829</v>
      </c>
    </row>
    <row r="2991" spans="1:21" x14ac:dyDescent="0.25">
      <c r="A2991" t="s">
        <v>13830</v>
      </c>
      <c r="B2991" t="s">
        <v>38</v>
      </c>
      <c r="C2991" t="s">
        <v>13831</v>
      </c>
      <c r="D2991">
        <f>48-426630440</f>
        <v>-426630392</v>
      </c>
      <c r="E2991" t="s">
        <v>13721</v>
      </c>
      <c r="F2991" t="s">
        <v>13649</v>
      </c>
      <c r="G2991" t="s">
        <v>13650</v>
      </c>
      <c r="H2991">
        <v>19.465563</v>
      </c>
      <c r="I2991">
        <v>51.759419999999999</v>
      </c>
      <c r="J2991">
        <v>100</v>
      </c>
      <c r="K2991" t="s">
        <v>290</v>
      </c>
      <c r="L2991" t="s">
        <v>290</v>
      </c>
      <c r="M2991" t="s">
        <v>290</v>
      </c>
      <c r="N2991" t="s">
        <v>290</v>
      </c>
      <c r="O2991" t="s">
        <v>290</v>
      </c>
      <c r="P2991" t="s">
        <v>290</v>
      </c>
      <c r="Q2991" t="s">
        <v>45</v>
      </c>
      <c r="R2991" t="s">
        <v>13831</v>
      </c>
      <c r="S2991" t="s">
        <v>13832</v>
      </c>
      <c r="T2991" t="s">
        <v>13723</v>
      </c>
      <c r="U2991" t="s">
        <v>13833</v>
      </c>
    </row>
    <row r="2992" spans="1:21" x14ac:dyDescent="0.25">
      <c r="A2992" t="s">
        <v>13834</v>
      </c>
      <c r="B2992" t="s">
        <v>38</v>
      </c>
      <c r="C2992" t="s">
        <v>13835</v>
      </c>
      <c r="D2992">
        <f>48-525543970</f>
        <v>-525543922</v>
      </c>
      <c r="E2992" t="s">
        <v>13771</v>
      </c>
      <c r="F2992" t="s">
        <v>13649</v>
      </c>
      <c r="G2992" t="s">
        <v>13650</v>
      </c>
      <c r="H2992">
        <v>18.0178339085457</v>
      </c>
      <c r="I2992">
        <v>53.1247397231528</v>
      </c>
      <c r="J2992">
        <v>100</v>
      </c>
      <c r="K2992" t="s">
        <v>312</v>
      </c>
      <c r="L2992" t="s">
        <v>312</v>
      </c>
      <c r="M2992" t="s">
        <v>312</v>
      </c>
      <c r="N2992" t="s">
        <v>312</v>
      </c>
      <c r="O2992" t="s">
        <v>312</v>
      </c>
      <c r="P2992" t="s">
        <v>312</v>
      </c>
      <c r="Q2992" t="s">
        <v>312</v>
      </c>
      <c r="R2992" t="s">
        <v>13835</v>
      </c>
      <c r="S2992" t="s">
        <v>13836</v>
      </c>
      <c r="T2992" t="s">
        <v>13773</v>
      </c>
      <c r="U2992" t="s">
        <v>13837</v>
      </c>
    </row>
    <row r="2993" spans="1:21" x14ac:dyDescent="0.25">
      <c r="A2993" t="s">
        <v>13838</v>
      </c>
      <c r="B2993" t="s">
        <v>22</v>
      </c>
      <c r="C2993" t="s">
        <v>13839</v>
      </c>
      <c r="D2993">
        <f>48-587714770</f>
        <v>-587714722</v>
      </c>
      <c r="E2993" t="s">
        <v>13840</v>
      </c>
      <c r="F2993" t="s">
        <v>13649</v>
      </c>
      <c r="G2993" t="s">
        <v>13650</v>
      </c>
      <c r="H2993">
        <v>18.3710571845847</v>
      </c>
      <c r="I2993">
        <v>54.586293730176202</v>
      </c>
      <c r="J2993">
        <v>100</v>
      </c>
      <c r="K2993" t="s">
        <v>312</v>
      </c>
      <c r="L2993" t="s">
        <v>312</v>
      </c>
      <c r="M2993" t="s">
        <v>312</v>
      </c>
      <c r="N2993" t="s">
        <v>312</v>
      </c>
      <c r="O2993" t="s">
        <v>312</v>
      </c>
      <c r="P2993" t="s">
        <v>312</v>
      </c>
      <c r="Q2993" t="s">
        <v>185</v>
      </c>
      <c r="R2993" t="s">
        <v>13839</v>
      </c>
      <c r="S2993" t="s">
        <v>13841</v>
      </c>
      <c r="T2993" t="s">
        <v>13687</v>
      </c>
      <c r="U2993" t="s">
        <v>13842</v>
      </c>
    </row>
    <row r="2994" spans="1:21" x14ac:dyDescent="0.25">
      <c r="A2994" t="s">
        <v>13843</v>
      </c>
      <c r="B2994" t="s">
        <v>38</v>
      </c>
      <c r="C2994" t="s">
        <v>13844</v>
      </c>
      <c r="D2994">
        <f>48-857496040</f>
        <v>-857495992</v>
      </c>
      <c r="E2994" t="s">
        <v>13802</v>
      </c>
      <c r="F2994" t="s">
        <v>13649</v>
      </c>
      <c r="G2994" t="s">
        <v>13650</v>
      </c>
      <c r="H2994">
        <v>23.169018000000001</v>
      </c>
      <c r="I2994">
        <v>53.125489999999999</v>
      </c>
      <c r="J2994">
        <v>100</v>
      </c>
      <c r="K2994" t="s">
        <v>312</v>
      </c>
      <c r="L2994" t="s">
        <v>312</v>
      </c>
      <c r="M2994" t="s">
        <v>312</v>
      </c>
      <c r="N2994" t="s">
        <v>312</v>
      </c>
      <c r="O2994" t="s">
        <v>312</v>
      </c>
      <c r="P2994" t="s">
        <v>312</v>
      </c>
      <c r="Q2994" t="s">
        <v>45</v>
      </c>
      <c r="R2994" t="s">
        <v>13844</v>
      </c>
      <c r="S2994" t="s">
        <v>13845</v>
      </c>
      <c r="T2994" t="s">
        <v>13804</v>
      </c>
      <c r="U2994" t="s">
        <v>13846</v>
      </c>
    </row>
    <row r="2995" spans="1:21" x14ac:dyDescent="0.25">
      <c r="A2995" t="s">
        <v>13847</v>
      </c>
      <c r="B2995" t="s">
        <v>22</v>
      </c>
      <c r="C2995" t="s">
        <v>13848</v>
      </c>
      <c r="D2995">
        <f>48-774024740</f>
        <v>-774024692</v>
      </c>
      <c r="E2995" t="s">
        <v>13849</v>
      </c>
      <c r="F2995" t="s">
        <v>13649</v>
      </c>
      <c r="G2995" t="s">
        <v>13650</v>
      </c>
      <c r="H2995">
        <v>17.876519999999999</v>
      </c>
      <c r="I2995">
        <v>50.682780000000001</v>
      </c>
      <c r="J2995">
        <v>100</v>
      </c>
      <c r="K2995" t="s">
        <v>45</v>
      </c>
      <c r="L2995" t="s">
        <v>45</v>
      </c>
      <c r="M2995" t="s">
        <v>45</v>
      </c>
      <c r="N2995" t="s">
        <v>45</v>
      </c>
      <c r="O2995" t="s">
        <v>45</v>
      </c>
      <c r="P2995" t="s">
        <v>45</v>
      </c>
      <c r="Q2995" t="s">
        <v>45</v>
      </c>
      <c r="R2995" t="s">
        <v>13848</v>
      </c>
      <c r="S2995" t="s">
        <v>13850</v>
      </c>
      <c r="T2995" t="s">
        <v>13851</v>
      </c>
      <c r="U2995" t="s">
        <v>13852</v>
      </c>
    </row>
    <row r="2996" spans="1:21" x14ac:dyDescent="0.25">
      <c r="A2996" t="s">
        <v>13853</v>
      </c>
      <c r="B2996" t="s">
        <v>38</v>
      </c>
      <c r="C2996" t="s">
        <v>13854</v>
      </c>
      <c r="D2996">
        <f>48-598482540</f>
        <v>-598482492</v>
      </c>
      <c r="E2996" t="s">
        <v>13855</v>
      </c>
      <c r="F2996" t="s">
        <v>13649</v>
      </c>
      <c r="G2996" t="s">
        <v>13650</v>
      </c>
      <c r="H2996">
        <v>16.988168000000002</v>
      </c>
      <c r="I2996">
        <v>54.454445999999997</v>
      </c>
      <c r="J2996">
        <v>100</v>
      </c>
      <c r="K2996" t="s">
        <v>312</v>
      </c>
      <c r="L2996" t="s">
        <v>312</v>
      </c>
      <c r="M2996" t="s">
        <v>312</v>
      </c>
      <c r="N2996" t="s">
        <v>312</v>
      </c>
      <c r="O2996" t="s">
        <v>312</v>
      </c>
      <c r="P2996" t="s">
        <v>312</v>
      </c>
      <c r="Q2996" t="s">
        <v>192</v>
      </c>
      <c r="R2996" t="s">
        <v>13854</v>
      </c>
      <c r="S2996" t="s">
        <v>13856</v>
      </c>
      <c r="T2996" t="s">
        <v>13687</v>
      </c>
      <c r="U2996" t="s">
        <v>13857</v>
      </c>
    </row>
    <row r="2997" spans="1:21" x14ac:dyDescent="0.25">
      <c r="A2997" t="s">
        <v>13858</v>
      </c>
      <c r="B2997" t="s">
        <v>22</v>
      </c>
      <c r="C2997" t="s">
        <v>13859</v>
      </c>
      <c r="D2997">
        <f>48-618870340</f>
        <v>-618870292</v>
      </c>
      <c r="E2997" t="s">
        <v>13664</v>
      </c>
      <c r="F2997" t="s">
        <v>13649</v>
      </c>
      <c r="G2997" t="s">
        <v>13650</v>
      </c>
      <c r="H2997">
        <v>16.959330000000001</v>
      </c>
      <c r="I2997">
        <v>52.401739999999997</v>
      </c>
      <c r="J2997">
        <v>100</v>
      </c>
      <c r="K2997" t="s">
        <v>27</v>
      </c>
      <c r="L2997" t="s">
        <v>27</v>
      </c>
      <c r="M2997" t="s">
        <v>27</v>
      </c>
      <c r="N2997" t="s">
        <v>27</v>
      </c>
      <c r="O2997" t="s">
        <v>27</v>
      </c>
      <c r="P2997" t="s">
        <v>27</v>
      </c>
      <c r="Q2997" t="s">
        <v>45</v>
      </c>
      <c r="R2997" t="s">
        <v>13859</v>
      </c>
      <c r="S2997" t="s">
        <v>13860</v>
      </c>
      <c r="T2997" t="s">
        <v>13666</v>
      </c>
      <c r="U2997" t="s">
        <v>13861</v>
      </c>
    </row>
    <row r="2998" spans="1:21" x14ac:dyDescent="0.25">
      <c r="A2998" t="s">
        <v>13862</v>
      </c>
      <c r="B2998" t="s">
        <v>22</v>
      </c>
      <c r="C2998" t="s">
        <v>13863</v>
      </c>
      <c r="D2998">
        <f>48-182021640</f>
        <v>-182021592</v>
      </c>
      <c r="E2998" t="s">
        <v>13864</v>
      </c>
      <c r="F2998" t="s">
        <v>13649</v>
      </c>
      <c r="G2998" t="s">
        <v>13650</v>
      </c>
      <c r="H2998">
        <v>19.956022999999998</v>
      </c>
      <c r="I2998">
        <v>49.293115</v>
      </c>
      <c r="J2998">
        <v>100</v>
      </c>
      <c r="K2998" t="s">
        <v>45</v>
      </c>
      <c r="L2998" t="s">
        <v>45</v>
      </c>
      <c r="M2998" t="s">
        <v>45</v>
      </c>
      <c r="N2998" t="s">
        <v>45</v>
      </c>
      <c r="O2998" t="s">
        <v>45</v>
      </c>
      <c r="P2998" t="s">
        <v>45</v>
      </c>
      <c r="Q2998" t="s">
        <v>45</v>
      </c>
      <c r="R2998" t="s">
        <v>13863</v>
      </c>
      <c r="S2998" t="s">
        <v>13865</v>
      </c>
      <c r="T2998" t="s">
        <v>13706</v>
      </c>
      <c r="U2998" t="s">
        <v>13866</v>
      </c>
    </row>
    <row r="2999" spans="1:21" x14ac:dyDescent="0.25">
      <c r="A2999" t="s">
        <v>13867</v>
      </c>
      <c r="B2999" t="s">
        <v>38</v>
      </c>
      <c r="C2999" t="s">
        <v>13868</v>
      </c>
      <c r="D2999">
        <f>48-767212940</f>
        <v>-767212892</v>
      </c>
      <c r="E2999" t="s">
        <v>13869</v>
      </c>
      <c r="F2999" t="s">
        <v>13649</v>
      </c>
      <c r="G2999" t="s">
        <v>13650</v>
      </c>
      <c r="H2999">
        <v>16.164929999999998</v>
      </c>
      <c r="I2999">
        <v>51.209350000000001</v>
      </c>
      <c r="J2999">
        <v>100</v>
      </c>
      <c r="K2999" t="s">
        <v>536</v>
      </c>
      <c r="L2999" t="s">
        <v>536</v>
      </c>
      <c r="M2999" t="s">
        <v>536</v>
      </c>
      <c r="N2999" t="s">
        <v>536</v>
      </c>
      <c r="O2999" t="s">
        <v>536</v>
      </c>
      <c r="P2999" t="s">
        <v>536</v>
      </c>
      <c r="Q2999" t="s">
        <v>45</v>
      </c>
      <c r="R2999" t="s">
        <v>13868</v>
      </c>
      <c r="S2999" t="s">
        <v>13870</v>
      </c>
      <c r="T2999" t="s">
        <v>13682</v>
      </c>
      <c r="U2999" t="s">
        <v>13871</v>
      </c>
    </row>
    <row r="3000" spans="1:21" x14ac:dyDescent="0.25">
      <c r="A3000" t="s">
        <v>13872</v>
      </c>
      <c r="B3000" t="s">
        <v>38</v>
      </c>
      <c r="C3000" t="s">
        <v>13873</v>
      </c>
      <c r="D3000">
        <f>48-185408740</f>
        <v>-185408692</v>
      </c>
      <c r="E3000" t="s">
        <v>13874</v>
      </c>
      <c r="F3000" t="s">
        <v>13649</v>
      </c>
      <c r="G3000" t="s">
        <v>13650</v>
      </c>
      <c r="H3000">
        <v>20.671592</v>
      </c>
      <c r="I3000">
        <v>49.585925000000003</v>
      </c>
      <c r="J3000">
        <v>100</v>
      </c>
      <c r="K3000" t="s">
        <v>45</v>
      </c>
      <c r="L3000" t="s">
        <v>45</v>
      </c>
      <c r="M3000" t="s">
        <v>45</v>
      </c>
      <c r="N3000" t="s">
        <v>45</v>
      </c>
      <c r="O3000" t="s">
        <v>45</v>
      </c>
      <c r="P3000" t="s">
        <v>45</v>
      </c>
      <c r="Q3000" t="s">
        <v>45</v>
      </c>
      <c r="R3000" t="s">
        <v>13873</v>
      </c>
      <c r="S3000" t="s">
        <v>13875</v>
      </c>
      <c r="T3000" t="s">
        <v>13706</v>
      </c>
      <c r="U3000" t="s">
        <v>13876</v>
      </c>
    </row>
    <row r="3001" spans="1:21" x14ac:dyDescent="0.25">
      <c r="A3001" t="s">
        <v>13877</v>
      </c>
      <c r="B3001" t="s">
        <v>22</v>
      </c>
      <c r="C3001" t="s">
        <v>13878</v>
      </c>
      <c r="D3001">
        <f>48-146466340</f>
        <v>-146466292</v>
      </c>
      <c r="E3001" t="s">
        <v>13879</v>
      </c>
      <c r="F3001" t="s">
        <v>13649</v>
      </c>
      <c r="G3001" t="s">
        <v>13650</v>
      </c>
      <c r="H3001">
        <v>20.957761999999999</v>
      </c>
      <c r="I3001">
        <v>50.000923999999998</v>
      </c>
      <c r="J3001">
        <v>100</v>
      </c>
      <c r="K3001" t="s">
        <v>536</v>
      </c>
      <c r="L3001" t="s">
        <v>536</v>
      </c>
      <c r="M3001" t="s">
        <v>536</v>
      </c>
      <c r="N3001" t="s">
        <v>536</v>
      </c>
      <c r="O3001" t="s">
        <v>536</v>
      </c>
      <c r="P3001" t="s">
        <v>536</v>
      </c>
      <c r="Q3001" t="s">
        <v>45</v>
      </c>
      <c r="R3001" t="s">
        <v>13878</v>
      </c>
      <c r="S3001" t="s">
        <v>13880</v>
      </c>
      <c r="T3001" t="s">
        <v>13706</v>
      </c>
      <c r="U3001" t="s">
        <v>13881</v>
      </c>
    </row>
    <row r="3002" spans="1:21" x14ac:dyDescent="0.25">
      <c r="A3002" t="s">
        <v>13882</v>
      </c>
      <c r="B3002" t="s">
        <v>38</v>
      </c>
      <c r="C3002" t="s">
        <v>13883</v>
      </c>
      <c r="D3002">
        <f>48-632474140</f>
        <v>-632474092</v>
      </c>
      <c r="E3002" t="s">
        <v>13884</v>
      </c>
      <c r="F3002" t="s">
        <v>13649</v>
      </c>
      <c r="G3002" t="s">
        <v>13650</v>
      </c>
      <c r="H3002">
        <v>18.231680000000001</v>
      </c>
      <c r="I3002">
        <v>52.182780000000001</v>
      </c>
      <c r="J3002">
        <v>100</v>
      </c>
      <c r="K3002" t="s">
        <v>312</v>
      </c>
      <c r="L3002" t="s">
        <v>312</v>
      </c>
      <c r="M3002" t="s">
        <v>312</v>
      </c>
      <c r="N3002" t="s">
        <v>312</v>
      </c>
      <c r="O3002" t="s">
        <v>312</v>
      </c>
      <c r="P3002" t="s">
        <v>312</v>
      </c>
      <c r="Q3002" t="s">
        <v>45</v>
      </c>
      <c r="R3002" t="s">
        <v>13883</v>
      </c>
      <c r="S3002" t="s">
        <v>13885</v>
      </c>
      <c r="T3002" t="s">
        <v>13666</v>
      </c>
      <c r="U3002" t="s">
        <v>13886</v>
      </c>
    </row>
    <row r="3003" spans="1:21" x14ac:dyDescent="0.25">
      <c r="A3003" t="s">
        <v>13887</v>
      </c>
      <c r="B3003" t="s">
        <v>22</v>
      </c>
      <c r="C3003" t="s">
        <v>13888</v>
      </c>
      <c r="D3003">
        <f>48-943419040</f>
        <v>-943418992</v>
      </c>
      <c r="E3003" t="s">
        <v>13889</v>
      </c>
      <c r="F3003" t="s">
        <v>13649</v>
      </c>
      <c r="G3003" t="s">
        <v>13650</v>
      </c>
      <c r="H3003">
        <v>16.2021111468352</v>
      </c>
      <c r="I3003">
        <v>54.1777057213462</v>
      </c>
      <c r="J3003">
        <v>100</v>
      </c>
      <c r="K3003" t="s">
        <v>312</v>
      </c>
      <c r="L3003" t="s">
        <v>312</v>
      </c>
      <c r="M3003" t="s">
        <v>312</v>
      </c>
      <c r="N3003" t="s">
        <v>312</v>
      </c>
      <c r="O3003" t="s">
        <v>312</v>
      </c>
      <c r="P3003" t="s">
        <v>312</v>
      </c>
      <c r="Q3003" t="s">
        <v>45</v>
      </c>
      <c r="R3003" t="s">
        <v>13888</v>
      </c>
      <c r="S3003" t="s">
        <v>13890</v>
      </c>
      <c r="T3003" t="s">
        <v>13676</v>
      </c>
      <c r="U3003" t="s">
        <v>13891</v>
      </c>
    </row>
    <row r="3004" spans="1:21" x14ac:dyDescent="0.25">
      <c r="A3004" t="s">
        <v>13892</v>
      </c>
      <c r="B3004" t="s">
        <v>38</v>
      </c>
      <c r="C3004" t="s">
        <v>13748</v>
      </c>
      <c r="D3004">
        <f>48-756496840</f>
        <v>-756496792</v>
      </c>
      <c r="E3004" t="s">
        <v>13893</v>
      </c>
      <c r="F3004" t="s">
        <v>13649</v>
      </c>
      <c r="G3004" t="s">
        <v>13650</v>
      </c>
      <c r="H3004">
        <v>15.026</v>
      </c>
      <c r="I3004">
        <v>51.152549999999998</v>
      </c>
      <c r="J3004">
        <v>100</v>
      </c>
      <c r="K3004" t="s">
        <v>312</v>
      </c>
      <c r="L3004" t="s">
        <v>312</v>
      </c>
      <c r="M3004" t="s">
        <v>312</v>
      </c>
      <c r="N3004" t="s">
        <v>312</v>
      </c>
      <c r="O3004" t="s">
        <v>312</v>
      </c>
      <c r="P3004" t="s">
        <v>312</v>
      </c>
      <c r="Q3004" t="s">
        <v>312</v>
      </c>
      <c r="R3004" t="s">
        <v>13748</v>
      </c>
      <c r="S3004" t="s">
        <v>13894</v>
      </c>
      <c r="T3004" t="s">
        <v>13682</v>
      </c>
      <c r="U3004" t="s">
        <v>13895</v>
      </c>
    </row>
    <row r="3005" spans="1:21" x14ac:dyDescent="0.25">
      <c r="A3005" t="s">
        <v>13896</v>
      </c>
      <c r="B3005" t="s">
        <v>38</v>
      </c>
      <c r="C3005" t="s">
        <v>13897</v>
      </c>
      <c r="D3005">
        <f>48-877395140</f>
        <v>-877395092</v>
      </c>
      <c r="E3005" t="s">
        <v>13898</v>
      </c>
      <c r="F3005" t="s">
        <v>13649</v>
      </c>
      <c r="G3005" t="s">
        <v>13650</v>
      </c>
      <c r="H3005">
        <v>22.932842999999998</v>
      </c>
      <c r="I3005">
        <v>54.107314000000002</v>
      </c>
      <c r="J3005">
        <v>100</v>
      </c>
      <c r="K3005" t="s">
        <v>312</v>
      </c>
      <c r="L3005" t="s">
        <v>312</v>
      </c>
      <c r="M3005" t="s">
        <v>312</v>
      </c>
      <c r="N3005" t="s">
        <v>312</v>
      </c>
      <c r="O3005" t="s">
        <v>312</v>
      </c>
      <c r="P3005" t="s">
        <v>312</v>
      </c>
      <c r="Q3005" t="s">
        <v>312</v>
      </c>
      <c r="R3005" t="s">
        <v>13897</v>
      </c>
      <c r="S3005" t="s">
        <v>13899</v>
      </c>
      <c r="T3005" t="s">
        <v>13804</v>
      </c>
      <c r="U3005" t="s">
        <v>13900</v>
      </c>
    </row>
    <row r="3006" spans="1:21" x14ac:dyDescent="0.25">
      <c r="A3006" t="s">
        <v>13901</v>
      </c>
      <c r="B3006" t="s">
        <v>22</v>
      </c>
      <c r="C3006" t="s">
        <v>13902</v>
      </c>
      <c r="D3006">
        <f>48-566424140</f>
        <v>-566424092</v>
      </c>
      <c r="E3006" t="s">
        <v>13777</v>
      </c>
      <c r="F3006" t="s">
        <v>13649</v>
      </c>
      <c r="G3006" t="s">
        <v>13650</v>
      </c>
      <c r="H3006">
        <v>18.561561000000001</v>
      </c>
      <c r="I3006">
        <v>53.015636000000001</v>
      </c>
      <c r="J3006">
        <v>100</v>
      </c>
      <c r="K3006" t="s">
        <v>312</v>
      </c>
      <c r="L3006" t="s">
        <v>312</v>
      </c>
      <c r="M3006" t="s">
        <v>312</v>
      </c>
      <c r="N3006" t="s">
        <v>312</v>
      </c>
      <c r="O3006" t="s">
        <v>312</v>
      </c>
      <c r="P3006" t="s">
        <v>312</v>
      </c>
      <c r="Q3006" t="s">
        <v>312</v>
      </c>
      <c r="R3006" t="s">
        <v>13902</v>
      </c>
      <c r="S3006" t="s">
        <v>13903</v>
      </c>
      <c r="T3006" t="s">
        <v>13773</v>
      </c>
      <c r="U3006" t="s">
        <v>13904</v>
      </c>
    </row>
    <row r="3007" spans="1:21" x14ac:dyDescent="0.25">
      <c r="A3007" t="s">
        <v>13905</v>
      </c>
      <c r="B3007" t="s">
        <v>22</v>
      </c>
      <c r="C3007" t="s">
        <v>13906</v>
      </c>
      <c r="D3007">
        <f>48-684107940</f>
        <v>-684107892</v>
      </c>
      <c r="E3007" t="s">
        <v>13907</v>
      </c>
      <c r="F3007" t="s">
        <v>13649</v>
      </c>
      <c r="G3007" t="s">
        <v>13650</v>
      </c>
      <c r="H3007">
        <v>15.5120086669921</v>
      </c>
      <c r="I3007">
        <v>51.9363014555422</v>
      </c>
      <c r="J3007">
        <v>100</v>
      </c>
      <c r="K3007" t="s">
        <v>45</v>
      </c>
      <c r="L3007" t="s">
        <v>45</v>
      </c>
      <c r="M3007" t="s">
        <v>45</v>
      </c>
      <c r="N3007" t="s">
        <v>45</v>
      </c>
      <c r="O3007" t="s">
        <v>45</v>
      </c>
      <c r="P3007" t="s">
        <v>45</v>
      </c>
      <c r="Q3007" t="s">
        <v>45</v>
      </c>
      <c r="R3007" t="s">
        <v>13906</v>
      </c>
      <c r="S3007" t="s">
        <v>13908</v>
      </c>
      <c r="T3007" t="s">
        <v>13909</v>
      </c>
      <c r="U3007" t="s">
        <v>13910</v>
      </c>
    </row>
    <row r="3008" spans="1:21" x14ac:dyDescent="0.25">
      <c r="A3008" t="s">
        <v>13911</v>
      </c>
      <c r="B3008" t="s">
        <v>38</v>
      </c>
      <c r="C3008" t="s">
        <v>13835</v>
      </c>
      <c r="D3008">
        <f>48-447159240</f>
        <v>-447159192</v>
      </c>
      <c r="E3008" t="s">
        <v>13912</v>
      </c>
      <c r="F3008" t="s">
        <v>13649</v>
      </c>
      <c r="G3008" t="s">
        <v>13650</v>
      </c>
      <c r="H3008">
        <v>19.6675</v>
      </c>
      <c r="I3008">
        <v>51.410539999999997</v>
      </c>
      <c r="J3008">
        <v>100</v>
      </c>
      <c r="K3008" t="s">
        <v>45</v>
      </c>
      <c r="L3008" t="s">
        <v>45</v>
      </c>
      <c r="M3008" t="s">
        <v>45</v>
      </c>
      <c r="N3008" t="s">
        <v>45</v>
      </c>
      <c r="O3008" t="s">
        <v>45</v>
      </c>
      <c r="P3008" t="s">
        <v>45</v>
      </c>
      <c r="Q3008" t="s">
        <v>45</v>
      </c>
      <c r="R3008" t="s">
        <v>13835</v>
      </c>
      <c r="S3008" t="s">
        <v>13913</v>
      </c>
      <c r="T3008" t="s">
        <v>13723</v>
      </c>
      <c r="U3008" t="s">
        <v>13914</v>
      </c>
    </row>
    <row r="3009" spans="1:21" x14ac:dyDescent="0.25">
      <c r="A3009" t="s">
        <v>13915</v>
      </c>
      <c r="B3009" t="s">
        <v>38</v>
      </c>
      <c r="C3009" t="s">
        <v>13916</v>
      </c>
      <c r="D3009">
        <f>48-326618740</f>
        <v>-326618692</v>
      </c>
      <c r="E3009" t="s">
        <v>13787</v>
      </c>
      <c r="F3009" t="s">
        <v>13649</v>
      </c>
      <c r="G3009" t="s">
        <v>13650</v>
      </c>
      <c r="H3009">
        <v>18.918672999999998</v>
      </c>
      <c r="I3009">
        <v>50.347549999999998</v>
      </c>
      <c r="J3009">
        <v>100</v>
      </c>
      <c r="K3009" t="s">
        <v>312</v>
      </c>
      <c r="L3009" t="s">
        <v>312</v>
      </c>
      <c r="M3009" t="s">
        <v>312</v>
      </c>
      <c r="N3009" t="s">
        <v>312</v>
      </c>
      <c r="O3009" t="s">
        <v>312</v>
      </c>
      <c r="P3009" t="s">
        <v>312</v>
      </c>
      <c r="Q3009" t="s">
        <v>3710</v>
      </c>
      <c r="R3009" t="s">
        <v>13916</v>
      </c>
      <c r="S3009" t="s">
        <v>13917</v>
      </c>
      <c r="T3009" t="s">
        <v>13712</v>
      </c>
      <c r="U3009" t="s">
        <v>13918</v>
      </c>
    </row>
    <row r="3010" spans="1:21" x14ac:dyDescent="0.25">
      <c r="A3010" t="s">
        <v>13919</v>
      </c>
      <c r="B3010" t="s">
        <v>38</v>
      </c>
      <c r="C3010" t="s">
        <v>13920</v>
      </c>
      <c r="D3010">
        <f>48-343608440</f>
        <v>-343608392</v>
      </c>
      <c r="E3010" t="s">
        <v>13921</v>
      </c>
      <c r="F3010" t="s">
        <v>13649</v>
      </c>
      <c r="G3010" t="s">
        <v>13650</v>
      </c>
      <c r="H3010">
        <v>19.154564000000001</v>
      </c>
      <c r="I3010">
        <v>50.730083999999998</v>
      </c>
      <c r="J3010">
        <v>100</v>
      </c>
      <c r="K3010" t="s">
        <v>312</v>
      </c>
      <c r="L3010" t="s">
        <v>312</v>
      </c>
      <c r="M3010" t="s">
        <v>312</v>
      </c>
      <c r="N3010" t="s">
        <v>312</v>
      </c>
      <c r="O3010" t="s">
        <v>312</v>
      </c>
      <c r="P3010" t="s">
        <v>312</v>
      </c>
      <c r="Q3010" t="s">
        <v>185</v>
      </c>
      <c r="R3010" t="s">
        <v>13922</v>
      </c>
      <c r="S3010" t="s">
        <v>13923</v>
      </c>
      <c r="T3010" t="s">
        <v>13712</v>
      </c>
      <c r="U3010" t="s">
        <v>13924</v>
      </c>
    </row>
    <row r="3011" spans="1:21" x14ac:dyDescent="0.25">
      <c r="A3011" t="s">
        <v>13925</v>
      </c>
      <c r="B3011" t="s">
        <v>38</v>
      </c>
      <c r="C3011" t="s">
        <v>13926</v>
      </c>
      <c r="D3011">
        <f>48-767466740</f>
        <v>-767466692</v>
      </c>
      <c r="E3011" t="s">
        <v>13927</v>
      </c>
      <c r="F3011" t="s">
        <v>13649</v>
      </c>
      <c r="G3011" t="s">
        <v>13650</v>
      </c>
      <c r="H3011">
        <v>16.206600000000002</v>
      </c>
      <c r="I3011">
        <v>51.393920000000001</v>
      </c>
      <c r="J3011">
        <v>100</v>
      </c>
      <c r="K3011" t="s">
        <v>536</v>
      </c>
      <c r="L3011" t="s">
        <v>536</v>
      </c>
      <c r="M3011" t="s">
        <v>536</v>
      </c>
      <c r="N3011" t="s">
        <v>536</v>
      </c>
      <c r="O3011" t="s">
        <v>536</v>
      </c>
      <c r="P3011" t="s">
        <v>536</v>
      </c>
      <c r="Q3011" t="s">
        <v>536</v>
      </c>
      <c r="R3011" t="s">
        <v>13926</v>
      </c>
      <c r="S3011" t="s">
        <v>13928</v>
      </c>
      <c r="T3011" t="s">
        <v>13682</v>
      </c>
      <c r="U3011" t="s">
        <v>13929</v>
      </c>
    </row>
    <row r="3012" spans="1:21" x14ac:dyDescent="0.25">
      <c r="A3012" t="s">
        <v>13930</v>
      </c>
      <c r="B3012" t="s">
        <v>38</v>
      </c>
      <c r="C3012" t="s">
        <v>13931</v>
      </c>
      <c r="D3012">
        <f>48-322686940</f>
        <v>-322686892</v>
      </c>
      <c r="E3012" t="s">
        <v>13932</v>
      </c>
      <c r="F3012" t="s">
        <v>13649</v>
      </c>
      <c r="G3012" t="s">
        <v>13650</v>
      </c>
      <c r="H3012">
        <v>19.183405</v>
      </c>
      <c r="I3012">
        <v>50.326715999999998</v>
      </c>
      <c r="J3012">
        <v>100</v>
      </c>
      <c r="K3012" t="s">
        <v>312</v>
      </c>
      <c r="L3012" t="s">
        <v>312</v>
      </c>
      <c r="M3012" t="s">
        <v>312</v>
      </c>
      <c r="N3012" t="s">
        <v>312</v>
      </c>
      <c r="O3012" t="s">
        <v>312</v>
      </c>
      <c r="P3012" t="s">
        <v>312</v>
      </c>
      <c r="Q3012" t="s">
        <v>192</v>
      </c>
      <c r="R3012" t="s">
        <v>13931</v>
      </c>
      <c r="S3012" t="s">
        <v>13933</v>
      </c>
      <c r="T3012" t="s">
        <v>13712</v>
      </c>
      <c r="U3012" t="s">
        <v>13934</v>
      </c>
    </row>
    <row r="3013" spans="1:21" x14ac:dyDescent="0.25">
      <c r="A3013" t="s">
        <v>13935</v>
      </c>
      <c r="B3013" t="s">
        <v>38</v>
      </c>
      <c r="C3013" t="s">
        <v>13936</v>
      </c>
      <c r="D3013">
        <f>48-542523640</f>
        <v>-542523592</v>
      </c>
      <c r="E3013" t="s">
        <v>13937</v>
      </c>
      <c r="F3013" t="s">
        <v>13649</v>
      </c>
      <c r="G3013" t="s">
        <v>13650</v>
      </c>
      <c r="H3013">
        <v>19.0635888680386</v>
      </c>
      <c r="I3013">
        <v>52.655292550753103</v>
      </c>
      <c r="J3013">
        <v>100</v>
      </c>
      <c r="K3013" t="s">
        <v>312</v>
      </c>
      <c r="L3013" t="s">
        <v>312</v>
      </c>
      <c r="M3013" t="s">
        <v>312</v>
      </c>
      <c r="N3013" t="s">
        <v>312</v>
      </c>
      <c r="O3013" t="s">
        <v>312</v>
      </c>
      <c r="P3013" t="s">
        <v>312</v>
      </c>
      <c r="Q3013" t="s">
        <v>535</v>
      </c>
      <c r="R3013" t="s">
        <v>13936</v>
      </c>
      <c r="S3013" t="s">
        <v>13938</v>
      </c>
      <c r="T3013" t="s">
        <v>13773</v>
      </c>
      <c r="U3013" t="s">
        <v>13939</v>
      </c>
    </row>
    <row r="3014" spans="1:21" x14ac:dyDescent="0.25">
      <c r="A3014" t="s">
        <v>13940</v>
      </c>
      <c r="B3014" t="s">
        <v>38</v>
      </c>
      <c r="C3014" t="s">
        <v>13941</v>
      </c>
      <c r="D3014">
        <f>48-818890840</f>
        <v>-818890792</v>
      </c>
      <c r="E3014" t="s">
        <v>13942</v>
      </c>
      <c r="F3014" t="s">
        <v>13649</v>
      </c>
      <c r="G3014" t="s">
        <v>13650</v>
      </c>
      <c r="H3014">
        <v>21.970079999999999</v>
      </c>
      <c r="I3014">
        <v>51.415849999999999</v>
      </c>
      <c r="J3014">
        <v>100</v>
      </c>
      <c r="K3014" t="s">
        <v>192</v>
      </c>
      <c r="L3014" t="s">
        <v>192</v>
      </c>
      <c r="M3014" t="s">
        <v>192</v>
      </c>
      <c r="N3014" t="s">
        <v>192</v>
      </c>
      <c r="O3014" t="s">
        <v>192</v>
      </c>
      <c r="P3014" t="s">
        <v>192</v>
      </c>
      <c r="Q3014" t="s">
        <v>717</v>
      </c>
      <c r="R3014" t="s">
        <v>13941</v>
      </c>
      <c r="S3014" t="s">
        <v>13943</v>
      </c>
      <c r="T3014" t="s">
        <v>13798</v>
      </c>
      <c r="U3014" t="s">
        <v>13944</v>
      </c>
    </row>
    <row r="3015" spans="1:21" x14ac:dyDescent="0.25">
      <c r="A3015" t="s">
        <v>13945</v>
      </c>
      <c r="B3015" t="s">
        <v>38</v>
      </c>
      <c r="C3015" t="s">
        <v>13946</v>
      </c>
      <c r="D3015">
        <f>48-338130640</f>
        <v>-338130592</v>
      </c>
      <c r="E3015" t="s">
        <v>13947</v>
      </c>
      <c r="F3015" t="s">
        <v>13649</v>
      </c>
      <c r="G3015" t="s">
        <v>13650</v>
      </c>
      <c r="H3015">
        <v>19.050688000000001</v>
      </c>
      <c r="I3015">
        <v>49.803507000000003</v>
      </c>
      <c r="J3015">
        <v>100</v>
      </c>
      <c r="K3015" t="s">
        <v>312</v>
      </c>
      <c r="L3015" t="s">
        <v>312</v>
      </c>
      <c r="M3015" t="s">
        <v>312</v>
      </c>
      <c r="N3015" t="s">
        <v>312</v>
      </c>
      <c r="O3015" t="s">
        <v>312</v>
      </c>
      <c r="P3015" t="s">
        <v>312</v>
      </c>
      <c r="Q3015" t="s">
        <v>45</v>
      </c>
      <c r="R3015" t="s">
        <v>13946</v>
      </c>
      <c r="S3015" t="s">
        <v>13948</v>
      </c>
      <c r="T3015" t="s">
        <v>13712</v>
      </c>
      <c r="U3015" t="s">
        <v>13949</v>
      </c>
    </row>
    <row r="3016" spans="1:21" x14ac:dyDescent="0.25">
      <c r="A3016" t="s">
        <v>13950</v>
      </c>
      <c r="B3016" t="s">
        <v>38</v>
      </c>
      <c r="C3016" t="s">
        <v>13951</v>
      </c>
      <c r="D3016">
        <f>48-6323040</f>
        <v>-6322992</v>
      </c>
      <c r="E3016" t="s">
        <v>13952</v>
      </c>
      <c r="F3016" t="s">
        <v>13649</v>
      </c>
      <c r="G3016" t="s">
        <v>13650</v>
      </c>
      <c r="H3016">
        <v>16.264520000000001</v>
      </c>
      <c r="I3016">
        <v>50.766170000000002</v>
      </c>
      <c r="J3016">
        <v>100</v>
      </c>
      <c r="K3016" t="s">
        <v>536</v>
      </c>
      <c r="L3016" t="s">
        <v>536</v>
      </c>
      <c r="M3016" t="s">
        <v>536</v>
      </c>
      <c r="N3016" t="s">
        <v>536</v>
      </c>
      <c r="O3016" t="s">
        <v>536</v>
      </c>
      <c r="P3016" t="s">
        <v>312</v>
      </c>
      <c r="Q3016" t="s">
        <v>45</v>
      </c>
      <c r="R3016" t="s">
        <v>13951</v>
      </c>
      <c r="S3016" t="s">
        <v>13953</v>
      </c>
      <c r="T3016" t="s">
        <v>13682</v>
      </c>
      <c r="U3016" t="s">
        <v>13954</v>
      </c>
    </row>
    <row r="3017" spans="1:21" x14ac:dyDescent="0.25">
      <c r="A3017" t="s">
        <v>13955</v>
      </c>
      <c r="B3017" t="s">
        <v>38</v>
      </c>
      <c r="C3017" t="s">
        <v>13956</v>
      </c>
      <c r="D3017">
        <f>48-422981460</f>
        <v>-422981412</v>
      </c>
      <c r="E3017" t="s">
        <v>13721</v>
      </c>
      <c r="F3017" t="s">
        <v>13649</v>
      </c>
      <c r="G3017" t="s">
        <v>13650</v>
      </c>
      <c r="H3017">
        <v>19.412880000000001</v>
      </c>
      <c r="I3017">
        <v>51.703707000000001</v>
      </c>
      <c r="J3017">
        <v>100</v>
      </c>
      <c r="K3017" t="s">
        <v>536</v>
      </c>
      <c r="L3017" t="s">
        <v>536</v>
      </c>
      <c r="M3017" t="s">
        <v>536</v>
      </c>
      <c r="N3017" t="s">
        <v>536</v>
      </c>
      <c r="O3017" t="s">
        <v>536</v>
      </c>
      <c r="P3017" t="s">
        <v>536</v>
      </c>
      <c r="Q3017" t="s">
        <v>536</v>
      </c>
      <c r="R3017" t="s">
        <v>13956</v>
      </c>
      <c r="S3017" t="s">
        <v>13957</v>
      </c>
      <c r="T3017" t="s">
        <v>13723</v>
      </c>
      <c r="U3017" t="s">
        <v>13958</v>
      </c>
    </row>
    <row r="3018" spans="1:21" x14ac:dyDescent="0.25">
      <c r="A3018" t="s">
        <v>13959</v>
      </c>
      <c r="B3018" t="s">
        <v>22</v>
      </c>
      <c r="C3018" t="s">
        <v>13960</v>
      </c>
      <c r="D3018">
        <f>48-627320940</f>
        <v>-627320892</v>
      </c>
      <c r="E3018" t="s">
        <v>13961</v>
      </c>
      <c r="F3018" t="s">
        <v>13649</v>
      </c>
      <c r="G3018" t="s">
        <v>13650</v>
      </c>
      <c r="H3018">
        <v>17.846070000000001</v>
      </c>
      <c r="I3018">
        <v>51.657350000000001</v>
      </c>
      <c r="J3018">
        <v>100</v>
      </c>
      <c r="K3018" t="s">
        <v>312</v>
      </c>
      <c r="L3018" t="s">
        <v>312</v>
      </c>
      <c r="M3018" t="s">
        <v>312</v>
      </c>
      <c r="N3018" t="s">
        <v>312</v>
      </c>
      <c r="O3018" t="s">
        <v>312</v>
      </c>
      <c r="P3018" t="s">
        <v>312</v>
      </c>
      <c r="Q3018" t="s">
        <v>45</v>
      </c>
      <c r="R3018" t="s">
        <v>13960</v>
      </c>
      <c r="S3018" t="s">
        <v>13962</v>
      </c>
      <c r="T3018" t="s">
        <v>13666</v>
      </c>
      <c r="U3018" t="s">
        <v>13963</v>
      </c>
    </row>
    <row r="3019" spans="1:21" x14ac:dyDescent="0.25">
      <c r="A3019" t="s">
        <v>13964</v>
      </c>
      <c r="B3019" t="s">
        <v>38</v>
      </c>
      <c r="C3019" t="s">
        <v>13965</v>
      </c>
      <c r="D3019">
        <f>48-957140140</f>
        <v>-957140092</v>
      </c>
      <c r="E3019" t="s">
        <v>13966</v>
      </c>
      <c r="F3019" t="s">
        <v>13649</v>
      </c>
      <c r="G3019" t="s">
        <v>13650</v>
      </c>
      <c r="H3019">
        <v>15.242889999999999</v>
      </c>
      <c r="I3019">
        <v>52.727460000000001</v>
      </c>
      <c r="J3019">
        <v>100</v>
      </c>
      <c r="K3019" t="s">
        <v>312</v>
      </c>
      <c r="L3019" t="s">
        <v>312</v>
      </c>
      <c r="M3019" t="s">
        <v>312</v>
      </c>
      <c r="N3019" t="s">
        <v>312</v>
      </c>
      <c r="O3019" t="s">
        <v>312</v>
      </c>
      <c r="P3019" t="s">
        <v>312</v>
      </c>
      <c r="Q3019" t="s">
        <v>45</v>
      </c>
      <c r="R3019" t="s">
        <v>13965</v>
      </c>
      <c r="S3019" t="s">
        <v>13967</v>
      </c>
      <c r="T3019" t="s">
        <v>13909</v>
      </c>
      <c r="U3019" t="s">
        <v>13968</v>
      </c>
    </row>
    <row r="3020" spans="1:21" x14ac:dyDescent="0.25">
      <c r="A3020" t="s">
        <v>13969</v>
      </c>
      <c r="B3020" t="s">
        <v>22</v>
      </c>
      <c r="C3020" t="s">
        <v>13970</v>
      </c>
      <c r="D3020">
        <f>48-412012140</f>
        <v>-412012092</v>
      </c>
      <c r="E3020" t="s">
        <v>13971</v>
      </c>
      <c r="F3020" t="s">
        <v>13649</v>
      </c>
      <c r="G3020" t="s">
        <v>13650</v>
      </c>
      <c r="H3020">
        <v>20.648676999999999</v>
      </c>
      <c r="I3020">
        <v>50.880564999999997</v>
      </c>
      <c r="J3020">
        <v>100</v>
      </c>
      <c r="K3020" t="s">
        <v>312</v>
      </c>
      <c r="L3020" t="s">
        <v>312</v>
      </c>
      <c r="M3020" t="s">
        <v>312</v>
      </c>
      <c r="N3020" t="s">
        <v>312</v>
      </c>
      <c r="O3020" t="s">
        <v>3543</v>
      </c>
      <c r="P3020" t="s">
        <v>3543</v>
      </c>
      <c r="Q3020" t="s">
        <v>45</v>
      </c>
      <c r="R3020" t="s">
        <v>13970</v>
      </c>
      <c r="S3020" t="s">
        <v>13972</v>
      </c>
      <c r="T3020" t="s">
        <v>13973</v>
      </c>
      <c r="U3020" t="s">
        <v>13974</v>
      </c>
    </row>
    <row r="3021" spans="1:21" x14ac:dyDescent="0.25">
      <c r="A3021" t="s">
        <v>13975</v>
      </c>
      <c r="B3021" t="s">
        <v>38</v>
      </c>
      <c r="C3021" t="s">
        <v>13976</v>
      </c>
      <c r="D3021">
        <f>48-167331240</f>
        <v>-167331192</v>
      </c>
      <c r="E3021" t="s">
        <v>13977</v>
      </c>
      <c r="F3021" t="s">
        <v>13649</v>
      </c>
      <c r="G3021" t="s">
        <v>13650</v>
      </c>
      <c r="H3021">
        <v>22.782461000000001</v>
      </c>
      <c r="I3021">
        <v>49.791254000000002</v>
      </c>
      <c r="J3021">
        <v>100</v>
      </c>
      <c r="K3021" t="s">
        <v>45</v>
      </c>
      <c r="L3021" t="s">
        <v>45</v>
      </c>
      <c r="M3021" t="s">
        <v>45</v>
      </c>
      <c r="N3021" t="s">
        <v>45</v>
      </c>
      <c r="O3021" t="s">
        <v>45</v>
      </c>
      <c r="P3021" t="s">
        <v>45</v>
      </c>
      <c r="Q3021" t="s">
        <v>45</v>
      </c>
      <c r="R3021" t="s">
        <v>13976</v>
      </c>
      <c r="S3021" t="s">
        <v>13978</v>
      </c>
      <c r="T3021" t="s">
        <v>13828</v>
      </c>
      <c r="U3021" t="s">
        <v>13979</v>
      </c>
    </row>
    <row r="3022" spans="1:21" x14ac:dyDescent="0.25">
      <c r="A3022" t="s">
        <v>13980</v>
      </c>
      <c r="B3022" t="s">
        <v>22</v>
      </c>
      <c r="C3022" t="s">
        <v>13981</v>
      </c>
      <c r="D3022">
        <f>48-486791240</f>
        <v>-486791192</v>
      </c>
      <c r="E3022" t="s">
        <v>13982</v>
      </c>
      <c r="F3022" t="s">
        <v>13649</v>
      </c>
      <c r="G3022" t="s">
        <v>13650</v>
      </c>
      <c r="H3022">
        <v>21.15436</v>
      </c>
      <c r="I3022">
        <v>51.405630000000002</v>
      </c>
      <c r="J3022">
        <v>100</v>
      </c>
      <c r="K3022" t="s">
        <v>312</v>
      </c>
      <c r="L3022" t="s">
        <v>312</v>
      </c>
      <c r="M3022" t="s">
        <v>312</v>
      </c>
      <c r="N3022" t="s">
        <v>312</v>
      </c>
      <c r="O3022" t="s">
        <v>312</v>
      </c>
      <c r="P3022" t="s">
        <v>312</v>
      </c>
      <c r="Q3022" t="s">
        <v>45</v>
      </c>
      <c r="R3022" t="s">
        <v>13981</v>
      </c>
      <c r="S3022" t="s">
        <v>13983</v>
      </c>
      <c r="T3022" t="s">
        <v>13652</v>
      </c>
      <c r="U3022" t="s">
        <v>13984</v>
      </c>
    </row>
    <row r="3023" spans="1:21" x14ac:dyDescent="0.25">
      <c r="A3023" t="s">
        <v>13985</v>
      </c>
      <c r="B3023" t="s">
        <v>22</v>
      </c>
      <c r="C3023" t="s">
        <v>13986</v>
      </c>
      <c r="D3023">
        <f>48-334842240</f>
        <v>-334842192</v>
      </c>
      <c r="E3023" t="s">
        <v>13947</v>
      </c>
      <c r="F3023" t="s">
        <v>13649</v>
      </c>
      <c r="G3023" t="s">
        <v>13650</v>
      </c>
      <c r="H3023">
        <v>19.048079000000001</v>
      </c>
      <c r="I3023">
        <v>49.825935000000001</v>
      </c>
      <c r="J3023">
        <v>100</v>
      </c>
      <c r="K3023" t="s">
        <v>312</v>
      </c>
      <c r="L3023" t="s">
        <v>312</v>
      </c>
      <c r="M3023" t="s">
        <v>312</v>
      </c>
      <c r="N3023" t="s">
        <v>312</v>
      </c>
      <c r="O3023" t="s">
        <v>312</v>
      </c>
      <c r="P3023" t="s">
        <v>312</v>
      </c>
      <c r="Q3023" t="s">
        <v>45</v>
      </c>
      <c r="R3023" t="s">
        <v>13986</v>
      </c>
      <c r="S3023" t="s">
        <v>13987</v>
      </c>
      <c r="T3023" t="s">
        <v>13712</v>
      </c>
      <c r="U3023" t="s">
        <v>13988</v>
      </c>
    </row>
    <row r="3024" spans="1:21" x14ac:dyDescent="0.25">
      <c r="A3024" t="s">
        <v>13989</v>
      </c>
      <c r="B3024" t="s">
        <v>22</v>
      </c>
      <c r="C3024" t="s">
        <v>13990</v>
      </c>
      <c r="D3024">
        <f>48-123123340</f>
        <v>-123123292</v>
      </c>
      <c r="E3024" t="s">
        <v>13704</v>
      </c>
      <c r="F3024" t="s">
        <v>13649</v>
      </c>
      <c r="G3024" t="s">
        <v>13650</v>
      </c>
      <c r="H3024">
        <v>19.949372</v>
      </c>
      <c r="I3024">
        <v>50.027070999999999</v>
      </c>
      <c r="J3024">
        <v>100</v>
      </c>
      <c r="K3024" t="s">
        <v>27</v>
      </c>
      <c r="L3024" t="s">
        <v>27</v>
      </c>
      <c r="M3024" t="s">
        <v>27</v>
      </c>
      <c r="N3024" t="s">
        <v>27</v>
      </c>
      <c r="O3024" t="s">
        <v>27</v>
      </c>
      <c r="P3024" t="s">
        <v>27</v>
      </c>
      <c r="Q3024" t="s">
        <v>27</v>
      </c>
      <c r="R3024" t="s">
        <v>13990</v>
      </c>
      <c r="S3024" t="s">
        <v>13991</v>
      </c>
      <c r="U3024" t="s">
        <v>13992</v>
      </c>
    </row>
    <row r="3025" spans="1:21" x14ac:dyDescent="0.25">
      <c r="A3025" t="s">
        <v>13993</v>
      </c>
      <c r="B3025" t="s">
        <v>22</v>
      </c>
      <c r="C3025" t="s">
        <v>13994</v>
      </c>
      <c r="D3025">
        <f>48-343890840</f>
        <v>-343890792</v>
      </c>
      <c r="E3025" t="s">
        <v>13921</v>
      </c>
      <c r="F3025" t="s">
        <v>13649</v>
      </c>
      <c r="G3025" t="s">
        <v>13650</v>
      </c>
      <c r="H3025">
        <v>19.12998</v>
      </c>
      <c r="I3025">
        <v>50.808177000000001</v>
      </c>
      <c r="J3025">
        <v>100</v>
      </c>
      <c r="K3025" t="s">
        <v>27</v>
      </c>
      <c r="L3025" t="s">
        <v>27</v>
      </c>
      <c r="M3025" t="s">
        <v>27</v>
      </c>
      <c r="N3025" t="s">
        <v>27</v>
      </c>
      <c r="O3025" t="s">
        <v>27</v>
      </c>
      <c r="P3025" t="s">
        <v>27</v>
      </c>
      <c r="Q3025" t="s">
        <v>536</v>
      </c>
      <c r="R3025" t="s">
        <v>13994</v>
      </c>
      <c r="S3025" t="s">
        <v>13995</v>
      </c>
      <c r="T3025" t="s">
        <v>13712</v>
      </c>
      <c r="U3025" t="s">
        <v>13996</v>
      </c>
    </row>
    <row r="3026" spans="1:21" x14ac:dyDescent="0.25">
      <c r="A3026" t="s">
        <v>13997</v>
      </c>
      <c r="B3026" t="s">
        <v>38</v>
      </c>
      <c r="C3026" t="s">
        <v>13998</v>
      </c>
      <c r="D3026">
        <f>48-178661840</f>
        <v>-178661792</v>
      </c>
      <c r="E3026" t="s">
        <v>13826</v>
      </c>
      <c r="F3026" t="s">
        <v>13649</v>
      </c>
      <c r="G3026" t="s">
        <v>13650</v>
      </c>
      <c r="H3026">
        <v>21.975694000000001</v>
      </c>
      <c r="I3026">
        <v>50.048974999999999</v>
      </c>
      <c r="J3026">
        <v>100</v>
      </c>
      <c r="K3026" t="s">
        <v>45</v>
      </c>
      <c r="L3026" t="s">
        <v>45</v>
      </c>
      <c r="M3026" t="s">
        <v>45</v>
      </c>
      <c r="N3026" t="s">
        <v>45</v>
      </c>
      <c r="O3026" t="s">
        <v>45</v>
      </c>
      <c r="P3026" t="s">
        <v>45</v>
      </c>
      <c r="Q3026" t="s">
        <v>535</v>
      </c>
      <c r="R3026" t="s">
        <v>13998</v>
      </c>
      <c r="S3026" t="s">
        <v>13999</v>
      </c>
      <c r="U3026" t="s">
        <v>14000</v>
      </c>
    </row>
    <row r="3027" spans="1:21" x14ac:dyDescent="0.25">
      <c r="A3027" t="s">
        <v>14001</v>
      </c>
      <c r="B3027" t="s">
        <v>38</v>
      </c>
      <c r="C3027" t="s">
        <v>14002</v>
      </c>
      <c r="D3027">
        <f>48-243528940</f>
        <v>-243528892</v>
      </c>
      <c r="E3027" t="s">
        <v>14003</v>
      </c>
      <c r="F3027" t="s">
        <v>13649</v>
      </c>
      <c r="G3027" t="s">
        <v>13650</v>
      </c>
      <c r="H3027">
        <v>19.750510011581198</v>
      </c>
      <c r="I3027">
        <v>52.538225854177497</v>
      </c>
      <c r="J3027">
        <v>100</v>
      </c>
      <c r="K3027" t="s">
        <v>312</v>
      </c>
      <c r="L3027" t="s">
        <v>312</v>
      </c>
      <c r="M3027" t="s">
        <v>312</v>
      </c>
      <c r="N3027" t="s">
        <v>312</v>
      </c>
      <c r="O3027" t="s">
        <v>312</v>
      </c>
      <c r="P3027" t="s">
        <v>312</v>
      </c>
      <c r="Q3027" t="s">
        <v>45</v>
      </c>
      <c r="R3027" t="s">
        <v>14002</v>
      </c>
      <c r="S3027" t="s">
        <v>14004</v>
      </c>
      <c r="T3027" t="s">
        <v>13652</v>
      </c>
      <c r="U3027" t="s">
        <v>14005</v>
      </c>
    </row>
    <row r="3028" spans="1:21" x14ac:dyDescent="0.25">
      <c r="A3028" t="s">
        <v>14006</v>
      </c>
      <c r="B3028" t="s">
        <v>38</v>
      </c>
      <c r="C3028" t="s">
        <v>14007</v>
      </c>
      <c r="D3028">
        <f>91-3119740</f>
        <v>-3119649</v>
      </c>
      <c r="E3028" t="s">
        <v>13674</v>
      </c>
      <c r="F3028" t="s">
        <v>13649</v>
      </c>
      <c r="G3028" t="s">
        <v>13650</v>
      </c>
      <c r="H3028">
        <v>14.52195</v>
      </c>
      <c r="I3028">
        <v>53.411169999999998</v>
      </c>
      <c r="J3028">
        <v>100</v>
      </c>
      <c r="K3028" t="s">
        <v>312</v>
      </c>
      <c r="L3028" t="s">
        <v>312</v>
      </c>
      <c r="M3028" t="s">
        <v>312</v>
      </c>
      <c r="N3028" t="s">
        <v>312</v>
      </c>
      <c r="O3028" t="s">
        <v>312</v>
      </c>
      <c r="P3028" t="s">
        <v>312</v>
      </c>
      <c r="Q3028" t="s">
        <v>45</v>
      </c>
      <c r="R3028" t="s">
        <v>14007</v>
      </c>
      <c r="S3028" t="s">
        <v>14008</v>
      </c>
      <c r="T3028" t="s">
        <v>13676</v>
      </c>
      <c r="U3028" t="s">
        <v>14009</v>
      </c>
    </row>
    <row r="3029" spans="1:21" x14ac:dyDescent="0.25">
      <c r="A3029" t="s">
        <v>14010</v>
      </c>
      <c r="B3029" t="s">
        <v>38</v>
      </c>
      <c r="C3029" t="s">
        <v>14011</v>
      </c>
      <c r="D3029">
        <f>48-614237440</f>
        <v>-614237392</v>
      </c>
      <c r="E3029" t="s">
        <v>14012</v>
      </c>
      <c r="F3029" t="s">
        <v>13649</v>
      </c>
      <c r="G3029" t="s">
        <v>13650</v>
      </c>
      <c r="H3029">
        <v>17.612455799999999</v>
      </c>
      <c r="I3029">
        <v>52.560682</v>
      </c>
      <c r="J3029">
        <v>100</v>
      </c>
      <c r="K3029" t="s">
        <v>536</v>
      </c>
      <c r="L3029" t="s">
        <v>536</v>
      </c>
      <c r="M3029" t="s">
        <v>536</v>
      </c>
      <c r="N3029" t="s">
        <v>536</v>
      </c>
      <c r="O3029" t="s">
        <v>536</v>
      </c>
      <c r="P3029" t="s">
        <v>536</v>
      </c>
      <c r="Q3029" t="s">
        <v>45</v>
      </c>
      <c r="R3029" t="s">
        <v>14011</v>
      </c>
      <c r="S3029" t="s">
        <v>14013</v>
      </c>
      <c r="T3029" t="s">
        <v>13666</v>
      </c>
      <c r="U3029" t="s">
        <v>14014</v>
      </c>
    </row>
    <row r="3030" spans="1:21" x14ac:dyDescent="0.25">
      <c r="A3030" t="s">
        <v>14015</v>
      </c>
      <c r="B3030" t="s">
        <v>38</v>
      </c>
      <c r="C3030" t="s">
        <v>14016</v>
      </c>
      <c r="D3030">
        <f>48-846112440</f>
        <v>-846112392</v>
      </c>
      <c r="E3030" t="s">
        <v>14017</v>
      </c>
      <c r="F3030" t="s">
        <v>13649</v>
      </c>
      <c r="G3030" t="s">
        <v>13650</v>
      </c>
      <c r="H3030">
        <v>23.263079999999999</v>
      </c>
      <c r="I3030">
        <v>50.727429999999998</v>
      </c>
      <c r="J3030">
        <v>100</v>
      </c>
      <c r="K3030" t="s">
        <v>312</v>
      </c>
      <c r="L3030" t="s">
        <v>312</v>
      </c>
      <c r="M3030" t="s">
        <v>312</v>
      </c>
      <c r="N3030" t="s">
        <v>312</v>
      </c>
      <c r="O3030" t="s">
        <v>312</v>
      </c>
      <c r="P3030" t="s">
        <v>312</v>
      </c>
      <c r="Q3030" t="s">
        <v>45</v>
      </c>
      <c r="R3030" t="s">
        <v>14016</v>
      </c>
      <c r="S3030" t="s">
        <v>14018</v>
      </c>
      <c r="T3030" t="s">
        <v>13798</v>
      </c>
      <c r="U3030" t="s">
        <v>14019</v>
      </c>
    </row>
    <row r="3031" spans="1:21" x14ac:dyDescent="0.25">
      <c r="A3031" t="s">
        <v>14020</v>
      </c>
      <c r="B3031" t="s">
        <v>38</v>
      </c>
      <c r="C3031" t="s">
        <v>14021</v>
      </c>
      <c r="D3031">
        <f>48-426388840</f>
        <v>-426388792</v>
      </c>
      <c r="E3031" t="s">
        <v>13721</v>
      </c>
      <c r="F3031" t="s">
        <v>13649</v>
      </c>
      <c r="G3031" t="s">
        <v>13650</v>
      </c>
      <c r="H3031">
        <v>19.439663887023901</v>
      </c>
      <c r="I3031">
        <v>51.750658285787203</v>
      </c>
      <c r="J3031">
        <v>100</v>
      </c>
      <c r="K3031" t="s">
        <v>312</v>
      </c>
      <c r="L3031" t="s">
        <v>312</v>
      </c>
      <c r="M3031" t="s">
        <v>312</v>
      </c>
      <c r="N3031" t="s">
        <v>312</v>
      </c>
      <c r="O3031" t="s">
        <v>312</v>
      </c>
      <c r="P3031" t="s">
        <v>312</v>
      </c>
      <c r="Q3031" t="s">
        <v>535</v>
      </c>
      <c r="R3031" t="s">
        <v>14021</v>
      </c>
      <c r="S3031" t="s">
        <v>14022</v>
      </c>
      <c r="T3031" t="s">
        <v>13723</v>
      </c>
      <c r="U3031" t="s">
        <v>14023</v>
      </c>
    </row>
    <row r="3032" spans="1:21" x14ac:dyDescent="0.25">
      <c r="A3032" t="s">
        <v>14024</v>
      </c>
      <c r="B3032" t="s">
        <v>38</v>
      </c>
      <c r="C3032" t="s">
        <v>14025</v>
      </c>
      <c r="D3032">
        <f>48-338429640</f>
        <v>-338429592</v>
      </c>
      <c r="E3032" t="s">
        <v>14026</v>
      </c>
      <c r="F3032" t="s">
        <v>13649</v>
      </c>
      <c r="G3032" t="s">
        <v>13650</v>
      </c>
      <c r="H3032">
        <v>19.206659999999999</v>
      </c>
      <c r="I3032">
        <v>50.043796999999998</v>
      </c>
      <c r="J3032">
        <v>100</v>
      </c>
      <c r="K3032" t="s">
        <v>312</v>
      </c>
      <c r="L3032" t="s">
        <v>312</v>
      </c>
      <c r="M3032" t="s">
        <v>312</v>
      </c>
      <c r="N3032" t="s">
        <v>312</v>
      </c>
      <c r="O3032" t="s">
        <v>312</v>
      </c>
      <c r="P3032" t="s">
        <v>312</v>
      </c>
      <c r="Q3032" t="s">
        <v>45</v>
      </c>
      <c r="R3032" t="s">
        <v>14025</v>
      </c>
      <c r="S3032" t="s">
        <v>14027</v>
      </c>
      <c r="T3032" t="s">
        <v>13706</v>
      </c>
      <c r="U3032" t="s">
        <v>14028</v>
      </c>
    </row>
    <row r="3033" spans="1:21" x14ac:dyDescent="0.25">
      <c r="A3033" t="s">
        <v>14029</v>
      </c>
      <c r="B3033" t="s">
        <v>38</v>
      </c>
      <c r="C3033" t="s">
        <v>14030</v>
      </c>
      <c r="D3033">
        <f>48-656198740</f>
        <v>-656198692</v>
      </c>
      <c r="E3033" t="s">
        <v>14031</v>
      </c>
      <c r="F3033" t="s">
        <v>13649</v>
      </c>
      <c r="G3033" t="s">
        <v>13650</v>
      </c>
      <c r="H3033">
        <v>16.599229999999999</v>
      </c>
      <c r="I3033">
        <v>51.826390000000004</v>
      </c>
      <c r="J3033">
        <v>100</v>
      </c>
      <c r="K3033" t="s">
        <v>536</v>
      </c>
      <c r="L3033" t="s">
        <v>536</v>
      </c>
      <c r="M3033" t="s">
        <v>536</v>
      </c>
      <c r="N3033" t="s">
        <v>536</v>
      </c>
      <c r="O3033" t="s">
        <v>536</v>
      </c>
      <c r="P3033" t="s">
        <v>536</v>
      </c>
      <c r="Q3033" t="s">
        <v>45</v>
      </c>
      <c r="R3033" t="s">
        <v>14030</v>
      </c>
      <c r="S3033" t="s">
        <v>14032</v>
      </c>
      <c r="T3033" t="s">
        <v>13666</v>
      </c>
      <c r="U3033" t="s">
        <v>14033</v>
      </c>
    </row>
    <row r="3034" spans="1:21" x14ac:dyDescent="0.25">
      <c r="A3034" t="s">
        <v>14034</v>
      </c>
      <c r="B3034" t="s">
        <v>22</v>
      </c>
      <c r="C3034" t="s">
        <v>14035</v>
      </c>
      <c r="D3034">
        <f>48-326056740</f>
        <v>-326056692</v>
      </c>
      <c r="E3034" t="s">
        <v>13716</v>
      </c>
      <c r="F3034" t="s">
        <v>13649</v>
      </c>
      <c r="G3034" t="s">
        <v>13650</v>
      </c>
      <c r="H3034">
        <v>19.002831</v>
      </c>
      <c r="I3034">
        <v>50.271877000000003</v>
      </c>
      <c r="J3034">
        <v>100</v>
      </c>
      <c r="K3034" t="s">
        <v>536</v>
      </c>
      <c r="L3034" t="s">
        <v>536</v>
      </c>
      <c r="M3034" t="s">
        <v>536</v>
      </c>
      <c r="N3034" t="s">
        <v>536</v>
      </c>
      <c r="O3034" t="s">
        <v>536</v>
      </c>
      <c r="P3034" t="s">
        <v>536</v>
      </c>
      <c r="Q3034" t="s">
        <v>536</v>
      </c>
      <c r="R3034" t="s">
        <v>14035</v>
      </c>
      <c r="S3034" t="s">
        <v>14036</v>
      </c>
      <c r="T3034" t="s">
        <v>13712</v>
      </c>
      <c r="U3034" t="s">
        <v>14037</v>
      </c>
    </row>
    <row r="3035" spans="1:21" x14ac:dyDescent="0.25">
      <c r="A3035" t="s">
        <v>14038</v>
      </c>
      <c r="B3035" t="s">
        <v>22</v>
      </c>
      <c r="C3035" t="s">
        <v>14039</v>
      </c>
      <c r="D3035">
        <f>48-713904440</f>
        <v>-713904392</v>
      </c>
      <c r="E3035" t="s">
        <v>13680</v>
      </c>
      <c r="F3035" t="s">
        <v>13649</v>
      </c>
      <c r="G3035" t="s">
        <v>13650</v>
      </c>
      <c r="H3035">
        <v>16.989920000000001</v>
      </c>
      <c r="I3035">
        <v>51.119129999999998</v>
      </c>
      <c r="J3035">
        <v>100</v>
      </c>
      <c r="K3035" t="s">
        <v>312</v>
      </c>
      <c r="L3035" t="s">
        <v>312</v>
      </c>
      <c r="M3035" t="s">
        <v>312</v>
      </c>
      <c r="N3035" t="s">
        <v>312</v>
      </c>
      <c r="O3035" t="s">
        <v>3543</v>
      </c>
      <c r="P3035" t="s">
        <v>3543</v>
      </c>
      <c r="Q3035" t="s">
        <v>312</v>
      </c>
      <c r="R3035" t="s">
        <v>14039</v>
      </c>
      <c r="S3035" t="s">
        <v>14040</v>
      </c>
      <c r="T3035" t="s">
        <v>13682</v>
      </c>
      <c r="U3035" t="s">
        <v>14041</v>
      </c>
    </row>
    <row r="3036" spans="1:21" x14ac:dyDescent="0.25">
      <c r="A3036" t="s">
        <v>14042</v>
      </c>
      <c r="B3036" t="s">
        <v>38</v>
      </c>
      <c r="C3036" t="s">
        <v>14043</v>
      </c>
      <c r="D3036">
        <f>48-756402540</f>
        <v>-756402492</v>
      </c>
      <c r="E3036" t="s">
        <v>14044</v>
      </c>
      <c r="F3036" t="s">
        <v>13649</v>
      </c>
      <c r="G3036" t="s">
        <v>13650</v>
      </c>
      <c r="H3036">
        <v>15.73296</v>
      </c>
      <c r="I3036">
        <v>50.905659999999997</v>
      </c>
      <c r="J3036">
        <v>100</v>
      </c>
      <c r="K3036" t="s">
        <v>536</v>
      </c>
      <c r="L3036" t="s">
        <v>536</v>
      </c>
      <c r="M3036" t="s">
        <v>536</v>
      </c>
      <c r="N3036" t="s">
        <v>536</v>
      </c>
      <c r="O3036" t="s">
        <v>536</v>
      </c>
      <c r="P3036" t="s">
        <v>536</v>
      </c>
      <c r="Q3036" t="s">
        <v>45</v>
      </c>
      <c r="R3036" t="s">
        <v>14043</v>
      </c>
      <c r="S3036" t="s">
        <v>14045</v>
      </c>
      <c r="T3036" t="s">
        <v>13682</v>
      </c>
      <c r="U3036" t="s">
        <v>14046</v>
      </c>
    </row>
    <row r="3037" spans="1:21" x14ac:dyDescent="0.25">
      <c r="A3037" t="s">
        <v>14047</v>
      </c>
      <c r="B3037" t="s">
        <v>38</v>
      </c>
      <c r="C3037" t="s">
        <v>14048</v>
      </c>
      <c r="D3037">
        <f>48-323008540</f>
        <v>-323008492</v>
      </c>
      <c r="E3037" t="s">
        <v>13808</v>
      </c>
      <c r="F3037" t="s">
        <v>13649</v>
      </c>
      <c r="G3037" t="s">
        <v>13650</v>
      </c>
      <c r="H3037">
        <v>18.717943999999999</v>
      </c>
      <c r="I3037">
        <v>50.267667000000003</v>
      </c>
      <c r="J3037">
        <v>100</v>
      </c>
      <c r="K3037" t="s">
        <v>536</v>
      </c>
      <c r="L3037" t="s">
        <v>536</v>
      </c>
      <c r="M3037" t="s">
        <v>536</v>
      </c>
      <c r="N3037" t="s">
        <v>536</v>
      </c>
      <c r="O3037" t="s">
        <v>536</v>
      </c>
      <c r="P3037" t="s">
        <v>536</v>
      </c>
      <c r="Q3037" t="s">
        <v>45</v>
      </c>
      <c r="R3037" t="s">
        <v>14048</v>
      </c>
      <c r="S3037" t="s">
        <v>14049</v>
      </c>
      <c r="T3037" t="s">
        <v>13712</v>
      </c>
      <c r="U3037" t="s">
        <v>14050</v>
      </c>
    </row>
    <row r="3038" spans="1:21" x14ac:dyDescent="0.25">
      <c r="A3038" t="s">
        <v>14051</v>
      </c>
      <c r="B3038" t="s">
        <v>38</v>
      </c>
      <c r="C3038" t="s">
        <v>14052</v>
      </c>
      <c r="D3038">
        <f>48-587789540</f>
        <v>-587789492</v>
      </c>
      <c r="E3038" t="s">
        <v>13695</v>
      </c>
      <c r="F3038" t="s">
        <v>13649</v>
      </c>
      <c r="G3038" t="s">
        <v>13650</v>
      </c>
      <c r="H3038">
        <v>18.502409759427501</v>
      </c>
      <c r="I3038">
        <v>54.565340506278297</v>
      </c>
      <c r="J3038">
        <v>100</v>
      </c>
      <c r="K3038" t="s">
        <v>312</v>
      </c>
      <c r="L3038" t="s">
        <v>312</v>
      </c>
      <c r="M3038" t="s">
        <v>312</v>
      </c>
      <c r="N3038" t="s">
        <v>312</v>
      </c>
      <c r="O3038" t="s">
        <v>312</v>
      </c>
      <c r="P3038" t="s">
        <v>312</v>
      </c>
      <c r="Q3038" t="s">
        <v>312</v>
      </c>
      <c r="R3038" t="s">
        <v>14052</v>
      </c>
      <c r="S3038" t="s">
        <v>14053</v>
      </c>
      <c r="T3038" t="s">
        <v>13687</v>
      </c>
      <c r="U3038" t="s">
        <v>14054</v>
      </c>
    </row>
    <row r="3039" spans="1:21" x14ac:dyDescent="0.25">
      <c r="A3039" t="s">
        <v>14055</v>
      </c>
      <c r="B3039" t="s">
        <v>38</v>
      </c>
      <c r="C3039" t="s">
        <v>11829</v>
      </c>
      <c r="D3039">
        <f>48-566410340</f>
        <v>-566410292</v>
      </c>
      <c r="E3039" t="s">
        <v>14056</v>
      </c>
      <c r="F3039" t="s">
        <v>13649</v>
      </c>
      <c r="G3039" t="s">
        <v>13650</v>
      </c>
      <c r="H3039">
        <v>18.748167839180201</v>
      </c>
      <c r="I3039">
        <v>53.485209961707298</v>
      </c>
      <c r="J3039">
        <v>100</v>
      </c>
      <c r="K3039" t="s">
        <v>312</v>
      </c>
      <c r="L3039" t="s">
        <v>312</v>
      </c>
      <c r="M3039" t="s">
        <v>312</v>
      </c>
      <c r="N3039" t="s">
        <v>312</v>
      </c>
      <c r="O3039" t="s">
        <v>312</v>
      </c>
      <c r="P3039" t="s">
        <v>312</v>
      </c>
      <c r="Q3039" t="s">
        <v>45</v>
      </c>
      <c r="R3039" t="s">
        <v>11829</v>
      </c>
      <c r="S3039" t="s">
        <v>14057</v>
      </c>
      <c r="T3039" t="s">
        <v>13773</v>
      </c>
      <c r="U3039" t="s">
        <v>14058</v>
      </c>
    </row>
    <row r="3040" spans="1:21" x14ac:dyDescent="0.25">
      <c r="A3040" t="s">
        <v>14059</v>
      </c>
      <c r="B3040" t="s">
        <v>38</v>
      </c>
      <c r="C3040" t="s">
        <v>14060</v>
      </c>
      <c r="D3040">
        <f>48-627605640</f>
        <v>-627605592</v>
      </c>
      <c r="E3040" t="s">
        <v>14061</v>
      </c>
      <c r="F3040" t="s">
        <v>13649</v>
      </c>
      <c r="G3040" t="s">
        <v>13650</v>
      </c>
      <c r="H3040">
        <v>18.08794</v>
      </c>
      <c r="I3040">
        <v>51.765839999999997</v>
      </c>
      <c r="J3040">
        <v>100</v>
      </c>
      <c r="K3040" t="s">
        <v>312</v>
      </c>
      <c r="L3040" t="s">
        <v>312</v>
      </c>
      <c r="M3040" t="s">
        <v>312</v>
      </c>
      <c r="N3040" t="s">
        <v>312</v>
      </c>
      <c r="O3040" t="s">
        <v>312</v>
      </c>
      <c r="P3040" t="s">
        <v>312</v>
      </c>
      <c r="Q3040" t="s">
        <v>45</v>
      </c>
      <c r="R3040" t="s">
        <v>14060</v>
      </c>
      <c r="S3040" t="s">
        <v>14062</v>
      </c>
      <c r="T3040" t="s">
        <v>13666</v>
      </c>
      <c r="U3040" t="s">
        <v>14063</v>
      </c>
    </row>
    <row r="3041" spans="1:21" x14ac:dyDescent="0.25">
      <c r="A3041" t="s">
        <v>14064</v>
      </c>
      <c r="B3041" t="s">
        <v>38</v>
      </c>
      <c r="C3041" t="s">
        <v>14065</v>
      </c>
      <c r="D3041">
        <f>48-913913940</f>
        <v>-913913892</v>
      </c>
      <c r="E3041" t="s">
        <v>14066</v>
      </c>
      <c r="F3041" t="s">
        <v>13649</v>
      </c>
      <c r="G3041" t="s">
        <v>13650</v>
      </c>
      <c r="H3041">
        <v>15.04435</v>
      </c>
      <c r="I3041">
        <v>53.33869</v>
      </c>
      <c r="J3041">
        <v>100</v>
      </c>
      <c r="K3041" t="s">
        <v>312</v>
      </c>
      <c r="L3041" t="s">
        <v>312</v>
      </c>
      <c r="M3041" t="s">
        <v>312</v>
      </c>
      <c r="N3041" t="s">
        <v>312</v>
      </c>
      <c r="O3041" t="s">
        <v>312</v>
      </c>
      <c r="P3041" t="s">
        <v>312</v>
      </c>
      <c r="Q3041" t="s">
        <v>45</v>
      </c>
      <c r="R3041" t="s">
        <v>14065</v>
      </c>
      <c r="S3041" t="s">
        <v>14067</v>
      </c>
      <c r="T3041" t="s">
        <v>13676</v>
      </c>
      <c r="U3041" t="s">
        <v>14068</v>
      </c>
    </row>
    <row r="3042" spans="1:21" x14ac:dyDescent="0.25">
      <c r="A3042" t="s">
        <v>14069</v>
      </c>
      <c r="B3042" t="s">
        <v>22</v>
      </c>
      <c r="C3042" t="s">
        <v>14070</v>
      </c>
      <c r="D3042">
        <f>48-178655840</f>
        <v>-178655792</v>
      </c>
      <c r="E3042" t="s">
        <v>13826</v>
      </c>
      <c r="F3042" t="s">
        <v>13649</v>
      </c>
      <c r="G3042" t="s">
        <v>13650</v>
      </c>
      <c r="H3042">
        <v>22.014790000000001</v>
      </c>
      <c r="I3042">
        <v>50.027296999999997</v>
      </c>
      <c r="J3042">
        <v>100</v>
      </c>
      <c r="K3042" t="s">
        <v>536</v>
      </c>
      <c r="L3042" t="s">
        <v>45</v>
      </c>
      <c r="M3042" t="s">
        <v>45</v>
      </c>
      <c r="N3042" t="s">
        <v>45</v>
      </c>
      <c r="O3042" t="s">
        <v>45</v>
      </c>
      <c r="P3042" t="s">
        <v>45</v>
      </c>
      <c r="Q3042" t="s">
        <v>45</v>
      </c>
      <c r="R3042" t="s">
        <v>14070</v>
      </c>
      <c r="S3042" t="s">
        <v>14071</v>
      </c>
      <c r="T3042" t="s">
        <v>13828</v>
      </c>
      <c r="U3042" t="s">
        <v>14072</v>
      </c>
    </row>
    <row r="3043" spans="1:21" x14ac:dyDescent="0.25">
      <c r="A3043" t="s">
        <v>14073</v>
      </c>
      <c r="B3043" t="s">
        <v>22</v>
      </c>
      <c r="C3043" t="s">
        <v>14074</v>
      </c>
      <c r="D3043">
        <f>48-177771140</f>
        <v>-177771092</v>
      </c>
      <c r="E3043" t="s">
        <v>13826</v>
      </c>
      <c r="F3043" t="s">
        <v>13649</v>
      </c>
      <c r="G3043" t="s">
        <v>13650</v>
      </c>
      <c r="H3043">
        <v>21.999077</v>
      </c>
      <c r="I3043">
        <v>50.041932000000003</v>
      </c>
      <c r="J3043">
        <v>100</v>
      </c>
      <c r="K3043" t="s">
        <v>312</v>
      </c>
      <c r="L3043" t="s">
        <v>312</v>
      </c>
      <c r="M3043" t="s">
        <v>312</v>
      </c>
      <c r="N3043" t="s">
        <v>312</v>
      </c>
      <c r="O3043" t="s">
        <v>312</v>
      </c>
      <c r="P3043" t="s">
        <v>312</v>
      </c>
      <c r="Q3043" t="s">
        <v>45</v>
      </c>
      <c r="R3043" t="s">
        <v>14074</v>
      </c>
      <c r="S3043" t="s">
        <v>14075</v>
      </c>
      <c r="T3043" t="s">
        <v>13828</v>
      </c>
      <c r="U3043" t="s">
        <v>14076</v>
      </c>
    </row>
    <row r="3044" spans="1:21" x14ac:dyDescent="0.25">
      <c r="A3044" t="s">
        <v>14077</v>
      </c>
      <c r="B3044" t="s">
        <v>38</v>
      </c>
      <c r="C3044" t="s">
        <v>14078</v>
      </c>
      <c r="D3044">
        <f>48-438285040</f>
        <v>-438284992</v>
      </c>
      <c r="E3044" t="s">
        <v>14079</v>
      </c>
      <c r="F3044" t="s">
        <v>13649</v>
      </c>
      <c r="G3044" t="s">
        <v>13650</v>
      </c>
      <c r="H3044">
        <v>18.725901702915898</v>
      </c>
      <c r="I3044">
        <v>51.597591402011702</v>
      </c>
      <c r="J3044">
        <v>100</v>
      </c>
      <c r="K3044" t="s">
        <v>312</v>
      </c>
      <c r="L3044" t="s">
        <v>312</v>
      </c>
      <c r="M3044" t="s">
        <v>312</v>
      </c>
      <c r="N3044" t="s">
        <v>312</v>
      </c>
      <c r="O3044" t="s">
        <v>312</v>
      </c>
      <c r="P3044" t="s">
        <v>312</v>
      </c>
      <c r="Q3044" t="s">
        <v>535</v>
      </c>
      <c r="R3044" t="s">
        <v>14078</v>
      </c>
      <c r="S3044" t="s">
        <v>14080</v>
      </c>
      <c r="T3044" t="s">
        <v>13723</v>
      </c>
      <c r="U3044" t="s">
        <v>14081</v>
      </c>
    </row>
    <row r="3045" spans="1:21" x14ac:dyDescent="0.25">
      <c r="A3045" t="s">
        <v>14082</v>
      </c>
      <c r="B3045" t="s">
        <v>38</v>
      </c>
      <c r="C3045" t="s">
        <v>14083</v>
      </c>
      <c r="D3045">
        <f>48-468193140</f>
        <v>-468193092</v>
      </c>
      <c r="E3045" t="s">
        <v>14084</v>
      </c>
      <c r="F3045" t="s">
        <v>13649</v>
      </c>
      <c r="G3045" t="s">
        <v>13650</v>
      </c>
      <c r="H3045">
        <v>20.440750000000001</v>
      </c>
      <c r="I3045">
        <v>52.053910000000002</v>
      </c>
      <c r="J3045">
        <v>100</v>
      </c>
      <c r="K3045" t="s">
        <v>192</v>
      </c>
      <c r="L3045" t="s">
        <v>192</v>
      </c>
      <c r="M3045" t="s">
        <v>192</v>
      </c>
      <c r="N3045" t="s">
        <v>192</v>
      </c>
      <c r="O3045" t="s">
        <v>192</v>
      </c>
      <c r="P3045" t="s">
        <v>192</v>
      </c>
      <c r="Q3045" t="s">
        <v>535</v>
      </c>
      <c r="R3045" t="s">
        <v>14083</v>
      </c>
      <c r="S3045" t="s">
        <v>14085</v>
      </c>
      <c r="T3045" t="s">
        <v>13652</v>
      </c>
      <c r="U3045" t="s">
        <v>14086</v>
      </c>
    </row>
    <row r="3046" spans="1:21" x14ac:dyDescent="0.25">
      <c r="A3046" t="s">
        <v>14087</v>
      </c>
      <c r="B3046" t="s">
        <v>38</v>
      </c>
      <c r="C3046" t="s">
        <v>14088</v>
      </c>
      <c r="D3046">
        <f>48-585330740</f>
        <v>-585330692</v>
      </c>
      <c r="E3046" t="s">
        <v>14089</v>
      </c>
      <c r="F3046" t="s">
        <v>13649</v>
      </c>
      <c r="G3046" t="s">
        <v>13650</v>
      </c>
      <c r="H3046">
        <v>18.7880175765061</v>
      </c>
      <c r="I3046">
        <v>54.096701766743699</v>
      </c>
      <c r="J3046">
        <v>100</v>
      </c>
      <c r="K3046" t="s">
        <v>312</v>
      </c>
      <c r="L3046" t="s">
        <v>312</v>
      </c>
      <c r="M3046" t="s">
        <v>312</v>
      </c>
      <c r="N3046" t="s">
        <v>312</v>
      </c>
      <c r="O3046" t="s">
        <v>312</v>
      </c>
      <c r="P3046" t="s">
        <v>312</v>
      </c>
      <c r="Q3046" t="s">
        <v>312</v>
      </c>
      <c r="R3046" t="s">
        <v>14088</v>
      </c>
      <c r="S3046" t="s">
        <v>14090</v>
      </c>
      <c r="T3046" t="s">
        <v>13687</v>
      </c>
      <c r="U3046" t="s">
        <v>14091</v>
      </c>
    </row>
    <row r="3047" spans="1:21" x14ac:dyDescent="0.25">
      <c r="A3047" t="s">
        <v>14092</v>
      </c>
      <c r="B3047" t="s">
        <v>38</v>
      </c>
      <c r="C3047" t="s">
        <v>14093</v>
      </c>
      <c r="D3047">
        <f>48-338272940</f>
        <v>-338272892</v>
      </c>
      <c r="E3047" t="s">
        <v>13947</v>
      </c>
      <c r="F3047" t="s">
        <v>13649</v>
      </c>
      <c r="G3047" t="s">
        <v>13650</v>
      </c>
      <c r="H3047">
        <v>19.032810999999999</v>
      </c>
      <c r="I3047">
        <v>49.838870999999997</v>
      </c>
      <c r="J3047">
        <v>100</v>
      </c>
      <c r="K3047" t="s">
        <v>312</v>
      </c>
      <c r="L3047" t="s">
        <v>312</v>
      </c>
      <c r="M3047" t="s">
        <v>312</v>
      </c>
      <c r="N3047" t="s">
        <v>312</v>
      </c>
      <c r="O3047" t="s">
        <v>312</v>
      </c>
      <c r="P3047" t="s">
        <v>312</v>
      </c>
      <c r="Q3047" t="s">
        <v>45</v>
      </c>
      <c r="R3047" t="s">
        <v>14093</v>
      </c>
      <c r="S3047" t="s">
        <v>14094</v>
      </c>
      <c r="T3047" t="s">
        <v>13712</v>
      </c>
      <c r="U3047" t="s">
        <v>14095</v>
      </c>
    </row>
    <row r="3048" spans="1:21" x14ac:dyDescent="0.25">
      <c r="A3048" t="s">
        <v>14096</v>
      </c>
      <c r="B3048" t="s">
        <v>38</v>
      </c>
      <c r="C3048" t="s">
        <v>14097</v>
      </c>
      <c r="D3048">
        <f>48-447153040</f>
        <v>-447152992</v>
      </c>
      <c r="E3048" t="s">
        <v>14098</v>
      </c>
      <c r="F3048" t="s">
        <v>13649</v>
      </c>
      <c r="G3048" t="s">
        <v>13650</v>
      </c>
      <c r="H3048">
        <v>19.376059999999999</v>
      </c>
      <c r="I3048">
        <v>51.353369999999998</v>
      </c>
      <c r="J3048">
        <v>100</v>
      </c>
      <c r="K3048" t="s">
        <v>312</v>
      </c>
      <c r="L3048" t="s">
        <v>312</v>
      </c>
      <c r="M3048" t="s">
        <v>312</v>
      </c>
      <c r="N3048" t="s">
        <v>312</v>
      </c>
      <c r="O3048" t="s">
        <v>3543</v>
      </c>
      <c r="P3048" t="s">
        <v>3543</v>
      </c>
      <c r="Q3048" t="s">
        <v>45</v>
      </c>
      <c r="R3048" t="s">
        <v>14097</v>
      </c>
      <c r="S3048" t="s">
        <v>14099</v>
      </c>
      <c r="T3048" t="s">
        <v>13723</v>
      </c>
      <c r="U3048" t="s">
        <v>14100</v>
      </c>
    </row>
    <row r="3049" spans="1:21" x14ac:dyDescent="0.25">
      <c r="A3049" t="s">
        <v>14101</v>
      </c>
      <c r="B3049" t="s">
        <v>38</v>
      </c>
      <c r="C3049" t="s">
        <v>14102</v>
      </c>
      <c r="D3049">
        <f>48-223556340</f>
        <v>-223556292</v>
      </c>
      <c r="E3049" t="s">
        <v>14103</v>
      </c>
      <c r="F3049" t="s">
        <v>13649</v>
      </c>
      <c r="G3049" t="s">
        <v>13650</v>
      </c>
      <c r="H3049">
        <v>20.903394072444499</v>
      </c>
      <c r="I3049">
        <v>52.3252931962679</v>
      </c>
      <c r="J3049">
        <v>100</v>
      </c>
      <c r="K3049" t="s">
        <v>312</v>
      </c>
      <c r="L3049" t="s">
        <v>312</v>
      </c>
      <c r="M3049" t="s">
        <v>312</v>
      </c>
      <c r="N3049" t="s">
        <v>312</v>
      </c>
      <c r="O3049" t="s">
        <v>312</v>
      </c>
      <c r="P3049" t="s">
        <v>312</v>
      </c>
      <c r="Q3049" t="s">
        <v>185</v>
      </c>
      <c r="R3049" t="s">
        <v>14102</v>
      </c>
      <c r="S3049" t="s">
        <v>14104</v>
      </c>
      <c r="T3049" t="s">
        <v>13652</v>
      </c>
      <c r="U3049" t="s">
        <v>14105</v>
      </c>
    </row>
    <row r="3050" spans="1:21" x14ac:dyDescent="0.25">
      <c r="A3050" t="s">
        <v>14106</v>
      </c>
      <c r="B3050" t="s">
        <v>22</v>
      </c>
      <c r="C3050" t="s">
        <v>14107</v>
      </c>
      <c r="D3050">
        <f>48-184405640</f>
        <v>-184405592</v>
      </c>
      <c r="E3050" t="s">
        <v>13874</v>
      </c>
      <c r="F3050" t="s">
        <v>13649</v>
      </c>
      <c r="G3050" t="s">
        <v>13650</v>
      </c>
      <c r="H3050">
        <v>20.707484000000001</v>
      </c>
      <c r="I3050">
        <v>49.624085000000001</v>
      </c>
      <c r="J3050">
        <v>100</v>
      </c>
      <c r="K3050" t="s">
        <v>312</v>
      </c>
      <c r="L3050" t="s">
        <v>312</v>
      </c>
      <c r="M3050" t="s">
        <v>312</v>
      </c>
      <c r="N3050" t="s">
        <v>312</v>
      </c>
      <c r="O3050" t="s">
        <v>312</v>
      </c>
      <c r="P3050" t="s">
        <v>312</v>
      </c>
      <c r="Q3050" t="s">
        <v>45</v>
      </c>
      <c r="R3050" t="s">
        <v>14107</v>
      </c>
      <c r="S3050" t="s">
        <v>14108</v>
      </c>
      <c r="T3050" t="s">
        <v>13706</v>
      </c>
      <c r="U3050" t="s">
        <v>14109</v>
      </c>
    </row>
    <row r="3051" spans="1:21" x14ac:dyDescent="0.25">
      <c r="A3051" t="s">
        <v>14110</v>
      </c>
      <c r="B3051" t="s">
        <v>38</v>
      </c>
      <c r="C3051" t="s">
        <v>14111</v>
      </c>
      <c r="D3051">
        <f>48-257863640</f>
        <v>-257863592</v>
      </c>
      <c r="E3051" t="s">
        <v>14112</v>
      </c>
      <c r="F3051" t="s">
        <v>13649</v>
      </c>
      <c r="G3051" t="s">
        <v>13650</v>
      </c>
      <c r="H3051">
        <v>22.269386512116402</v>
      </c>
      <c r="I3051">
        <v>52.168300319444</v>
      </c>
      <c r="J3051">
        <v>100</v>
      </c>
      <c r="K3051" t="s">
        <v>312</v>
      </c>
      <c r="L3051" t="s">
        <v>312</v>
      </c>
      <c r="M3051" t="s">
        <v>312</v>
      </c>
      <c r="N3051" t="s">
        <v>312</v>
      </c>
      <c r="O3051" t="s">
        <v>312</v>
      </c>
      <c r="P3051" t="s">
        <v>312</v>
      </c>
      <c r="Q3051" t="s">
        <v>45</v>
      </c>
      <c r="R3051" t="s">
        <v>14111</v>
      </c>
      <c r="S3051" t="s">
        <v>14113</v>
      </c>
      <c r="T3051" t="s">
        <v>13652</v>
      </c>
      <c r="U3051" t="s">
        <v>14114</v>
      </c>
    </row>
    <row r="3052" spans="1:21" x14ac:dyDescent="0.25">
      <c r="A3052" t="s">
        <v>14115</v>
      </c>
      <c r="B3052" t="s">
        <v>38</v>
      </c>
      <c r="C3052" t="s">
        <v>14116</v>
      </c>
      <c r="D3052">
        <f>48-483655940</f>
        <v>-483655892</v>
      </c>
      <c r="E3052" t="s">
        <v>13982</v>
      </c>
      <c r="F3052" t="s">
        <v>13649</v>
      </c>
      <c r="G3052" t="s">
        <v>13650</v>
      </c>
      <c r="H3052">
        <v>21.169260000000001</v>
      </c>
      <c r="I3052">
        <v>51.382269999999998</v>
      </c>
      <c r="J3052">
        <v>100</v>
      </c>
      <c r="K3052" t="s">
        <v>312</v>
      </c>
      <c r="L3052" t="s">
        <v>312</v>
      </c>
      <c r="M3052" t="s">
        <v>312</v>
      </c>
      <c r="N3052" t="s">
        <v>312</v>
      </c>
      <c r="O3052" t="s">
        <v>312</v>
      </c>
      <c r="P3052" t="s">
        <v>312</v>
      </c>
      <c r="Q3052" t="s">
        <v>45</v>
      </c>
      <c r="R3052" t="s">
        <v>14116</v>
      </c>
      <c r="S3052" t="s">
        <v>14117</v>
      </c>
      <c r="T3052" t="s">
        <v>13652</v>
      </c>
      <c r="U3052" t="s">
        <v>14118</v>
      </c>
    </row>
    <row r="3053" spans="1:21" x14ac:dyDescent="0.25">
      <c r="A3053" t="s">
        <v>14119</v>
      </c>
      <c r="B3053" t="s">
        <v>22</v>
      </c>
      <c r="C3053" t="s">
        <v>14120</v>
      </c>
      <c r="D3053">
        <f>48-222040440</f>
        <v>-222040392</v>
      </c>
      <c r="E3053" t="s">
        <v>13648</v>
      </c>
      <c r="F3053" t="s">
        <v>13649</v>
      </c>
      <c r="G3053" t="s">
        <v>13650</v>
      </c>
      <c r="H3053">
        <v>21.020560112660799</v>
      </c>
      <c r="I3053">
        <v>52.212806293544901</v>
      </c>
      <c r="J3053">
        <v>100</v>
      </c>
      <c r="K3053" t="s">
        <v>536</v>
      </c>
      <c r="L3053" t="s">
        <v>536</v>
      </c>
      <c r="M3053" t="s">
        <v>536</v>
      </c>
      <c r="N3053" t="s">
        <v>536</v>
      </c>
      <c r="O3053" t="s">
        <v>536</v>
      </c>
      <c r="P3053" t="s">
        <v>536</v>
      </c>
      <c r="Q3053" t="s">
        <v>45</v>
      </c>
      <c r="R3053" t="s">
        <v>14120</v>
      </c>
      <c r="S3053" t="s">
        <v>14121</v>
      </c>
      <c r="T3053" t="s">
        <v>13652</v>
      </c>
      <c r="U3053" t="s">
        <v>14122</v>
      </c>
    </row>
    <row r="3054" spans="1:21" x14ac:dyDescent="0.25">
      <c r="A3054" t="s">
        <v>14123</v>
      </c>
      <c r="B3054" t="s">
        <v>22</v>
      </c>
      <c r="C3054" t="s">
        <v>14124</v>
      </c>
      <c r="D3054">
        <f>48-616461740</f>
        <v>-616461692</v>
      </c>
      <c r="E3054" t="s">
        <v>13664</v>
      </c>
      <c r="F3054" t="s">
        <v>13649</v>
      </c>
      <c r="G3054" t="s">
        <v>13650</v>
      </c>
      <c r="H3054">
        <v>16.912960000000002</v>
      </c>
      <c r="I3054">
        <v>52.40043</v>
      </c>
      <c r="J3054">
        <v>100</v>
      </c>
      <c r="K3054" t="s">
        <v>312</v>
      </c>
      <c r="L3054" t="s">
        <v>312</v>
      </c>
      <c r="M3054" t="s">
        <v>312</v>
      </c>
      <c r="N3054" t="s">
        <v>312</v>
      </c>
      <c r="O3054" t="s">
        <v>312</v>
      </c>
      <c r="P3054" t="s">
        <v>312</v>
      </c>
      <c r="Q3054" t="s">
        <v>192</v>
      </c>
      <c r="R3054" t="s">
        <v>14124</v>
      </c>
      <c r="S3054" t="s">
        <v>14125</v>
      </c>
      <c r="T3054" t="s">
        <v>13666</v>
      </c>
      <c r="U3054" t="s">
        <v>14126</v>
      </c>
    </row>
    <row r="3055" spans="1:21" x14ac:dyDescent="0.25">
      <c r="A3055" t="s">
        <v>14127</v>
      </c>
      <c r="B3055" t="s">
        <v>38</v>
      </c>
      <c r="C3055" t="s">
        <v>14128</v>
      </c>
      <c r="D3055">
        <f>48-775458440</f>
        <v>-775458392</v>
      </c>
      <c r="E3055" t="s">
        <v>14129</v>
      </c>
      <c r="F3055" t="s">
        <v>13649</v>
      </c>
      <c r="G3055" t="s">
        <v>13650</v>
      </c>
      <c r="H3055">
        <v>18.1901836395263</v>
      </c>
      <c r="I3055">
        <v>50.3411878859715</v>
      </c>
      <c r="J3055">
        <v>100</v>
      </c>
      <c r="K3055" t="s">
        <v>536</v>
      </c>
      <c r="L3055" t="s">
        <v>536</v>
      </c>
      <c r="M3055" t="s">
        <v>536</v>
      </c>
      <c r="N3055" t="s">
        <v>536</v>
      </c>
      <c r="O3055" t="s">
        <v>536</v>
      </c>
      <c r="P3055" t="s">
        <v>536</v>
      </c>
      <c r="Q3055" t="s">
        <v>45</v>
      </c>
      <c r="R3055" t="s">
        <v>14128</v>
      </c>
      <c r="S3055" t="s">
        <v>14130</v>
      </c>
      <c r="T3055" t="s">
        <v>13851</v>
      </c>
      <c r="U3055" t="s">
        <v>14131</v>
      </c>
    </row>
    <row r="3056" spans="1:21" x14ac:dyDescent="0.25">
      <c r="A3056" t="s">
        <v>14132</v>
      </c>
      <c r="B3056" t="s">
        <v>22</v>
      </c>
      <c r="C3056" t="s">
        <v>14133</v>
      </c>
      <c r="D3056">
        <f>48-814528940</f>
        <v>-814528892</v>
      </c>
      <c r="E3056" t="s">
        <v>13796</v>
      </c>
      <c r="F3056" t="s">
        <v>13649</v>
      </c>
      <c r="G3056" t="s">
        <v>13650</v>
      </c>
      <c r="H3056">
        <v>22.614093124993001</v>
      </c>
      <c r="I3056">
        <v>51.232243359264899</v>
      </c>
      <c r="J3056">
        <v>100</v>
      </c>
      <c r="K3056" t="s">
        <v>312</v>
      </c>
      <c r="L3056" t="s">
        <v>312</v>
      </c>
      <c r="M3056" t="s">
        <v>312</v>
      </c>
      <c r="N3056" t="s">
        <v>312</v>
      </c>
      <c r="O3056" t="s">
        <v>312</v>
      </c>
      <c r="P3056" t="s">
        <v>312</v>
      </c>
      <c r="Q3056" t="s">
        <v>192</v>
      </c>
      <c r="R3056" t="s">
        <v>14133</v>
      </c>
      <c r="S3056" t="s">
        <v>14134</v>
      </c>
      <c r="T3056" t="s">
        <v>13798</v>
      </c>
      <c r="U3056" t="s">
        <v>14135</v>
      </c>
    </row>
    <row r="3057" spans="1:21" x14ac:dyDescent="0.25">
      <c r="A3057" t="s">
        <v>14136</v>
      </c>
      <c r="B3057" t="s">
        <v>38</v>
      </c>
      <c r="C3057" t="s">
        <v>14137</v>
      </c>
      <c r="D3057">
        <f>48-426648640</f>
        <v>-426648592</v>
      </c>
      <c r="E3057" t="s">
        <v>13721</v>
      </c>
      <c r="F3057" t="s">
        <v>13649</v>
      </c>
      <c r="G3057" t="s">
        <v>13650</v>
      </c>
      <c r="H3057">
        <v>19.5097821455489</v>
      </c>
      <c r="I3057">
        <v>51.792472578791902</v>
      </c>
      <c r="J3057">
        <v>100</v>
      </c>
      <c r="K3057" t="s">
        <v>312</v>
      </c>
      <c r="L3057" t="s">
        <v>312</v>
      </c>
      <c r="M3057" t="s">
        <v>312</v>
      </c>
      <c r="N3057" t="s">
        <v>312</v>
      </c>
      <c r="O3057" t="s">
        <v>312</v>
      </c>
      <c r="P3057" t="s">
        <v>312</v>
      </c>
      <c r="Q3057" t="s">
        <v>192</v>
      </c>
      <c r="R3057" t="s">
        <v>14137</v>
      </c>
      <c r="S3057" t="s">
        <v>14138</v>
      </c>
      <c r="T3057" t="s">
        <v>13723</v>
      </c>
      <c r="U3057" t="s">
        <v>14139</v>
      </c>
    </row>
    <row r="3058" spans="1:21" x14ac:dyDescent="0.25">
      <c r="A3058" t="s">
        <v>14140</v>
      </c>
      <c r="B3058" t="s">
        <v>38</v>
      </c>
      <c r="C3058" t="s">
        <v>14141</v>
      </c>
      <c r="D3058">
        <f>48-146707840</f>
        <v>-146707792</v>
      </c>
      <c r="E3058" t="s">
        <v>14142</v>
      </c>
      <c r="F3058" t="s">
        <v>13649</v>
      </c>
      <c r="G3058" t="s">
        <v>13650</v>
      </c>
      <c r="H3058">
        <v>21.412908000000002</v>
      </c>
      <c r="I3058">
        <v>50.046559000000002</v>
      </c>
      <c r="J3058">
        <v>100</v>
      </c>
      <c r="K3058" t="s">
        <v>536</v>
      </c>
      <c r="L3058" t="s">
        <v>536</v>
      </c>
      <c r="M3058" t="s">
        <v>536</v>
      </c>
      <c r="N3058" t="s">
        <v>536</v>
      </c>
      <c r="O3058" t="s">
        <v>536</v>
      </c>
      <c r="P3058" t="s">
        <v>27</v>
      </c>
      <c r="Q3058" t="s">
        <v>536</v>
      </c>
      <c r="R3058" t="s">
        <v>14141</v>
      </c>
      <c r="S3058" t="s">
        <v>14143</v>
      </c>
      <c r="T3058" t="s">
        <v>13828</v>
      </c>
      <c r="U3058" t="s">
        <v>14144</v>
      </c>
    </row>
    <row r="3059" spans="1:21" x14ac:dyDescent="0.25">
      <c r="A3059" t="s">
        <v>14145</v>
      </c>
      <c r="B3059" t="s">
        <v>38</v>
      </c>
      <c r="C3059" t="s">
        <v>14146</v>
      </c>
      <c r="D3059">
        <f>41-3956140</f>
        <v>-3956099</v>
      </c>
      <c r="E3059" t="s">
        <v>14147</v>
      </c>
      <c r="F3059" t="s">
        <v>13649</v>
      </c>
      <c r="G3059" t="s">
        <v>13650</v>
      </c>
      <c r="H3059">
        <v>20.861719000000001</v>
      </c>
      <c r="I3059">
        <v>51.114482000000002</v>
      </c>
      <c r="J3059">
        <v>100</v>
      </c>
      <c r="K3059" t="s">
        <v>192</v>
      </c>
      <c r="L3059" t="s">
        <v>192</v>
      </c>
      <c r="M3059" t="s">
        <v>192</v>
      </c>
      <c r="N3059" t="s">
        <v>192</v>
      </c>
      <c r="O3059" t="s">
        <v>192</v>
      </c>
      <c r="P3059" t="s">
        <v>192</v>
      </c>
      <c r="Q3059" t="s">
        <v>553</v>
      </c>
      <c r="R3059" t="s">
        <v>14146</v>
      </c>
      <c r="S3059" t="s">
        <v>14148</v>
      </c>
      <c r="T3059" t="s">
        <v>13973</v>
      </c>
      <c r="U3059" t="s">
        <v>14149</v>
      </c>
    </row>
    <row r="3060" spans="1:21" x14ac:dyDescent="0.25">
      <c r="A3060" t="s">
        <v>14150</v>
      </c>
      <c r="B3060" t="s">
        <v>38</v>
      </c>
      <c r="C3060" t="s">
        <v>14151</v>
      </c>
      <c r="D3060">
        <f>48-525270240</f>
        <v>-525270192</v>
      </c>
      <c r="E3060" t="s">
        <v>14152</v>
      </c>
      <c r="F3060" t="s">
        <v>13649</v>
      </c>
      <c r="G3060" t="s">
        <v>13650</v>
      </c>
      <c r="H3060">
        <v>18.240549999999999</v>
      </c>
      <c r="I3060">
        <v>52.784480000000002</v>
      </c>
      <c r="J3060">
        <v>100</v>
      </c>
      <c r="K3060" t="s">
        <v>312</v>
      </c>
      <c r="L3060" t="s">
        <v>312</v>
      </c>
      <c r="M3060" t="s">
        <v>312</v>
      </c>
      <c r="N3060" t="s">
        <v>312</v>
      </c>
      <c r="O3060" t="s">
        <v>312</v>
      </c>
      <c r="P3060" t="s">
        <v>312</v>
      </c>
      <c r="Q3060" t="s">
        <v>45</v>
      </c>
      <c r="R3060" t="s">
        <v>14151</v>
      </c>
      <c r="S3060" t="s">
        <v>14153</v>
      </c>
      <c r="T3060" t="s">
        <v>13773</v>
      </c>
      <c r="U3060" t="s">
        <v>14154</v>
      </c>
    </row>
    <row r="3061" spans="1:21" x14ac:dyDescent="0.25">
      <c r="A3061" t="s">
        <v>14155</v>
      </c>
      <c r="B3061" t="s">
        <v>38</v>
      </c>
      <c r="C3061" t="s">
        <v>14156</v>
      </c>
      <c r="D3061">
        <f>48-227292840</f>
        <v>-227292792</v>
      </c>
      <c r="E3061" t="s">
        <v>14157</v>
      </c>
      <c r="F3061" t="s">
        <v>13649</v>
      </c>
      <c r="G3061" t="s">
        <v>13650</v>
      </c>
      <c r="H3061">
        <v>20.709320000000002</v>
      </c>
      <c r="I3061">
        <v>52.129469999999998</v>
      </c>
      <c r="J3061">
        <v>100</v>
      </c>
      <c r="K3061" t="s">
        <v>536</v>
      </c>
      <c r="L3061" t="s">
        <v>536</v>
      </c>
      <c r="M3061" t="s">
        <v>536</v>
      </c>
      <c r="N3061" t="s">
        <v>536</v>
      </c>
      <c r="O3061" t="s">
        <v>536</v>
      </c>
      <c r="P3061" t="s">
        <v>536</v>
      </c>
      <c r="Q3061" t="s">
        <v>45</v>
      </c>
      <c r="R3061" t="s">
        <v>14156</v>
      </c>
      <c r="S3061" t="s">
        <v>14158</v>
      </c>
      <c r="T3061" t="s">
        <v>13652</v>
      </c>
      <c r="U3061" t="s">
        <v>14159</v>
      </c>
    </row>
    <row r="3062" spans="1:21" x14ac:dyDescent="0.25">
      <c r="A3062" t="s">
        <v>14160</v>
      </c>
      <c r="B3062" t="s">
        <v>22</v>
      </c>
      <c r="C3062" t="s">
        <v>14161</v>
      </c>
      <c r="D3062">
        <f>48-221613940</f>
        <v>-221613892</v>
      </c>
      <c r="E3062" t="s">
        <v>13648</v>
      </c>
      <c r="F3062" t="s">
        <v>13649</v>
      </c>
      <c r="G3062" t="s">
        <v>13650</v>
      </c>
      <c r="H3062">
        <v>21.0037915433882</v>
      </c>
      <c r="I3062">
        <v>52.178947076332697</v>
      </c>
      <c r="J3062">
        <v>100</v>
      </c>
      <c r="K3062" t="s">
        <v>27</v>
      </c>
      <c r="L3062" t="s">
        <v>27</v>
      </c>
      <c r="M3062" t="s">
        <v>27</v>
      </c>
      <c r="N3062" t="s">
        <v>27</v>
      </c>
      <c r="O3062" t="s">
        <v>3543</v>
      </c>
      <c r="P3062" t="s">
        <v>3543</v>
      </c>
      <c r="Q3062" t="s">
        <v>536</v>
      </c>
      <c r="R3062" t="s">
        <v>14161</v>
      </c>
      <c r="S3062" t="s">
        <v>14162</v>
      </c>
      <c r="T3062" t="s">
        <v>13652</v>
      </c>
      <c r="U3062" t="s">
        <v>14163</v>
      </c>
    </row>
    <row r="3063" spans="1:21" x14ac:dyDescent="0.25">
      <c r="A3063" t="s">
        <v>14164</v>
      </c>
      <c r="B3063" t="s">
        <v>38</v>
      </c>
      <c r="C3063" t="s">
        <v>14165</v>
      </c>
      <c r="D3063">
        <f>48-713208340</f>
        <v>-713208292</v>
      </c>
      <c r="E3063" t="s">
        <v>13680</v>
      </c>
      <c r="F3063" t="s">
        <v>13649</v>
      </c>
      <c r="G3063" t="s">
        <v>13650</v>
      </c>
      <c r="H3063">
        <v>17.026769999999999</v>
      </c>
      <c r="I3063">
        <v>51.152169999999998</v>
      </c>
      <c r="J3063">
        <v>100</v>
      </c>
      <c r="K3063" t="s">
        <v>312</v>
      </c>
      <c r="L3063" t="s">
        <v>312</v>
      </c>
      <c r="M3063" t="s">
        <v>312</v>
      </c>
      <c r="N3063" t="s">
        <v>312</v>
      </c>
      <c r="O3063" t="s">
        <v>312</v>
      </c>
      <c r="P3063" t="s">
        <v>312</v>
      </c>
      <c r="Q3063" t="s">
        <v>45</v>
      </c>
      <c r="R3063" t="s">
        <v>14165</v>
      </c>
      <c r="S3063" t="s">
        <v>14166</v>
      </c>
      <c r="T3063" t="s">
        <v>13682</v>
      </c>
      <c r="U3063" t="s">
        <v>14167</v>
      </c>
    </row>
    <row r="3064" spans="1:21" x14ac:dyDescent="0.25">
      <c r="A3064" t="s">
        <v>14168</v>
      </c>
      <c r="B3064" t="s">
        <v>38</v>
      </c>
      <c r="C3064" t="s">
        <v>14169</v>
      </c>
      <c r="D3064">
        <f>48-23-680-89-40</f>
        <v>-784</v>
      </c>
      <c r="E3064" t="s">
        <v>14170</v>
      </c>
      <c r="F3064" t="s">
        <v>13649</v>
      </c>
      <c r="G3064" t="s">
        <v>13650</v>
      </c>
      <c r="H3064">
        <v>20.656341000000001</v>
      </c>
      <c r="I3064">
        <v>52.881338</v>
      </c>
      <c r="J3064">
        <v>100</v>
      </c>
      <c r="K3064" t="s">
        <v>536</v>
      </c>
      <c r="L3064" t="s">
        <v>536</v>
      </c>
      <c r="M3064" t="s">
        <v>536</v>
      </c>
      <c r="N3064" t="s">
        <v>536</v>
      </c>
      <c r="O3064" t="s">
        <v>536</v>
      </c>
      <c r="P3064" t="s">
        <v>536</v>
      </c>
      <c r="Q3064" t="s">
        <v>535</v>
      </c>
      <c r="R3064" t="s">
        <v>14169</v>
      </c>
      <c r="S3064" t="s">
        <v>14171</v>
      </c>
      <c r="T3064" t="s">
        <v>13652</v>
      </c>
      <c r="U3064" t="s">
        <v>14172</v>
      </c>
    </row>
    <row r="3065" spans="1:21" x14ac:dyDescent="0.25">
      <c r="A3065" t="s">
        <v>14173</v>
      </c>
      <c r="B3065" t="s">
        <v>22</v>
      </c>
      <c r="C3065" t="s">
        <v>14174</v>
      </c>
      <c r="D3065">
        <f>48-223703940</f>
        <v>-223703892</v>
      </c>
      <c r="E3065" t="s">
        <v>13648</v>
      </c>
      <c r="F3065" t="s">
        <v>13649</v>
      </c>
      <c r="G3065" t="s">
        <v>13650</v>
      </c>
      <c r="H3065">
        <v>21.060590322661</v>
      </c>
      <c r="I3065">
        <v>52.188134214919401</v>
      </c>
      <c r="J3065">
        <v>100</v>
      </c>
      <c r="K3065" t="s">
        <v>536</v>
      </c>
      <c r="L3065" t="s">
        <v>536</v>
      </c>
      <c r="M3065" t="s">
        <v>536</v>
      </c>
      <c r="N3065" t="s">
        <v>536</v>
      </c>
      <c r="O3065" t="s">
        <v>536</v>
      </c>
      <c r="P3065" t="s">
        <v>536</v>
      </c>
      <c r="Q3065" t="s">
        <v>45</v>
      </c>
      <c r="R3065" t="s">
        <v>14174</v>
      </c>
      <c r="S3065" t="s">
        <v>14175</v>
      </c>
      <c r="T3065" t="s">
        <v>13652</v>
      </c>
      <c r="U3065" t="s">
        <v>14176</v>
      </c>
    </row>
    <row r="3066" spans="1:21" x14ac:dyDescent="0.25">
      <c r="A3066" t="s">
        <v>14177</v>
      </c>
      <c r="B3066" t="s">
        <v>38</v>
      </c>
      <c r="C3066" t="s">
        <v>14178</v>
      </c>
      <c r="D3066">
        <f>48-297444340</f>
        <v>-297444292</v>
      </c>
      <c r="E3066" t="s">
        <v>14179</v>
      </c>
      <c r="F3066" t="s">
        <v>13649</v>
      </c>
      <c r="G3066" t="s">
        <v>13650</v>
      </c>
      <c r="H3066">
        <v>21.578130000000002</v>
      </c>
      <c r="I3066">
        <v>53.075384</v>
      </c>
      <c r="J3066">
        <v>100</v>
      </c>
      <c r="K3066" t="s">
        <v>536</v>
      </c>
      <c r="L3066" t="s">
        <v>536</v>
      </c>
      <c r="M3066" t="s">
        <v>536</v>
      </c>
      <c r="N3066" t="s">
        <v>536</v>
      </c>
      <c r="O3066" t="s">
        <v>536</v>
      </c>
      <c r="P3066" t="s">
        <v>536</v>
      </c>
      <c r="Q3066" t="s">
        <v>45</v>
      </c>
      <c r="R3066" t="s">
        <v>14178</v>
      </c>
      <c r="S3066" t="s">
        <v>14180</v>
      </c>
      <c r="T3066" t="s">
        <v>13652</v>
      </c>
      <c r="U3066" t="s">
        <v>14181</v>
      </c>
    </row>
    <row r="3067" spans="1:21" x14ac:dyDescent="0.25">
      <c r="A3067" t="s">
        <v>14182</v>
      </c>
      <c r="B3067" t="s">
        <v>22</v>
      </c>
      <c r="C3067" t="s">
        <v>14183</v>
      </c>
      <c r="D3067">
        <f>48-587790340</f>
        <v>-587790292</v>
      </c>
      <c r="E3067" t="s">
        <v>13695</v>
      </c>
      <c r="F3067" t="s">
        <v>13649</v>
      </c>
      <c r="G3067" t="s">
        <v>13650</v>
      </c>
      <c r="H3067">
        <v>18.5319924744337</v>
      </c>
      <c r="I3067">
        <v>54.503278127508999</v>
      </c>
      <c r="J3067">
        <v>100</v>
      </c>
      <c r="K3067" t="s">
        <v>312</v>
      </c>
      <c r="L3067" t="s">
        <v>312</v>
      </c>
      <c r="M3067" t="s">
        <v>312</v>
      </c>
      <c r="N3067" t="s">
        <v>312</v>
      </c>
      <c r="O3067" t="s">
        <v>312</v>
      </c>
      <c r="P3067" t="s">
        <v>312</v>
      </c>
      <c r="Q3067" t="s">
        <v>192</v>
      </c>
      <c r="R3067" t="s">
        <v>14183</v>
      </c>
      <c r="S3067" t="s">
        <v>14184</v>
      </c>
      <c r="T3067" t="s">
        <v>13687</v>
      </c>
      <c r="U3067" t="s">
        <v>14185</v>
      </c>
    </row>
    <row r="3068" spans="1:21" x14ac:dyDescent="0.25">
      <c r="A3068" t="s">
        <v>14186</v>
      </c>
      <c r="B3068" t="s">
        <v>38</v>
      </c>
      <c r="C3068" t="s">
        <v>14187</v>
      </c>
      <c r="D3068">
        <f>48-627688140</f>
        <v>-627688092</v>
      </c>
      <c r="E3068" t="s">
        <v>14061</v>
      </c>
      <c r="F3068" t="s">
        <v>13649</v>
      </c>
      <c r="G3068" t="s">
        <v>13650</v>
      </c>
      <c r="H3068">
        <v>18.06944</v>
      </c>
      <c r="I3068">
        <v>51.743650000000002</v>
      </c>
      <c r="J3068">
        <v>100</v>
      </c>
      <c r="K3068" t="s">
        <v>312</v>
      </c>
      <c r="L3068" t="s">
        <v>312</v>
      </c>
      <c r="M3068" t="s">
        <v>312</v>
      </c>
      <c r="N3068" t="s">
        <v>312</v>
      </c>
      <c r="O3068" t="s">
        <v>312</v>
      </c>
      <c r="P3068" t="s">
        <v>312</v>
      </c>
      <c r="Q3068" t="s">
        <v>45</v>
      </c>
      <c r="R3068" t="s">
        <v>14187</v>
      </c>
      <c r="S3068" t="s">
        <v>14188</v>
      </c>
      <c r="T3068" t="s">
        <v>13666</v>
      </c>
      <c r="U3068" t="s">
        <v>14189</v>
      </c>
    </row>
    <row r="3069" spans="1:21" x14ac:dyDescent="0.25">
      <c r="A3069" t="s">
        <v>14190</v>
      </c>
      <c r="B3069" t="s">
        <v>38</v>
      </c>
      <c r="C3069" t="s">
        <v>14191</v>
      </c>
      <c r="D3069">
        <f>48-446858040</f>
        <v>-446857992</v>
      </c>
      <c r="E3069" t="s">
        <v>14192</v>
      </c>
      <c r="F3069" t="s">
        <v>13649</v>
      </c>
      <c r="G3069" t="s">
        <v>13650</v>
      </c>
      <c r="H3069">
        <v>19.436737900000001</v>
      </c>
      <c r="I3069">
        <v>51.070710899999902</v>
      </c>
      <c r="J3069">
        <v>100</v>
      </c>
      <c r="K3069" t="s">
        <v>192</v>
      </c>
      <c r="L3069" t="s">
        <v>192</v>
      </c>
      <c r="M3069" t="s">
        <v>192</v>
      </c>
      <c r="N3069" t="s">
        <v>192</v>
      </c>
      <c r="O3069" t="s">
        <v>192</v>
      </c>
      <c r="P3069" t="s">
        <v>192</v>
      </c>
      <c r="Q3069" t="s">
        <v>428</v>
      </c>
      <c r="R3069" t="s">
        <v>14191</v>
      </c>
      <c r="S3069" t="s">
        <v>14193</v>
      </c>
      <c r="T3069" t="s">
        <v>13723</v>
      </c>
      <c r="U3069" t="s">
        <v>14194</v>
      </c>
    </row>
    <row r="3070" spans="1:21" x14ac:dyDescent="0.25">
      <c r="A3070" t="s">
        <v>14195</v>
      </c>
      <c r="B3070" t="s">
        <v>22</v>
      </c>
      <c r="C3070" t="s">
        <v>14196</v>
      </c>
      <c r="D3070">
        <f>48-556195140</f>
        <v>-556195092</v>
      </c>
      <c r="E3070" t="s">
        <v>14197</v>
      </c>
      <c r="F3070" t="s">
        <v>13649</v>
      </c>
      <c r="G3070" t="s">
        <v>13650</v>
      </c>
      <c r="H3070">
        <v>19.407246671488998</v>
      </c>
      <c r="I3070">
        <v>54.185582019383702</v>
      </c>
      <c r="J3070">
        <v>100</v>
      </c>
      <c r="K3070" t="s">
        <v>312</v>
      </c>
      <c r="L3070" t="s">
        <v>312</v>
      </c>
      <c r="M3070" t="s">
        <v>312</v>
      </c>
      <c r="N3070" t="s">
        <v>312</v>
      </c>
      <c r="O3070" t="s">
        <v>312</v>
      </c>
      <c r="P3070" t="s">
        <v>312</v>
      </c>
      <c r="Q3070" t="s">
        <v>45</v>
      </c>
      <c r="R3070" t="s">
        <v>14196</v>
      </c>
      <c r="S3070" t="s">
        <v>14198</v>
      </c>
      <c r="T3070" t="s">
        <v>13737</v>
      </c>
      <c r="U3070" t="s">
        <v>14199</v>
      </c>
    </row>
    <row r="3071" spans="1:21" x14ac:dyDescent="0.25">
      <c r="A3071" t="s">
        <v>14200</v>
      </c>
      <c r="B3071" t="s">
        <v>38</v>
      </c>
      <c r="C3071" t="s">
        <v>14201</v>
      </c>
      <c r="D3071">
        <f>48-525862540</f>
        <v>-525862492</v>
      </c>
      <c r="E3071" t="s">
        <v>14202</v>
      </c>
      <c r="F3071" t="s">
        <v>13649</v>
      </c>
      <c r="G3071" t="s">
        <v>13650</v>
      </c>
      <c r="H3071">
        <v>17.617114673403599</v>
      </c>
      <c r="I3071">
        <v>53.6933840882837</v>
      </c>
      <c r="J3071">
        <v>100</v>
      </c>
      <c r="K3071" t="s">
        <v>312</v>
      </c>
      <c r="L3071" t="s">
        <v>312</v>
      </c>
      <c r="M3071" t="s">
        <v>312</v>
      </c>
      <c r="N3071" t="s">
        <v>312</v>
      </c>
      <c r="O3071" t="s">
        <v>312</v>
      </c>
      <c r="P3071" t="s">
        <v>312</v>
      </c>
      <c r="Q3071" t="s">
        <v>45</v>
      </c>
      <c r="R3071" t="s">
        <v>14201</v>
      </c>
      <c r="S3071" t="s">
        <v>14203</v>
      </c>
      <c r="T3071" t="s">
        <v>13687</v>
      </c>
      <c r="U3071" t="s">
        <v>14204</v>
      </c>
    </row>
    <row r="3072" spans="1:21" x14ac:dyDescent="0.25">
      <c r="A3072" t="s">
        <v>14205</v>
      </c>
      <c r="B3072" t="s">
        <v>22</v>
      </c>
      <c r="C3072" t="s">
        <v>14206</v>
      </c>
      <c r="D3072">
        <f>48-585555040</f>
        <v>-585554992</v>
      </c>
      <c r="E3072" t="s">
        <v>14207</v>
      </c>
      <c r="F3072" t="s">
        <v>13649</v>
      </c>
      <c r="G3072" t="s">
        <v>13650</v>
      </c>
      <c r="H3072">
        <v>18.566971266143099</v>
      </c>
      <c r="I3072">
        <v>54.444256119308598</v>
      </c>
      <c r="J3072">
        <v>100</v>
      </c>
      <c r="K3072" t="s">
        <v>312</v>
      </c>
      <c r="L3072" t="s">
        <v>312</v>
      </c>
      <c r="M3072" t="s">
        <v>312</v>
      </c>
      <c r="N3072" t="s">
        <v>312</v>
      </c>
      <c r="O3072" t="s">
        <v>312</v>
      </c>
      <c r="P3072" t="s">
        <v>312</v>
      </c>
      <c r="Q3072" t="s">
        <v>192</v>
      </c>
      <c r="R3072" t="s">
        <v>14206</v>
      </c>
      <c r="S3072" t="s">
        <v>14208</v>
      </c>
      <c r="T3072" t="s">
        <v>13687</v>
      </c>
      <c r="U3072" t="s">
        <v>14209</v>
      </c>
    </row>
    <row r="3073" spans="1:21" x14ac:dyDescent="0.25">
      <c r="A3073" t="s">
        <v>14210</v>
      </c>
      <c r="B3073" t="s">
        <v>22</v>
      </c>
      <c r="C3073" t="s">
        <v>14211</v>
      </c>
      <c r="D3073">
        <f>48-126233440</f>
        <v>-126233392</v>
      </c>
      <c r="E3073" t="s">
        <v>13704</v>
      </c>
      <c r="F3073" t="s">
        <v>13649</v>
      </c>
      <c r="G3073" t="s">
        <v>13650</v>
      </c>
      <c r="H3073">
        <v>19.896614</v>
      </c>
      <c r="I3073">
        <v>50.092168999999998</v>
      </c>
      <c r="J3073">
        <v>100</v>
      </c>
      <c r="K3073" t="s">
        <v>312</v>
      </c>
      <c r="L3073" t="s">
        <v>312</v>
      </c>
      <c r="M3073" t="s">
        <v>312</v>
      </c>
      <c r="N3073" t="s">
        <v>312</v>
      </c>
      <c r="O3073" t="s">
        <v>312</v>
      </c>
      <c r="P3073" t="s">
        <v>312</v>
      </c>
      <c r="Q3073" t="s">
        <v>536</v>
      </c>
      <c r="R3073" t="s">
        <v>14211</v>
      </c>
      <c r="S3073" t="s">
        <v>14212</v>
      </c>
      <c r="T3073" t="s">
        <v>13706</v>
      </c>
      <c r="U3073" t="s">
        <v>14213</v>
      </c>
    </row>
    <row r="3074" spans="1:21" x14ac:dyDescent="0.25">
      <c r="A3074" t="s">
        <v>14214</v>
      </c>
      <c r="B3074" t="s">
        <v>38</v>
      </c>
      <c r="C3074" t="s">
        <v>14215</v>
      </c>
      <c r="D3074">
        <f>48-833426640</f>
        <v>-833426592</v>
      </c>
      <c r="E3074" t="s">
        <v>14216</v>
      </c>
      <c r="F3074" t="s">
        <v>13649</v>
      </c>
      <c r="G3074" t="s">
        <v>13650</v>
      </c>
      <c r="H3074">
        <v>23.124203682027598</v>
      </c>
      <c r="I3074">
        <v>52.034594248401397</v>
      </c>
      <c r="J3074">
        <v>100</v>
      </c>
      <c r="K3074" t="s">
        <v>192</v>
      </c>
      <c r="L3074" t="s">
        <v>192</v>
      </c>
      <c r="M3074" t="s">
        <v>192</v>
      </c>
      <c r="N3074" t="s">
        <v>192</v>
      </c>
      <c r="O3074" t="s">
        <v>192</v>
      </c>
      <c r="P3074" t="s">
        <v>192</v>
      </c>
      <c r="R3074" t="s">
        <v>14215</v>
      </c>
      <c r="S3074" t="s">
        <v>14217</v>
      </c>
      <c r="T3074" t="s">
        <v>13798</v>
      </c>
      <c r="U3074" t="s">
        <v>14218</v>
      </c>
    </row>
    <row r="3075" spans="1:21" x14ac:dyDescent="0.25">
      <c r="A3075" t="s">
        <v>14219</v>
      </c>
      <c r="B3075" t="s">
        <v>38</v>
      </c>
      <c r="C3075" t="s">
        <v>14220</v>
      </c>
      <c r="D3075">
        <f>91-3275140</f>
        <v>-3275049</v>
      </c>
      <c r="E3075" t="s">
        <v>14221</v>
      </c>
      <c r="F3075" t="s">
        <v>13649</v>
      </c>
      <c r="G3075" t="s">
        <v>13650</v>
      </c>
      <c r="H3075">
        <v>14.246409999999999</v>
      </c>
      <c r="I3075">
        <v>53.909979999999997</v>
      </c>
      <c r="J3075">
        <v>100</v>
      </c>
      <c r="K3075" t="s">
        <v>312</v>
      </c>
      <c r="L3075" t="s">
        <v>312</v>
      </c>
      <c r="M3075" t="s">
        <v>312</v>
      </c>
      <c r="N3075" t="s">
        <v>312</v>
      </c>
      <c r="O3075" t="s">
        <v>312</v>
      </c>
      <c r="P3075" t="s">
        <v>312</v>
      </c>
      <c r="Q3075" t="s">
        <v>45</v>
      </c>
      <c r="R3075" t="s">
        <v>14220</v>
      </c>
      <c r="S3075" t="s">
        <v>14222</v>
      </c>
      <c r="T3075" t="s">
        <v>13676</v>
      </c>
      <c r="U3075" t="s">
        <v>14223</v>
      </c>
    </row>
    <row r="3076" spans="1:21" x14ac:dyDescent="0.25">
      <c r="A3076" t="s">
        <v>14224</v>
      </c>
      <c r="B3076" t="s">
        <v>38</v>
      </c>
      <c r="C3076" t="s">
        <v>14225</v>
      </c>
      <c r="D3076">
        <f>48-412013240</f>
        <v>-412013192</v>
      </c>
      <c r="E3076" t="s">
        <v>13971</v>
      </c>
      <c r="F3076" t="s">
        <v>13649</v>
      </c>
      <c r="G3076" t="s">
        <v>13650</v>
      </c>
      <c r="H3076">
        <v>20.634989999999998</v>
      </c>
      <c r="I3076">
        <v>50.876038000000001</v>
      </c>
      <c r="J3076">
        <v>100</v>
      </c>
      <c r="K3076" t="s">
        <v>45</v>
      </c>
      <c r="L3076" t="s">
        <v>45</v>
      </c>
      <c r="M3076" t="s">
        <v>45</v>
      </c>
      <c r="N3076" t="s">
        <v>45</v>
      </c>
      <c r="O3076" t="s">
        <v>45</v>
      </c>
      <c r="P3076" t="s">
        <v>45</v>
      </c>
      <c r="Q3076" t="s">
        <v>45</v>
      </c>
      <c r="R3076" t="s">
        <v>14225</v>
      </c>
      <c r="S3076" t="s">
        <v>14226</v>
      </c>
      <c r="T3076" t="s">
        <v>13973</v>
      </c>
      <c r="U3076" t="s">
        <v>14227</v>
      </c>
    </row>
    <row r="3077" spans="1:21" x14ac:dyDescent="0.25">
      <c r="A3077" t="s">
        <v>14228</v>
      </c>
      <c r="B3077" t="s">
        <v>22</v>
      </c>
      <c r="C3077" t="s">
        <v>14229</v>
      </c>
      <c r="D3077">
        <f>48-616461840</f>
        <v>-616461792</v>
      </c>
      <c r="E3077" t="s">
        <v>13664</v>
      </c>
      <c r="F3077" t="s">
        <v>13649</v>
      </c>
      <c r="G3077" t="s">
        <v>13650</v>
      </c>
      <c r="H3077">
        <v>16.95487</v>
      </c>
      <c r="I3077">
        <v>52.396239999999999</v>
      </c>
      <c r="J3077">
        <v>100</v>
      </c>
      <c r="K3077" t="s">
        <v>27</v>
      </c>
      <c r="L3077" t="s">
        <v>27</v>
      </c>
      <c r="M3077" t="s">
        <v>27</v>
      </c>
      <c r="N3077" t="s">
        <v>27</v>
      </c>
      <c r="O3077" t="s">
        <v>27</v>
      </c>
      <c r="P3077" t="s">
        <v>27</v>
      </c>
      <c r="Q3077" t="s">
        <v>536</v>
      </c>
      <c r="R3077" t="s">
        <v>14229</v>
      </c>
      <c r="S3077" t="s">
        <v>14230</v>
      </c>
      <c r="T3077" t="s">
        <v>13666</v>
      </c>
      <c r="U3077" t="s">
        <v>14231</v>
      </c>
    </row>
    <row r="3078" spans="1:21" x14ac:dyDescent="0.25">
      <c r="A3078" t="s">
        <v>14232</v>
      </c>
      <c r="B3078" t="s">
        <v>38</v>
      </c>
      <c r="C3078" t="s">
        <v>14233</v>
      </c>
      <c r="D3078">
        <f>48-672119640</f>
        <v>-672119592</v>
      </c>
      <c r="E3078" t="s">
        <v>14234</v>
      </c>
      <c r="F3078" t="s">
        <v>13649</v>
      </c>
      <c r="G3078" t="s">
        <v>13650</v>
      </c>
      <c r="H3078">
        <v>16.756070000000001</v>
      </c>
      <c r="I3078">
        <v>53.159100000000002</v>
      </c>
      <c r="J3078">
        <v>100</v>
      </c>
      <c r="K3078" t="s">
        <v>536</v>
      </c>
      <c r="L3078" t="s">
        <v>536</v>
      </c>
      <c r="M3078" t="s">
        <v>536</v>
      </c>
      <c r="N3078" t="s">
        <v>536</v>
      </c>
      <c r="O3078" t="s">
        <v>536</v>
      </c>
      <c r="P3078" t="s">
        <v>536</v>
      </c>
      <c r="Q3078" t="s">
        <v>45</v>
      </c>
      <c r="R3078" t="s">
        <v>14233</v>
      </c>
      <c r="S3078" t="s">
        <v>14235</v>
      </c>
      <c r="T3078" t="s">
        <v>13666</v>
      </c>
      <c r="U3078" t="s">
        <v>14236</v>
      </c>
    </row>
    <row r="3079" spans="1:21" x14ac:dyDescent="0.25">
      <c r="A3079" t="s">
        <v>14237</v>
      </c>
      <c r="B3079" t="s">
        <v>38</v>
      </c>
      <c r="C3079" t="s">
        <v>14238</v>
      </c>
      <c r="D3079">
        <f>67-3506740</f>
        <v>-3506673</v>
      </c>
      <c r="E3079" t="s">
        <v>14234</v>
      </c>
      <c r="F3079" t="s">
        <v>13649</v>
      </c>
      <c r="G3079" t="s">
        <v>13650</v>
      </c>
      <c r="H3079">
        <v>16.745470000000001</v>
      </c>
      <c r="I3079">
        <v>53.144660000000002</v>
      </c>
      <c r="J3079">
        <v>100</v>
      </c>
      <c r="K3079" t="s">
        <v>536</v>
      </c>
      <c r="L3079" t="s">
        <v>536</v>
      </c>
      <c r="M3079" t="s">
        <v>536</v>
      </c>
      <c r="N3079" t="s">
        <v>536</v>
      </c>
      <c r="O3079" t="s">
        <v>536</v>
      </c>
      <c r="P3079" t="s">
        <v>536</v>
      </c>
      <c r="Q3079" t="s">
        <v>45</v>
      </c>
      <c r="R3079" t="s">
        <v>14238</v>
      </c>
      <c r="S3079" t="s">
        <v>14239</v>
      </c>
      <c r="T3079" t="s">
        <v>13666</v>
      </c>
      <c r="U3079" t="s">
        <v>14240</v>
      </c>
    </row>
    <row r="3080" spans="1:21" x14ac:dyDescent="0.25">
      <c r="A3080" t="s">
        <v>14241</v>
      </c>
      <c r="B3080" t="s">
        <v>38</v>
      </c>
      <c r="C3080" t="s">
        <v>14242</v>
      </c>
      <c r="D3080">
        <f>48-327367740</f>
        <v>-327367692</v>
      </c>
      <c r="E3080" t="s">
        <v>14243</v>
      </c>
      <c r="F3080" t="s">
        <v>13649</v>
      </c>
      <c r="G3080" t="s">
        <v>13650</v>
      </c>
      <c r="H3080">
        <v>18.865597000000001</v>
      </c>
      <c r="I3080">
        <v>50.275480999999999</v>
      </c>
      <c r="J3080">
        <v>100</v>
      </c>
      <c r="K3080" t="s">
        <v>536</v>
      </c>
      <c r="L3080" t="s">
        <v>536</v>
      </c>
      <c r="M3080" t="s">
        <v>536</v>
      </c>
      <c r="N3080" t="s">
        <v>312</v>
      </c>
      <c r="O3080" t="s">
        <v>536</v>
      </c>
      <c r="P3080" t="s">
        <v>536</v>
      </c>
      <c r="Q3080" t="s">
        <v>45</v>
      </c>
      <c r="R3080" t="s">
        <v>14242</v>
      </c>
      <c r="S3080" t="s">
        <v>14244</v>
      </c>
      <c r="T3080" t="s">
        <v>13712</v>
      </c>
      <c r="U3080" t="s">
        <v>14245</v>
      </c>
    </row>
    <row r="3081" spans="1:21" x14ac:dyDescent="0.25">
      <c r="A3081" t="s">
        <v>14246</v>
      </c>
      <c r="B3081" t="s">
        <v>38</v>
      </c>
      <c r="C3081" t="s">
        <v>14247</v>
      </c>
      <c r="D3081">
        <f>48-7395004</f>
        <v>-7394956</v>
      </c>
      <c r="E3081" t="s">
        <v>14248</v>
      </c>
      <c r="F3081" t="s">
        <v>13649</v>
      </c>
      <c r="G3081" t="s">
        <v>13650</v>
      </c>
      <c r="H3081">
        <v>22.3617606643529</v>
      </c>
      <c r="I3081">
        <v>53.822789982243002</v>
      </c>
      <c r="J3081">
        <v>100</v>
      </c>
      <c r="K3081" t="s">
        <v>536</v>
      </c>
      <c r="L3081" t="s">
        <v>536</v>
      </c>
      <c r="M3081" t="s">
        <v>536</v>
      </c>
      <c r="N3081" t="s">
        <v>536</v>
      </c>
      <c r="O3081" t="s">
        <v>536</v>
      </c>
      <c r="P3081" t="s">
        <v>536</v>
      </c>
      <c r="Q3081" t="s">
        <v>536</v>
      </c>
      <c r="R3081" t="s">
        <v>14247</v>
      </c>
      <c r="S3081" t="s">
        <v>14249</v>
      </c>
      <c r="T3081" t="s">
        <v>13737</v>
      </c>
      <c r="U3081" t="s">
        <v>14250</v>
      </c>
    </row>
    <row r="3082" spans="1:21" x14ac:dyDescent="0.25">
      <c r="A3082" t="s">
        <v>14251</v>
      </c>
      <c r="B3082" t="s">
        <v>38</v>
      </c>
      <c r="C3082" t="s">
        <v>14252</v>
      </c>
      <c r="D3082">
        <f>48-914854340</f>
        <v>-914854292</v>
      </c>
      <c r="E3082" t="s">
        <v>13674</v>
      </c>
      <c r="F3082" t="s">
        <v>13649</v>
      </c>
      <c r="G3082" t="s">
        <v>13650</v>
      </c>
      <c r="H3082">
        <v>14.53093</v>
      </c>
      <c r="I3082">
        <v>53.427079999999997</v>
      </c>
      <c r="J3082">
        <v>100</v>
      </c>
      <c r="K3082" t="s">
        <v>312</v>
      </c>
      <c r="L3082" t="s">
        <v>312</v>
      </c>
      <c r="M3082" t="s">
        <v>312</v>
      </c>
      <c r="N3082" t="s">
        <v>312</v>
      </c>
      <c r="O3082" t="s">
        <v>312</v>
      </c>
      <c r="P3082" t="s">
        <v>312</v>
      </c>
      <c r="Q3082" t="s">
        <v>192</v>
      </c>
      <c r="R3082" t="s">
        <v>14252</v>
      </c>
      <c r="S3082" t="s">
        <v>14253</v>
      </c>
      <c r="T3082" t="s">
        <v>13676</v>
      </c>
      <c r="U3082" t="s">
        <v>14254</v>
      </c>
    </row>
    <row r="3083" spans="1:21" x14ac:dyDescent="0.25">
      <c r="A3083" t="s">
        <v>14255</v>
      </c>
      <c r="B3083" t="s">
        <v>38</v>
      </c>
      <c r="C3083" t="s">
        <v>14256</v>
      </c>
      <c r="D3083">
        <f>48-556259440</f>
        <v>-556259392</v>
      </c>
      <c r="E3083" t="s">
        <v>14257</v>
      </c>
      <c r="F3083" t="s">
        <v>13649</v>
      </c>
      <c r="G3083" t="s">
        <v>13650</v>
      </c>
      <c r="H3083">
        <v>19.034564530718601</v>
      </c>
      <c r="I3083">
        <v>54.036032374423399</v>
      </c>
      <c r="J3083">
        <v>100</v>
      </c>
      <c r="K3083" t="s">
        <v>192</v>
      </c>
      <c r="L3083" t="s">
        <v>192</v>
      </c>
      <c r="M3083" t="s">
        <v>192</v>
      </c>
      <c r="N3083" t="s">
        <v>192</v>
      </c>
      <c r="O3083" t="s">
        <v>192</v>
      </c>
      <c r="P3083" t="s">
        <v>192</v>
      </c>
      <c r="Q3083" t="s">
        <v>428</v>
      </c>
      <c r="R3083" t="s">
        <v>14256</v>
      </c>
      <c r="S3083" t="s">
        <v>14258</v>
      </c>
      <c r="T3083" t="s">
        <v>13687</v>
      </c>
      <c r="U3083" t="s">
        <v>14259</v>
      </c>
    </row>
    <row r="3084" spans="1:21" x14ac:dyDescent="0.25">
      <c r="A3084" t="s">
        <v>14260</v>
      </c>
      <c r="B3084" t="s">
        <v>22</v>
      </c>
      <c r="C3084" t="s">
        <v>14261</v>
      </c>
      <c r="D3084">
        <f>48-587708940</f>
        <v>-587708892</v>
      </c>
      <c r="E3084" t="s">
        <v>13685</v>
      </c>
      <c r="F3084" t="s">
        <v>13649</v>
      </c>
      <c r="G3084" t="s">
        <v>13650</v>
      </c>
      <c r="H3084">
        <v>18.643296544565299</v>
      </c>
      <c r="I3084">
        <v>54.349116607505898</v>
      </c>
      <c r="J3084">
        <v>100</v>
      </c>
      <c r="K3084" t="s">
        <v>312</v>
      </c>
      <c r="L3084" t="s">
        <v>312</v>
      </c>
      <c r="M3084" t="s">
        <v>312</v>
      </c>
      <c r="N3084" t="s">
        <v>312</v>
      </c>
      <c r="O3084" t="s">
        <v>312</v>
      </c>
      <c r="P3084" t="s">
        <v>312</v>
      </c>
      <c r="Q3084" t="s">
        <v>312</v>
      </c>
      <c r="R3084" t="s">
        <v>14261</v>
      </c>
      <c r="S3084" t="s">
        <v>14262</v>
      </c>
      <c r="T3084" t="s">
        <v>13687</v>
      </c>
      <c r="U3084" t="s">
        <v>14263</v>
      </c>
    </row>
    <row r="3085" spans="1:21" x14ac:dyDescent="0.25">
      <c r="A3085" t="s">
        <v>14264</v>
      </c>
      <c r="B3085" t="s">
        <v>38</v>
      </c>
      <c r="C3085" t="s">
        <v>14265</v>
      </c>
      <c r="D3085">
        <f>48-814521940</f>
        <v>-814521892</v>
      </c>
      <c r="E3085" t="s">
        <v>13796</v>
      </c>
      <c r="F3085" t="s">
        <v>13649</v>
      </c>
      <c r="G3085" t="s">
        <v>13650</v>
      </c>
      <c r="H3085">
        <v>22.574280000000002</v>
      </c>
      <c r="I3085">
        <v>51.281579999999998</v>
      </c>
      <c r="J3085">
        <v>100</v>
      </c>
      <c r="K3085" t="s">
        <v>536</v>
      </c>
      <c r="L3085" t="s">
        <v>536</v>
      </c>
      <c r="M3085" t="s">
        <v>536</v>
      </c>
      <c r="N3085" t="s">
        <v>536</v>
      </c>
      <c r="O3085" t="s">
        <v>536</v>
      </c>
      <c r="P3085" t="s">
        <v>536</v>
      </c>
      <c r="Q3085" t="s">
        <v>45</v>
      </c>
      <c r="R3085" t="s">
        <v>14265</v>
      </c>
      <c r="S3085" t="s">
        <v>14266</v>
      </c>
      <c r="T3085" t="s">
        <v>13798</v>
      </c>
      <c r="U3085" t="s">
        <v>14267</v>
      </c>
    </row>
    <row r="3086" spans="1:21" x14ac:dyDescent="0.25">
      <c r="A3086" t="s">
        <v>14268</v>
      </c>
      <c r="B3086" t="s">
        <v>22</v>
      </c>
      <c r="C3086" t="s">
        <v>14269</v>
      </c>
      <c r="D3086">
        <f>48-523399440</f>
        <v>-523399392</v>
      </c>
      <c r="E3086" t="s">
        <v>13771</v>
      </c>
      <c r="F3086" t="s">
        <v>13649</v>
      </c>
      <c r="G3086" t="s">
        <v>13650</v>
      </c>
      <c r="H3086">
        <v>18.009808387732502</v>
      </c>
      <c r="I3086">
        <v>53.115380568279498</v>
      </c>
      <c r="J3086">
        <v>100</v>
      </c>
      <c r="K3086" t="s">
        <v>312</v>
      </c>
      <c r="L3086" t="s">
        <v>312</v>
      </c>
      <c r="M3086" t="s">
        <v>312</v>
      </c>
      <c r="N3086" t="s">
        <v>312</v>
      </c>
      <c r="O3086" t="s">
        <v>312</v>
      </c>
      <c r="P3086" t="s">
        <v>312</v>
      </c>
      <c r="Q3086" t="s">
        <v>45</v>
      </c>
      <c r="R3086" t="s">
        <v>14269</v>
      </c>
      <c r="S3086" t="s">
        <v>14270</v>
      </c>
      <c r="T3086" t="s">
        <v>13773</v>
      </c>
      <c r="U3086" t="s">
        <v>14271</v>
      </c>
    </row>
    <row r="3087" spans="1:21" x14ac:dyDescent="0.25">
      <c r="A3087" t="s">
        <v>14272</v>
      </c>
      <c r="B3087" t="s">
        <v>22</v>
      </c>
      <c r="C3087" t="s">
        <v>14273</v>
      </c>
      <c r="D3087">
        <f>48-123411240</f>
        <v>-123411192</v>
      </c>
      <c r="E3087" t="s">
        <v>13704</v>
      </c>
      <c r="F3087" t="s">
        <v>13649</v>
      </c>
      <c r="G3087" t="s">
        <v>13650</v>
      </c>
      <c r="H3087">
        <v>19.986761999999999</v>
      </c>
      <c r="I3087">
        <v>50.088771000000001</v>
      </c>
      <c r="J3087">
        <v>100</v>
      </c>
      <c r="K3087" t="s">
        <v>536</v>
      </c>
      <c r="L3087" t="s">
        <v>536</v>
      </c>
      <c r="M3087" t="s">
        <v>536</v>
      </c>
      <c r="N3087" t="s">
        <v>536</v>
      </c>
      <c r="O3087" t="s">
        <v>536</v>
      </c>
      <c r="P3087" t="s">
        <v>536</v>
      </c>
      <c r="Q3087" t="s">
        <v>536</v>
      </c>
      <c r="R3087" t="s">
        <v>14273</v>
      </c>
      <c r="S3087" t="s">
        <v>14274</v>
      </c>
      <c r="T3087" t="s">
        <v>13706</v>
      </c>
      <c r="U3087" t="s">
        <v>14275</v>
      </c>
    </row>
    <row r="3088" spans="1:21" x14ac:dyDescent="0.25">
      <c r="A3088" t="s">
        <v>14276</v>
      </c>
      <c r="B3088" t="s">
        <v>38</v>
      </c>
      <c r="C3088" t="s">
        <v>14277</v>
      </c>
      <c r="D3088">
        <f>48-858762440</f>
        <v>-858762392</v>
      </c>
      <c r="E3088" t="s">
        <v>13802</v>
      </c>
      <c r="F3088" t="s">
        <v>13649</v>
      </c>
      <c r="G3088" t="s">
        <v>13650</v>
      </c>
      <c r="H3088">
        <v>23.117927312850899</v>
      </c>
      <c r="I3088">
        <v>53.134671194540701</v>
      </c>
      <c r="J3088">
        <v>100</v>
      </c>
      <c r="K3088" t="s">
        <v>312</v>
      </c>
      <c r="L3088" t="s">
        <v>312</v>
      </c>
      <c r="M3088" t="s">
        <v>312</v>
      </c>
      <c r="N3088" t="s">
        <v>312</v>
      </c>
      <c r="O3088" t="s">
        <v>312</v>
      </c>
      <c r="P3088" t="s">
        <v>312</v>
      </c>
      <c r="Q3088" t="s">
        <v>759</v>
      </c>
      <c r="R3088" t="s">
        <v>14277</v>
      </c>
      <c r="S3088" t="s">
        <v>14278</v>
      </c>
      <c r="T3088" t="s">
        <v>13804</v>
      </c>
      <c r="U3088" t="s">
        <v>14279</v>
      </c>
    </row>
    <row r="3089" spans="1:21" x14ac:dyDescent="0.25">
      <c r="A3089" t="s">
        <v>14280</v>
      </c>
      <c r="B3089" t="s">
        <v>38</v>
      </c>
      <c r="C3089" t="s">
        <v>14281</v>
      </c>
      <c r="D3089">
        <f>48-22-4171440</f>
        <v>-4171414</v>
      </c>
      <c r="E3089" t="s">
        <v>14282</v>
      </c>
      <c r="F3089" t="s">
        <v>13649</v>
      </c>
      <c r="G3089" t="s">
        <v>13650</v>
      </c>
      <c r="H3089">
        <v>21.087114</v>
      </c>
      <c r="I3089">
        <v>52.305821999999999</v>
      </c>
      <c r="J3089">
        <v>100</v>
      </c>
      <c r="K3089" t="s">
        <v>312</v>
      </c>
      <c r="L3089" t="s">
        <v>312</v>
      </c>
      <c r="M3089" t="s">
        <v>312</v>
      </c>
      <c r="N3089" t="s">
        <v>312</v>
      </c>
      <c r="O3089" t="s">
        <v>312</v>
      </c>
      <c r="P3089" t="s">
        <v>312</v>
      </c>
      <c r="R3089" t="s">
        <v>14281</v>
      </c>
      <c r="T3089" t="s">
        <v>13652</v>
      </c>
      <c r="U3089" t="s">
        <v>14283</v>
      </c>
    </row>
    <row r="3090" spans="1:21" x14ac:dyDescent="0.25">
      <c r="A3090" t="s">
        <v>14284</v>
      </c>
      <c r="B3090" t="s">
        <v>22</v>
      </c>
      <c r="C3090" t="s">
        <v>14285</v>
      </c>
      <c r="D3090">
        <f>48-897224140</f>
        <v>-897224092</v>
      </c>
      <c r="E3090" t="s">
        <v>13735</v>
      </c>
      <c r="F3090" t="s">
        <v>13649</v>
      </c>
      <c r="G3090" t="s">
        <v>13650</v>
      </c>
      <c r="H3090">
        <v>20.485392000000001</v>
      </c>
      <c r="I3090">
        <v>53.755018</v>
      </c>
      <c r="J3090">
        <v>100</v>
      </c>
      <c r="K3090" t="s">
        <v>536</v>
      </c>
      <c r="L3090" t="s">
        <v>536</v>
      </c>
      <c r="M3090" t="s">
        <v>536</v>
      </c>
      <c r="N3090" t="s">
        <v>536</v>
      </c>
      <c r="O3090" t="s">
        <v>536</v>
      </c>
      <c r="P3090" t="s">
        <v>536</v>
      </c>
      <c r="Q3090" t="s">
        <v>536</v>
      </c>
      <c r="R3090" t="s">
        <v>14285</v>
      </c>
      <c r="S3090" t="s">
        <v>14286</v>
      </c>
      <c r="T3090" t="s">
        <v>13737</v>
      </c>
      <c r="U3090" t="s">
        <v>14287</v>
      </c>
    </row>
    <row r="3091" spans="1:21" x14ac:dyDescent="0.25">
      <c r="A3091" t="s">
        <v>14288</v>
      </c>
      <c r="B3091" t="s">
        <v>38</v>
      </c>
      <c r="C3091" t="s">
        <v>14289</v>
      </c>
      <c r="D3091">
        <f>48-774022640</f>
        <v>-774022592</v>
      </c>
      <c r="E3091" t="s">
        <v>14290</v>
      </c>
      <c r="F3091" t="s">
        <v>13649</v>
      </c>
      <c r="G3091" t="s">
        <v>13650</v>
      </c>
      <c r="H3091">
        <v>17.343129999999999</v>
      </c>
      <c r="I3091">
        <v>50.466270000000002</v>
      </c>
      <c r="J3091">
        <v>100</v>
      </c>
      <c r="K3091" t="s">
        <v>312</v>
      </c>
      <c r="L3091" t="s">
        <v>312</v>
      </c>
      <c r="M3091" t="s">
        <v>312</v>
      </c>
      <c r="N3091" t="s">
        <v>312</v>
      </c>
      <c r="O3091" t="s">
        <v>312</v>
      </c>
      <c r="P3091" t="s">
        <v>312</v>
      </c>
      <c r="Q3091" t="s">
        <v>428</v>
      </c>
      <c r="R3091" t="s">
        <v>14289</v>
      </c>
      <c r="S3091" t="s">
        <v>14291</v>
      </c>
      <c r="T3091" t="s">
        <v>13851</v>
      </c>
      <c r="U3091" t="s">
        <v>14292</v>
      </c>
    </row>
    <row r="3092" spans="1:21" x14ac:dyDescent="0.25">
      <c r="A3092" t="s">
        <v>14293</v>
      </c>
      <c r="B3092" t="s">
        <v>22</v>
      </c>
      <c r="C3092" t="s">
        <v>14294</v>
      </c>
      <c r="D3092">
        <f>48-225891340</f>
        <v>-225891292</v>
      </c>
      <c r="E3092" t="s">
        <v>13648</v>
      </c>
      <c r="F3092" t="s">
        <v>13649</v>
      </c>
      <c r="G3092" t="s">
        <v>13650</v>
      </c>
      <c r="H3092">
        <v>20.956084700900298</v>
      </c>
      <c r="I3092">
        <v>52.2121856935564</v>
      </c>
      <c r="J3092">
        <v>100</v>
      </c>
      <c r="K3092" t="s">
        <v>27</v>
      </c>
      <c r="L3092" t="s">
        <v>27</v>
      </c>
      <c r="M3092" t="s">
        <v>27</v>
      </c>
      <c r="N3092" t="s">
        <v>27</v>
      </c>
      <c r="O3092" t="s">
        <v>27</v>
      </c>
      <c r="P3092" t="s">
        <v>27</v>
      </c>
      <c r="Q3092" t="s">
        <v>45</v>
      </c>
      <c r="R3092" t="s">
        <v>14294</v>
      </c>
      <c r="S3092" t="s">
        <v>14295</v>
      </c>
      <c r="T3092" t="s">
        <v>13652</v>
      </c>
      <c r="U3092" t="s">
        <v>14296</v>
      </c>
    </row>
    <row r="3093" spans="1:21" x14ac:dyDescent="0.25">
      <c r="A3093" t="s">
        <v>14297</v>
      </c>
      <c r="B3093" t="s">
        <v>38</v>
      </c>
      <c r="C3093" t="s">
        <v>14298</v>
      </c>
      <c r="D3093">
        <f>48-587685140</f>
        <v>-587685092</v>
      </c>
      <c r="E3093" t="s">
        <v>14299</v>
      </c>
      <c r="F3093" t="s">
        <v>13649</v>
      </c>
      <c r="G3093" t="s">
        <v>13650</v>
      </c>
      <c r="H3093">
        <v>18.530482548723501</v>
      </c>
      <c r="I3093">
        <v>53.963826177727903</v>
      </c>
      <c r="J3093">
        <v>100</v>
      </c>
      <c r="K3093" t="s">
        <v>536</v>
      </c>
      <c r="L3093" t="s">
        <v>536</v>
      </c>
      <c r="M3093" t="s">
        <v>536</v>
      </c>
      <c r="N3093" t="s">
        <v>536</v>
      </c>
      <c r="O3093" t="s">
        <v>536</v>
      </c>
      <c r="P3093" t="s">
        <v>536</v>
      </c>
      <c r="Q3093" t="s">
        <v>45</v>
      </c>
      <c r="R3093" t="s">
        <v>14298</v>
      </c>
      <c r="S3093" t="s">
        <v>14300</v>
      </c>
      <c r="T3093" t="s">
        <v>13687</v>
      </c>
      <c r="U3093" t="s">
        <v>14301</v>
      </c>
    </row>
    <row r="3094" spans="1:21" x14ac:dyDescent="0.25">
      <c r="A3094" t="s">
        <v>14302</v>
      </c>
      <c r="B3094" t="s">
        <v>38</v>
      </c>
      <c r="C3094" t="s">
        <v>14303</v>
      </c>
      <c r="D3094">
        <f>48-468649440</f>
        <v>-468649392</v>
      </c>
      <c r="E3094" t="s">
        <v>14304</v>
      </c>
      <c r="F3094" t="s">
        <v>13649</v>
      </c>
      <c r="G3094" t="s">
        <v>13650</v>
      </c>
      <c r="H3094">
        <v>20.267143641525301</v>
      </c>
      <c r="I3094">
        <v>52.227635575453299</v>
      </c>
      <c r="J3094">
        <v>100</v>
      </c>
      <c r="K3094" t="s">
        <v>536</v>
      </c>
      <c r="L3094" t="s">
        <v>536</v>
      </c>
      <c r="M3094" t="s">
        <v>536</v>
      </c>
      <c r="N3094" t="s">
        <v>536</v>
      </c>
      <c r="O3094" t="s">
        <v>536</v>
      </c>
      <c r="P3094" t="s">
        <v>536</v>
      </c>
      <c r="Q3094" t="s">
        <v>45</v>
      </c>
      <c r="R3094" t="s">
        <v>14303</v>
      </c>
      <c r="S3094" t="s">
        <v>14305</v>
      </c>
      <c r="T3094" t="s">
        <v>13652</v>
      </c>
      <c r="U3094" t="s">
        <v>14306</v>
      </c>
    </row>
    <row r="3095" spans="1:21" x14ac:dyDescent="0.25">
      <c r="A3095" t="s">
        <v>14307</v>
      </c>
      <c r="B3095" t="s">
        <v>38</v>
      </c>
      <c r="C3095" t="s">
        <v>14308</v>
      </c>
      <c r="D3095">
        <f>48-767286470</f>
        <v>-767286422</v>
      </c>
      <c r="E3095" t="s">
        <v>13869</v>
      </c>
      <c r="F3095" t="s">
        <v>13649</v>
      </c>
      <c r="G3095" t="s">
        <v>13650</v>
      </c>
      <c r="H3095">
        <v>16.172619999999998</v>
      </c>
      <c r="I3095">
        <v>51.185389999999998</v>
      </c>
      <c r="J3095">
        <v>100</v>
      </c>
      <c r="K3095" t="s">
        <v>536</v>
      </c>
      <c r="L3095" t="s">
        <v>536</v>
      </c>
      <c r="M3095" t="s">
        <v>536</v>
      </c>
      <c r="N3095" t="s">
        <v>536</v>
      </c>
      <c r="O3095" t="s">
        <v>536</v>
      </c>
      <c r="P3095" t="s">
        <v>536</v>
      </c>
      <c r="Q3095" t="s">
        <v>45</v>
      </c>
      <c r="R3095" t="s">
        <v>14308</v>
      </c>
      <c r="S3095" t="s">
        <v>14309</v>
      </c>
      <c r="T3095" t="s">
        <v>13682</v>
      </c>
      <c r="U3095" t="s">
        <v>14310</v>
      </c>
    </row>
    <row r="3096" spans="1:21" x14ac:dyDescent="0.25">
      <c r="A3096" t="s">
        <v>14311</v>
      </c>
      <c r="B3096" t="s">
        <v>38</v>
      </c>
      <c r="C3096" t="s">
        <v>14312</v>
      </c>
      <c r="D3096">
        <f>48-242530040</f>
        <v>-242529992</v>
      </c>
      <c r="E3096" t="s">
        <v>14313</v>
      </c>
      <c r="F3096" t="s">
        <v>13649</v>
      </c>
      <c r="G3096" t="s">
        <v>13650</v>
      </c>
      <c r="H3096">
        <v>19.3748404303944</v>
      </c>
      <c r="I3096">
        <v>52.245065823019203</v>
      </c>
      <c r="J3096">
        <v>100</v>
      </c>
      <c r="K3096" t="s">
        <v>312</v>
      </c>
      <c r="L3096" t="s">
        <v>312</v>
      </c>
      <c r="M3096" t="s">
        <v>312</v>
      </c>
      <c r="N3096" t="s">
        <v>312</v>
      </c>
      <c r="O3096" t="s">
        <v>312</v>
      </c>
      <c r="P3096" t="s">
        <v>312</v>
      </c>
      <c r="Q3096" t="s">
        <v>45</v>
      </c>
      <c r="R3096" t="s">
        <v>14312</v>
      </c>
      <c r="S3096" t="s">
        <v>14314</v>
      </c>
      <c r="T3096" t="s">
        <v>13723</v>
      </c>
      <c r="U3096" t="s">
        <v>14315</v>
      </c>
    </row>
    <row r="3097" spans="1:21" x14ac:dyDescent="0.25">
      <c r="A3097" t="s">
        <v>14316</v>
      </c>
      <c r="B3097" t="s">
        <v>38</v>
      </c>
      <c r="C3097" t="s">
        <v>14317</v>
      </c>
      <c r="D3097">
        <f>48-224339540</f>
        <v>-224339492</v>
      </c>
      <c r="E3097" t="s">
        <v>14318</v>
      </c>
      <c r="F3097" t="s">
        <v>13649</v>
      </c>
      <c r="G3097" t="s">
        <v>13650</v>
      </c>
      <c r="H3097">
        <v>21.257686614990199</v>
      </c>
      <c r="I3097">
        <v>52.356371426567897</v>
      </c>
      <c r="J3097">
        <v>100</v>
      </c>
      <c r="K3097" t="s">
        <v>312</v>
      </c>
      <c r="L3097" t="s">
        <v>312</v>
      </c>
      <c r="M3097" t="s">
        <v>312</v>
      </c>
      <c r="N3097" t="s">
        <v>312</v>
      </c>
      <c r="O3097" t="s">
        <v>312</v>
      </c>
      <c r="P3097" t="s">
        <v>312</v>
      </c>
      <c r="Q3097" t="s">
        <v>45</v>
      </c>
      <c r="R3097" t="s">
        <v>14317</v>
      </c>
      <c r="S3097" t="s">
        <v>14319</v>
      </c>
      <c r="T3097" t="s">
        <v>13652</v>
      </c>
      <c r="U3097" t="s">
        <v>14320</v>
      </c>
    </row>
    <row r="3098" spans="1:21" x14ac:dyDescent="0.25">
      <c r="A3098" t="s">
        <v>14321</v>
      </c>
      <c r="B3098" t="s">
        <v>22</v>
      </c>
      <c r="C3098" t="s">
        <v>14322</v>
      </c>
      <c r="D3098">
        <f>48-583042340</f>
        <v>-583042292</v>
      </c>
      <c r="E3098" t="s">
        <v>13685</v>
      </c>
      <c r="F3098" t="s">
        <v>13649</v>
      </c>
      <c r="G3098" t="s">
        <v>13650</v>
      </c>
      <c r="H3098">
        <v>18.5944238174121</v>
      </c>
      <c r="I3098">
        <v>54.3514454531376</v>
      </c>
      <c r="J3098">
        <v>100</v>
      </c>
      <c r="K3098" t="s">
        <v>312</v>
      </c>
      <c r="L3098" t="s">
        <v>312</v>
      </c>
      <c r="M3098" t="s">
        <v>312</v>
      </c>
      <c r="N3098" t="s">
        <v>312</v>
      </c>
      <c r="O3098" t="s">
        <v>312</v>
      </c>
      <c r="P3098" t="s">
        <v>312</v>
      </c>
      <c r="Q3098" t="s">
        <v>45</v>
      </c>
      <c r="R3098" t="s">
        <v>14322</v>
      </c>
      <c r="S3098" t="s">
        <v>14323</v>
      </c>
      <c r="T3098" t="s">
        <v>13687</v>
      </c>
      <c r="U3098" t="s">
        <v>14324</v>
      </c>
    </row>
    <row r="3099" spans="1:21" x14ac:dyDescent="0.25">
      <c r="A3099" t="s">
        <v>14325</v>
      </c>
      <c r="B3099" t="s">
        <v>38</v>
      </c>
      <c r="C3099" t="s">
        <v>14326</v>
      </c>
      <c r="D3099">
        <f>48-177745240</f>
        <v>-177745192</v>
      </c>
      <c r="E3099" t="s">
        <v>14327</v>
      </c>
      <c r="F3099" t="s">
        <v>13649</v>
      </c>
      <c r="G3099" t="s">
        <v>13650</v>
      </c>
      <c r="H3099">
        <v>21.460712999999998</v>
      </c>
      <c r="I3099">
        <v>50.288471000000001</v>
      </c>
      <c r="J3099">
        <v>100</v>
      </c>
      <c r="K3099" t="s">
        <v>536</v>
      </c>
      <c r="L3099" t="s">
        <v>536</v>
      </c>
      <c r="M3099" t="s">
        <v>536</v>
      </c>
      <c r="N3099" t="s">
        <v>536</v>
      </c>
      <c r="O3099" t="s">
        <v>3543</v>
      </c>
      <c r="P3099" t="s">
        <v>3543</v>
      </c>
      <c r="Q3099" t="s">
        <v>535</v>
      </c>
      <c r="R3099" t="s">
        <v>14326</v>
      </c>
      <c r="S3099" t="s">
        <v>14328</v>
      </c>
      <c r="T3099" t="s">
        <v>13828</v>
      </c>
      <c r="U3099" t="s">
        <v>14329</v>
      </c>
    </row>
    <row r="3100" spans="1:21" x14ac:dyDescent="0.25">
      <c r="A3100" t="s">
        <v>14330</v>
      </c>
      <c r="B3100" t="s">
        <v>38</v>
      </c>
      <c r="C3100" t="s">
        <v>14331</v>
      </c>
      <c r="D3100">
        <f>48-327589540</f>
        <v>-327589492</v>
      </c>
      <c r="E3100" t="s">
        <v>14332</v>
      </c>
      <c r="F3100" t="s">
        <v>13649</v>
      </c>
      <c r="G3100" t="s">
        <v>13650</v>
      </c>
      <c r="H3100">
        <v>19.268789000000002</v>
      </c>
      <c r="I3100">
        <v>50.203259000000003</v>
      </c>
      <c r="J3100">
        <v>100</v>
      </c>
      <c r="K3100" t="s">
        <v>312</v>
      </c>
      <c r="L3100" t="s">
        <v>312</v>
      </c>
      <c r="M3100" t="s">
        <v>312</v>
      </c>
      <c r="N3100" t="s">
        <v>312</v>
      </c>
      <c r="O3100" t="s">
        <v>312</v>
      </c>
      <c r="P3100" t="s">
        <v>312</v>
      </c>
      <c r="Q3100" t="s">
        <v>45</v>
      </c>
      <c r="R3100" t="s">
        <v>14331</v>
      </c>
      <c r="S3100" t="s">
        <v>14333</v>
      </c>
      <c r="T3100" t="s">
        <v>13712</v>
      </c>
      <c r="U3100" t="s">
        <v>14334</v>
      </c>
    </row>
    <row r="3101" spans="1:21" x14ac:dyDescent="0.25">
      <c r="A3101" t="s">
        <v>14335</v>
      </c>
      <c r="B3101" t="s">
        <v>38</v>
      </c>
      <c r="C3101" t="s">
        <v>14336</v>
      </c>
      <c r="D3101">
        <f>48-447153540</f>
        <v>-447153492</v>
      </c>
      <c r="E3101" t="s">
        <v>14337</v>
      </c>
      <c r="F3101" t="s">
        <v>13649</v>
      </c>
      <c r="G3101" t="s">
        <v>13650</v>
      </c>
      <c r="H3101">
        <v>20.00759</v>
      </c>
      <c r="I3101">
        <v>51.534489999999998</v>
      </c>
      <c r="J3101">
        <v>100</v>
      </c>
      <c r="K3101" t="s">
        <v>312</v>
      </c>
      <c r="L3101" t="s">
        <v>312</v>
      </c>
      <c r="M3101" t="s">
        <v>312</v>
      </c>
      <c r="N3101" t="s">
        <v>312</v>
      </c>
      <c r="O3101" t="s">
        <v>312</v>
      </c>
      <c r="P3101" t="s">
        <v>312</v>
      </c>
      <c r="Q3101" t="s">
        <v>45</v>
      </c>
      <c r="R3101" t="s">
        <v>14336</v>
      </c>
      <c r="S3101" t="s">
        <v>14338</v>
      </c>
      <c r="T3101" t="s">
        <v>13652</v>
      </c>
      <c r="U3101" t="s">
        <v>14339</v>
      </c>
    </row>
    <row r="3102" spans="1:21" x14ac:dyDescent="0.25">
      <c r="A3102" t="s">
        <v>14340</v>
      </c>
      <c r="B3102" t="s">
        <v>22</v>
      </c>
      <c r="C3102" t="s">
        <v>14341</v>
      </c>
      <c r="D3102">
        <f>48-222739140</f>
        <v>-222739092</v>
      </c>
      <c r="E3102" t="s">
        <v>13648</v>
      </c>
      <c r="F3102" t="s">
        <v>13649</v>
      </c>
      <c r="G3102" t="s">
        <v>13650</v>
      </c>
      <c r="H3102">
        <v>20.966985198336801</v>
      </c>
      <c r="I3102">
        <v>52.318276151902303</v>
      </c>
      <c r="J3102">
        <v>100</v>
      </c>
      <c r="K3102" t="s">
        <v>27</v>
      </c>
      <c r="L3102" t="s">
        <v>27</v>
      </c>
      <c r="M3102" t="s">
        <v>27</v>
      </c>
      <c r="N3102" t="s">
        <v>27</v>
      </c>
      <c r="O3102" t="s">
        <v>27</v>
      </c>
      <c r="P3102" t="s">
        <v>27</v>
      </c>
      <c r="Q3102" t="s">
        <v>536</v>
      </c>
      <c r="R3102" t="s">
        <v>14341</v>
      </c>
      <c r="S3102" t="s">
        <v>14342</v>
      </c>
      <c r="T3102" t="s">
        <v>13652</v>
      </c>
      <c r="U3102" t="s">
        <v>14343</v>
      </c>
    </row>
    <row r="3103" spans="1:21" x14ac:dyDescent="0.25">
      <c r="A3103" t="s">
        <v>14344</v>
      </c>
      <c r="B3103" t="s">
        <v>22</v>
      </c>
      <c r="C3103" t="s">
        <v>14345</v>
      </c>
      <c r="D3103">
        <f>48-226117680</f>
        <v>-226117632</v>
      </c>
      <c r="E3103" t="s">
        <v>13648</v>
      </c>
      <c r="F3103" t="s">
        <v>13649</v>
      </c>
      <c r="G3103" t="s">
        <v>13650</v>
      </c>
      <c r="H3103">
        <v>21.10643</v>
      </c>
      <c r="I3103">
        <v>52.233319999999999</v>
      </c>
      <c r="J3103">
        <v>100</v>
      </c>
      <c r="K3103" t="s">
        <v>536</v>
      </c>
      <c r="L3103" t="s">
        <v>536</v>
      </c>
      <c r="M3103" t="s">
        <v>536</v>
      </c>
      <c r="N3103" t="s">
        <v>536</v>
      </c>
      <c r="O3103" t="s">
        <v>536</v>
      </c>
      <c r="P3103" t="s">
        <v>536</v>
      </c>
      <c r="Q3103" t="s">
        <v>45</v>
      </c>
      <c r="R3103" t="s">
        <v>14345</v>
      </c>
      <c r="S3103" t="s">
        <v>14346</v>
      </c>
      <c r="T3103" t="s">
        <v>13652</v>
      </c>
      <c r="U3103" t="s">
        <v>14347</v>
      </c>
    </row>
    <row r="3104" spans="1:21" x14ac:dyDescent="0.25">
      <c r="A3104" t="s">
        <v>14348</v>
      </c>
      <c r="B3104" t="s">
        <v>38</v>
      </c>
      <c r="C3104" t="s">
        <v>14349</v>
      </c>
      <c r="D3104">
        <f>48-222058160</f>
        <v>-222058112</v>
      </c>
      <c r="E3104" t="s">
        <v>13648</v>
      </c>
      <c r="F3104" t="s">
        <v>13649</v>
      </c>
      <c r="G3104" t="s">
        <v>13650</v>
      </c>
      <c r="H3104">
        <v>21.16865</v>
      </c>
      <c r="I3104">
        <v>52.2074</v>
      </c>
      <c r="J3104">
        <v>100</v>
      </c>
      <c r="K3104" t="s">
        <v>312</v>
      </c>
      <c r="L3104" t="s">
        <v>312</v>
      </c>
      <c r="M3104" t="s">
        <v>312</v>
      </c>
      <c r="N3104" t="s">
        <v>312</v>
      </c>
      <c r="O3104" t="s">
        <v>312</v>
      </c>
      <c r="P3104" t="s">
        <v>312</v>
      </c>
      <c r="Q3104" t="s">
        <v>45</v>
      </c>
      <c r="R3104" t="s">
        <v>14349</v>
      </c>
      <c r="S3104" t="s">
        <v>14350</v>
      </c>
      <c r="T3104" t="s">
        <v>13652</v>
      </c>
      <c r="U3104" t="s">
        <v>14351</v>
      </c>
    </row>
    <row r="3105" spans="1:21" x14ac:dyDescent="0.25">
      <c r="A3105" t="s">
        <v>14352</v>
      </c>
      <c r="B3105" t="s">
        <v>38</v>
      </c>
      <c r="C3105" t="s">
        <v>14353</v>
      </c>
      <c r="D3105">
        <f>48-227756240</f>
        <v>-227756192</v>
      </c>
      <c r="E3105" t="s">
        <v>14354</v>
      </c>
      <c r="F3105" t="s">
        <v>13649</v>
      </c>
      <c r="G3105" t="s">
        <v>13650</v>
      </c>
      <c r="H3105">
        <v>20.6979158249482</v>
      </c>
      <c r="I3105">
        <v>52.434542106322603</v>
      </c>
      <c r="J3105">
        <v>100</v>
      </c>
      <c r="K3105" t="s">
        <v>312</v>
      </c>
      <c r="L3105" t="s">
        <v>312</v>
      </c>
      <c r="M3105" t="s">
        <v>312</v>
      </c>
      <c r="N3105" t="s">
        <v>312</v>
      </c>
      <c r="O3105" t="s">
        <v>312</v>
      </c>
      <c r="P3105" t="s">
        <v>312</v>
      </c>
      <c r="Q3105" t="s">
        <v>45</v>
      </c>
      <c r="R3105" t="s">
        <v>14353</v>
      </c>
      <c r="S3105" t="s">
        <v>14355</v>
      </c>
      <c r="T3105" t="s">
        <v>13652</v>
      </c>
      <c r="U3105" t="s">
        <v>14356</v>
      </c>
    </row>
    <row r="3106" spans="1:21" x14ac:dyDescent="0.25">
      <c r="A3106" t="s">
        <v>14357</v>
      </c>
      <c r="B3106" t="s">
        <v>38</v>
      </c>
      <c r="C3106" t="s">
        <v>14358</v>
      </c>
      <c r="D3106">
        <f>48-153062340</f>
        <v>-153062292</v>
      </c>
      <c r="E3106" t="s">
        <v>14359</v>
      </c>
      <c r="F3106" t="s">
        <v>13649</v>
      </c>
      <c r="G3106" t="s">
        <v>13650</v>
      </c>
      <c r="H3106">
        <v>22.063862</v>
      </c>
      <c r="I3106">
        <v>50.587167999999998</v>
      </c>
      <c r="J3106">
        <v>100</v>
      </c>
      <c r="K3106" t="s">
        <v>536</v>
      </c>
      <c r="L3106" t="s">
        <v>536</v>
      </c>
      <c r="M3106" t="s">
        <v>536</v>
      </c>
      <c r="N3106" t="s">
        <v>536</v>
      </c>
      <c r="O3106" t="s">
        <v>536</v>
      </c>
      <c r="P3106" t="s">
        <v>536</v>
      </c>
      <c r="Q3106" t="s">
        <v>45</v>
      </c>
      <c r="R3106" t="s">
        <v>14358</v>
      </c>
      <c r="S3106" t="s">
        <v>14360</v>
      </c>
      <c r="T3106" t="s">
        <v>13828</v>
      </c>
      <c r="U3106" t="s">
        <v>14361</v>
      </c>
    </row>
    <row r="3107" spans="1:21" x14ac:dyDescent="0.25">
      <c r="A3107" t="s">
        <v>14362</v>
      </c>
      <c r="B3107" t="s">
        <v>22</v>
      </c>
      <c r="C3107" t="s">
        <v>14363</v>
      </c>
      <c r="D3107">
        <f>48-717812640</f>
        <v>-717812592</v>
      </c>
      <c r="E3107" t="s">
        <v>13680</v>
      </c>
      <c r="F3107" t="s">
        <v>13649</v>
      </c>
      <c r="G3107" t="s">
        <v>13650</v>
      </c>
      <c r="H3107">
        <v>16.958600000000001</v>
      </c>
      <c r="I3107">
        <v>51.048940000000002</v>
      </c>
      <c r="J3107">
        <v>100</v>
      </c>
      <c r="K3107" t="s">
        <v>536</v>
      </c>
      <c r="L3107" t="s">
        <v>536</v>
      </c>
      <c r="M3107" t="s">
        <v>536</v>
      </c>
      <c r="N3107" t="s">
        <v>536</v>
      </c>
      <c r="O3107" t="s">
        <v>536</v>
      </c>
      <c r="P3107" t="s">
        <v>536</v>
      </c>
      <c r="Q3107" t="s">
        <v>45</v>
      </c>
      <c r="R3107" t="s">
        <v>14363</v>
      </c>
      <c r="S3107" t="s">
        <v>14364</v>
      </c>
      <c r="T3107" t="s">
        <v>13682</v>
      </c>
      <c r="U3107" t="s">
        <v>14365</v>
      </c>
    </row>
    <row r="3108" spans="1:21" x14ac:dyDescent="0.25">
      <c r="A3108" t="s">
        <v>14366</v>
      </c>
      <c r="B3108" t="s">
        <v>38</v>
      </c>
      <c r="C3108" t="s">
        <v>14367</v>
      </c>
      <c r="D3108">
        <f>48-612261840</f>
        <v>-612261792</v>
      </c>
      <c r="E3108" t="s">
        <v>13664</v>
      </c>
      <c r="F3108" t="s">
        <v>13649</v>
      </c>
      <c r="G3108" t="s">
        <v>13650</v>
      </c>
      <c r="H3108">
        <v>16.841069999999998</v>
      </c>
      <c r="I3108">
        <v>52.35313</v>
      </c>
      <c r="J3108">
        <v>100</v>
      </c>
      <c r="K3108" t="s">
        <v>312</v>
      </c>
      <c r="L3108" t="s">
        <v>312</v>
      </c>
      <c r="M3108" t="s">
        <v>312</v>
      </c>
      <c r="N3108" t="s">
        <v>312</v>
      </c>
      <c r="O3108" t="s">
        <v>312</v>
      </c>
      <c r="P3108" t="s">
        <v>312</v>
      </c>
      <c r="Q3108" t="s">
        <v>192</v>
      </c>
      <c r="R3108" t="s">
        <v>14367</v>
      </c>
      <c r="S3108" t="s">
        <v>14368</v>
      </c>
      <c r="T3108" t="s">
        <v>13666</v>
      </c>
      <c r="U3108" t="s">
        <v>14369</v>
      </c>
    </row>
    <row r="3109" spans="1:21" x14ac:dyDescent="0.25">
      <c r="A3109" t="s">
        <v>14370</v>
      </c>
      <c r="B3109" t="s">
        <v>22</v>
      </c>
      <c r="C3109" t="s">
        <v>14371</v>
      </c>
      <c r="D3109">
        <f>48-814644440</f>
        <v>-814644392</v>
      </c>
      <c r="E3109" t="s">
        <v>13796</v>
      </c>
      <c r="F3109" t="s">
        <v>13649</v>
      </c>
      <c r="G3109" t="s">
        <v>13650</v>
      </c>
      <c r="H3109">
        <v>22.57704</v>
      </c>
      <c r="I3109">
        <v>51.249189999999999</v>
      </c>
      <c r="J3109">
        <v>100</v>
      </c>
      <c r="K3109" t="s">
        <v>312</v>
      </c>
      <c r="L3109" t="s">
        <v>312</v>
      </c>
      <c r="M3109" t="s">
        <v>312</v>
      </c>
      <c r="N3109" t="s">
        <v>312</v>
      </c>
      <c r="O3109" t="s">
        <v>312</v>
      </c>
      <c r="P3109" t="s">
        <v>312</v>
      </c>
      <c r="Q3109" t="s">
        <v>192</v>
      </c>
      <c r="R3109" t="s">
        <v>14371</v>
      </c>
      <c r="S3109" t="s">
        <v>14372</v>
      </c>
      <c r="T3109" t="s">
        <v>13798</v>
      </c>
      <c r="U3109" t="s">
        <v>14373</v>
      </c>
    </row>
    <row r="3110" spans="1:21" x14ac:dyDescent="0.25">
      <c r="A3110" t="s">
        <v>14374</v>
      </c>
      <c r="B3110" t="s">
        <v>38</v>
      </c>
      <c r="C3110" t="s">
        <v>14375</v>
      </c>
      <c r="D3110">
        <f>48-947112740</f>
        <v>-947112692</v>
      </c>
      <c r="E3110" t="s">
        <v>13889</v>
      </c>
      <c r="F3110" t="s">
        <v>13649</v>
      </c>
      <c r="G3110" t="s">
        <v>13650</v>
      </c>
      <c r="H3110">
        <v>16.1864172859832</v>
      </c>
      <c r="I3110">
        <v>54.207172809108499</v>
      </c>
      <c r="J3110">
        <v>100</v>
      </c>
      <c r="K3110" t="s">
        <v>312</v>
      </c>
      <c r="L3110" t="s">
        <v>312</v>
      </c>
      <c r="M3110" t="s">
        <v>312</v>
      </c>
      <c r="N3110" t="s">
        <v>312</v>
      </c>
      <c r="O3110" t="s">
        <v>312</v>
      </c>
      <c r="P3110" t="s">
        <v>312</v>
      </c>
      <c r="Q3110" t="s">
        <v>45</v>
      </c>
      <c r="R3110" t="s">
        <v>14375</v>
      </c>
      <c r="S3110" t="s">
        <v>14376</v>
      </c>
      <c r="T3110" t="s">
        <v>13676</v>
      </c>
      <c r="U3110" t="s">
        <v>14377</v>
      </c>
    </row>
    <row r="3111" spans="1:21" x14ac:dyDescent="0.25">
      <c r="A3111" t="s">
        <v>14378</v>
      </c>
      <c r="B3111" t="s">
        <v>38</v>
      </c>
      <c r="C3111" t="s">
        <v>14379</v>
      </c>
      <c r="D3111">
        <f>48-324759540</f>
        <v>-324759492</v>
      </c>
      <c r="E3111" t="s">
        <v>14380</v>
      </c>
      <c r="F3111" t="s">
        <v>13649</v>
      </c>
      <c r="G3111" t="s">
        <v>13650</v>
      </c>
      <c r="H3111">
        <v>18.594659</v>
      </c>
      <c r="I3111">
        <v>49.940086999999998</v>
      </c>
      <c r="J3111">
        <v>100</v>
      </c>
      <c r="K3111" t="s">
        <v>312</v>
      </c>
      <c r="L3111" t="s">
        <v>312</v>
      </c>
      <c r="M3111" t="s">
        <v>312</v>
      </c>
      <c r="N3111" t="s">
        <v>312</v>
      </c>
      <c r="O3111" t="s">
        <v>312</v>
      </c>
      <c r="P3111" t="s">
        <v>312</v>
      </c>
      <c r="Q3111" t="s">
        <v>45</v>
      </c>
      <c r="R3111" t="s">
        <v>14379</v>
      </c>
      <c r="S3111" t="s">
        <v>14381</v>
      </c>
      <c r="T3111" t="s">
        <v>13712</v>
      </c>
      <c r="U3111" t="s">
        <v>14382</v>
      </c>
    </row>
    <row r="3112" spans="1:21" x14ac:dyDescent="0.25">
      <c r="A3112" t="s">
        <v>14383</v>
      </c>
      <c r="B3112" t="s">
        <v>38</v>
      </c>
      <c r="C3112" t="s">
        <v>14384</v>
      </c>
      <c r="D3112">
        <f>48-552711240</f>
        <v>-552711192</v>
      </c>
      <c r="E3112" t="s">
        <v>14385</v>
      </c>
      <c r="F3112" t="s">
        <v>13649</v>
      </c>
      <c r="G3112" t="s">
        <v>13650</v>
      </c>
      <c r="H3112">
        <v>18.931705792004699</v>
      </c>
      <c r="I3112">
        <v>53.733975538004898</v>
      </c>
      <c r="J3112">
        <v>100</v>
      </c>
      <c r="K3112" t="s">
        <v>192</v>
      </c>
      <c r="L3112" t="s">
        <v>192</v>
      </c>
      <c r="M3112" t="s">
        <v>192</v>
      </c>
      <c r="N3112" t="s">
        <v>192</v>
      </c>
      <c r="O3112" t="s">
        <v>192</v>
      </c>
      <c r="P3112" t="s">
        <v>192</v>
      </c>
      <c r="Q3112" t="s">
        <v>553</v>
      </c>
      <c r="R3112" t="s">
        <v>14384</v>
      </c>
      <c r="S3112" t="s">
        <v>14386</v>
      </c>
      <c r="T3112" t="s">
        <v>13687</v>
      </c>
      <c r="U3112" t="s">
        <v>14387</v>
      </c>
    </row>
    <row r="3113" spans="1:21" x14ac:dyDescent="0.25">
      <c r="A3113" t="s">
        <v>14388</v>
      </c>
      <c r="B3113" t="s">
        <v>38</v>
      </c>
      <c r="C3113" t="s">
        <v>14389</v>
      </c>
      <c r="D3113">
        <f>48-334727440</f>
        <v>-334727392</v>
      </c>
      <c r="E3113" t="s">
        <v>14390</v>
      </c>
      <c r="F3113" t="s">
        <v>13649</v>
      </c>
      <c r="G3113" t="s">
        <v>13650</v>
      </c>
      <c r="H3113">
        <v>18.639724883424801</v>
      </c>
      <c r="I3113">
        <v>49.749720473781302</v>
      </c>
      <c r="J3113">
        <v>100</v>
      </c>
      <c r="K3113" t="s">
        <v>192</v>
      </c>
      <c r="L3113" t="s">
        <v>192</v>
      </c>
      <c r="M3113" t="s">
        <v>192</v>
      </c>
      <c r="N3113" t="s">
        <v>192</v>
      </c>
      <c r="O3113" t="s">
        <v>192</v>
      </c>
      <c r="P3113" t="s">
        <v>192</v>
      </c>
      <c r="Q3113" t="s">
        <v>553</v>
      </c>
      <c r="R3113" t="s">
        <v>14389</v>
      </c>
      <c r="S3113" t="s">
        <v>14391</v>
      </c>
      <c r="T3113" t="s">
        <v>13712</v>
      </c>
      <c r="U3113" t="s">
        <v>14392</v>
      </c>
    </row>
    <row r="3114" spans="1:21" x14ac:dyDescent="0.25">
      <c r="A3114" t="s">
        <v>14393</v>
      </c>
      <c r="B3114" t="s">
        <v>38</v>
      </c>
      <c r="C3114" t="s">
        <v>14394</v>
      </c>
      <c r="D3114">
        <f>48-583473140</f>
        <v>-583473092</v>
      </c>
      <c r="E3114" t="s">
        <v>13685</v>
      </c>
      <c r="F3114" t="s">
        <v>13649</v>
      </c>
      <c r="G3114" t="s">
        <v>13650</v>
      </c>
      <c r="H3114">
        <v>18.490969120389501</v>
      </c>
      <c r="I3114">
        <v>54.425692252080601</v>
      </c>
      <c r="J3114">
        <v>100</v>
      </c>
      <c r="K3114" t="s">
        <v>536</v>
      </c>
      <c r="L3114" t="s">
        <v>536</v>
      </c>
      <c r="M3114" t="s">
        <v>536</v>
      </c>
      <c r="N3114" t="s">
        <v>536</v>
      </c>
      <c r="O3114" t="s">
        <v>536</v>
      </c>
      <c r="P3114" t="s">
        <v>536</v>
      </c>
      <c r="Q3114" t="s">
        <v>45</v>
      </c>
      <c r="R3114" t="s">
        <v>14394</v>
      </c>
      <c r="S3114" t="s">
        <v>14395</v>
      </c>
      <c r="T3114" t="s">
        <v>13687</v>
      </c>
      <c r="U3114" t="s">
        <v>14396</v>
      </c>
    </row>
    <row r="3115" spans="1:21" x14ac:dyDescent="0.25">
      <c r="A3115" t="s">
        <v>14397</v>
      </c>
      <c r="B3115" t="s">
        <v>38</v>
      </c>
      <c r="C3115" t="s">
        <v>14398</v>
      </c>
      <c r="D3115">
        <f>48-222741940</f>
        <v>-222741892</v>
      </c>
      <c r="E3115" t="s">
        <v>14399</v>
      </c>
      <c r="F3115" t="s">
        <v>13649</v>
      </c>
      <c r="G3115" t="s">
        <v>13650</v>
      </c>
      <c r="H3115">
        <v>20.8118862</v>
      </c>
      <c r="I3115">
        <v>52.170472500000002</v>
      </c>
      <c r="J3115">
        <v>100</v>
      </c>
      <c r="K3115" t="s">
        <v>536</v>
      </c>
      <c r="L3115" t="s">
        <v>536</v>
      </c>
      <c r="M3115" t="s">
        <v>536</v>
      </c>
      <c r="N3115" t="s">
        <v>536</v>
      </c>
      <c r="O3115" t="s">
        <v>27</v>
      </c>
      <c r="P3115" t="s">
        <v>27</v>
      </c>
      <c r="Q3115" t="s">
        <v>27</v>
      </c>
      <c r="R3115" t="s">
        <v>14398</v>
      </c>
      <c r="S3115" t="s">
        <v>14400</v>
      </c>
      <c r="T3115" t="s">
        <v>13652</v>
      </c>
      <c r="U3115" t="s">
        <v>14401</v>
      </c>
    </row>
    <row r="3116" spans="1:21" x14ac:dyDescent="0.25">
      <c r="A3116" t="s">
        <v>14402</v>
      </c>
      <c r="B3116" t="s">
        <v>38</v>
      </c>
      <c r="C3116" t="s">
        <v>14403</v>
      </c>
      <c r="D3116">
        <f>48-746604041</f>
        <v>-746603993</v>
      </c>
      <c r="E3116" t="s">
        <v>14404</v>
      </c>
      <c r="F3116" t="s">
        <v>13649</v>
      </c>
      <c r="G3116" t="s">
        <v>13650</v>
      </c>
      <c r="H3116">
        <v>16.63815</v>
      </c>
      <c r="I3116">
        <v>50.452930000000002</v>
      </c>
      <c r="J3116">
        <v>100</v>
      </c>
      <c r="K3116" t="s">
        <v>312</v>
      </c>
      <c r="L3116" t="s">
        <v>312</v>
      </c>
      <c r="M3116" t="s">
        <v>312</v>
      </c>
      <c r="N3116" t="s">
        <v>312</v>
      </c>
      <c r="O3116" t="s">
        <v>312</v>
      </c>
      <c r="P3116" t="s">
        <v>312</v>
      </c>
      <c r="Q3116" t="s">
        <v>45</v>
      </c>
      <c r="R3116" t="s">
        <v>14403</v>
      </c>
      <c r="S3116" t="s">
        <v>14405</v>
      </c>
      <c r="T3116" t="s">
        <v>13682</v>
      </c>
      <c r="U3116" t="s">
        <v>14406</v>
      </c>
    </row>
    <row r="3117" spans="1:21" x14ac:dyDescent="0.25">
      <c r="A3117" t="s">
        <v>14407</v>
      </c>
      <c r="B3117" t="s">
        <v>38</v>
      </c>
      <c r="C3117" t="s">
        <v>14408</v>
      </c>
      <c r="D3117">
        <f>48-327369140</f>
        <v>-327369092</v>
      </c>
      <c r="E3117" t="s">
        <v>14409</v>
      </c>
      <c r="F3117" t="s">
        <v>13649</v>
      </c>
      <c r="G3117" t="s">
        <v>13650</v>
      </c>
      <c r="H3117">
        <v>19.117584999999998</v>
      </c>
      <c r="I3117">
        <v>50.250044000000003</v>
      </c>
      <c r="J3117">
        <v>100</v>
      </c>
      <c r="K3117" t="s">
        <v>312</v>
      </c>
      <c r="L3117" t="s">
        <v>312</v>
      </c>
      <c r="M3117" t="s">
        <v>312</v>
      </c>
      <c r="N3117" t="s">
        <v>312</v>
      </c>
      <c r="O3117" t="s">
        <v>312</v>
      </c>
      <c r="P3117" t="s">
        <v>312</v>
      </c>
      <c r="Q3117" t="s">
        <v>45</v>
      </c>
      <c r="R3117" t="s">
        <v>14408</v>
      </c>
      <c r="S3117" t="s">
        <v>14410</v>
      </c>
      <c r="T3117" t="s">
        <v>13712</v>
      </c>
      <c r="U3117" t="s">
        <v>14411</v>
      </c>
    </row>
    <row r="3118" spans="1:21" x14ac:dyDescent="0.25">
      <c r="A3118" t="s">
        <v>14412</v>
      </c>
      <c r="B3118" t="s">
        <v>22</v>
      </c>
      <c r="C3118" t="s">
        <v>14413</v>
      </c>
      <c r="D3118">
        <f>48-222704440</f>
        <v>-222704392</v>
      </c>
      <c r="E3118" t="s">
        <v>13648</v>
      </c>
      <c r="F3118" t="s">
        <v>13649</v>
      </c>
      <c r="G3118" t="s">
        <v>13650</v>
      </c>
      <c r="H3118">
        <v>20.931974</v>
      </c>
      <c r="I3118">
        <v>52.296880000000002</v>
      </c>
      <c r="J3118">
        <v>100</v>
      </c>
      <c r="K3118" t="s">
        <v>27</v>
      </c>
      <c r="L3118" t="s">
        <v>27</v>
      </c>
      <c r="M3118" t="s">
        <v>27</v>
      </c>
      <c r="N3118" t="s">
        <v>27</v>
      </c>
      <c r="O3118" t="s">
        <v>27</v>
      </c>
      <c r="P3118" t="s">
        <v>27</v>
      </c>
      <c r="Q3118" t="s">
        <v>536</v>
      </c>
      <c r="R3118" t="s">
        <v>14413</v>
      </c>
      <c r="S3118" t="s">
        <v>14414</v>
      </c>
      <c r="T3118" t="s">
        <v>13652</v>
      </c>
      <c r="U3118" t="s">
        <v>14415</v>
      </c>
    </row>
    <row r="3119" spans="1:21" x14ac:dyDescent="0.25">
      <c r="A3119" t="s">
        <v>14416</v>
      </c>
      <c r="B3119" t="s">
        <v>22</v>
      </c>
      <c r="C3119" t="s">
        <v>14417</v>
      </c>
      <c r="D3119">
        <f>48-717483140</f>
        <v>-717483092</v>
      </c>
      <c r="E3119" t="s">
        <v>13680</v>
      </c>
      <c r="F3119" t="s">
        <v>13649</v>
      </c>
      <c r="G3119" t="s">
        <v>13650</v>
      </c>
      <c r="H3119">
        <v>17.03633</v>
      </c>
      <c r="I3119">
        <v>51.096339999999998</v>
      </c>
      <c r="J3119">
        <v>100</v>
      </c>
      <c r="K3119" t="s">
        <v>312</v>
      </c>
      <c r="L3119" t="s">
        <v>312</v>
      </c>
      <c r="M3119" t="s">
        <v>312</v>
      </c>
      <c r="N3119" t="s">
        <v>312</v>
      </c>
      <c r="O3119" t="s">
        <v>312</v>
      </c>
      <c r="P3119" t="s">
        <v>312</v>
      </c>
      <c r="Q3119" t="s">
        <v>312</v>
      </c>
      <c r="R3119" t="s">
        <v>14417</v>
      </c>
      <c r="S3119" t="s">
        <v>14418</v>
      </c>
      <c r="T3119" t="s">
        <v>13682</v>
      </c>
      <c r="U3119" t="s">
        <v>14419</v>
      </c>
    </row>
    <row r="3120" spans="1:21" x14ac:dyDescent="0.25">
      <c r="A3120" t="s">
        <v>14420</v>
      </c>
      <c r="B3120" t="s">
        <v>38</v>
      </c>
      <c r="C3120" t="s">
        <v>14421</v>
      </c>
      <c r="D3120">
        <f>48-327339840</f>
        <v>-327339792</v>
      </c>
      <c r="E3120" t="s">
        <v>14422</v>
      </c>
      <c r="F3120" t="s">
        <v>13649</v>
      </c>
      <c r="G3120" t="s">
        <v>13650</v>
      </c>
      <c r="H3120">
        <v>19.009081999999999</v>
      </c>
      <c r="I3120">
        <v>50.096601</v>
      </c>
      <c r="J3120">
        <v>100</v>
      </c>
      <c r="K3120" t="s">
        <v>312</v>
      </c>
      <c r="L3120" t="s">
        <v>312</v>
      </c>
      <c r="M3120" t="s">
        <v>312</v>
      </c>
      <c r="N3120" t="s">
        <v>312</v>
      </c>
      <c r="O3120" t="s">
        <v>312</v>
      </c>
      <c r="P3120" t="s">
        <v>312</v>
      </c>
      <c r="Q3120" t="s">
        <v>192</v>
      </c>
      <c r="R3120" t="s">
        <v>14421</v>
      </c>
      <c r="S3120" t="s">
        <v>14423</v>
      </c>
      <c r="T3120" t="s">
        <v>13712</v>
      </c>
      <c r="U3120" t="s">
        <v>14424</v>
      </c>
    </row>
    <row r="3121" spans="1:21" x14ac:dyDescent="0.25">
      <c r="A3121" t="s">
        <v>14425</v>
      </c>
      <c r="B3121" t="s">
        <v>38</v>
      </c>
      <c r="C3121" t="s">
        <v>14426</v>
      </c>
      <c r="D3121">
        <f>48-684543740</f>
        <v>-684543692</v>
      </c>
      <c r="E3121" t="s">
        <v>13907</v>
      </c>
      <c r="F3121" t="s">
        <v>13649</v>
      </c>
      <c r="G3121" t="s">
        <v>13650</v>
      </c>
      <c r="H3121">
        <v>15.495749999999999</v>
      </c>
      <c r="I3121">
        <v>51.949689999999997</v>
      </c>
      <c r="J3121">
        <v>100</v>
      </c>
      <c r="K3121" t="s">
        <v>312</v>
      </c>
      <c r="L3121" t="s">
        <v>312</v>
      </c>
      <c r="M3121" t="s">
        <v>312</v>
      </c>
      <c r="N3121" t="s">
        <v>312</v>
      </c>
      <c r="O3121" t="s">
        <v>312</v>
      </c>
      <c r="P3121" t="s">
        <v>312</v>
      </c>
      <c r="Q3121" t="s">
        <v>428</v>
      </c>
      <c r="R3121" t="s">
        <v>14426</v>
      </c>
      <c r="S3121" t="s">
        <v>14427</v>
      </c>
      <c r="T3121" t="s">
        <v>13909</v>
      </c>
      <c r="U3121" t="s">
        <v>14428</v>
      </c>
    </row>
    <row r="3122" spans="1:21" x14ac:dyDescent="0.25">
      <c r="A3122" t="s">
        <v>14429</v>
      </c>
      <c r="B3122" t="s">
        <v>38</v>
      </c>
      <c r="C3122" t="s">
        <v>14430</v>
      </c>
      <c r="D3122">
        <f>48-134334640</f>
        <v>-134334592</v>
      </c>
      <c r="E3122" t="s">
        <v>14431</v>
      </c>
      <c r="F3122" t="s">
        <v>13649</v>
      </c>
      <c r="G3122" t="s">
        <v>13650</v>
      </c>
      <c r="H3122">
        <v>21.775739999999999</v>
      </c>
      <c r="I3122">
        <v>49.676416000000003</v>
      </c>
      <c r="J3122">
        <v>100</v>
      </c>
      <c r="K3122" t="s">
        <v>312</v>
      </c>
      <c r="L3122" t="s">
        <v>312</v>
      </c>
      <c r="M3122" t="s">
        <v>312</v>
      </c>
      <c r="N3122" t="s">
        <v>312</v>
      </c>
      <c r="O3122" t="s">
        <v>312</v>
      </c>
      <c r="P3122" t="s">
        <v>312</v>
      </c>
      <c r="Q3122" t="s">
        <v>45</v>
      </c>
      <c r="R3122" t="s">
        <v>14430</v>
      </c>
      <c r="S3122" t="s">
        <v>14432</v>
      </c>
      <c r="T3122" t="s">
        <v>13828</v>
      </c>
      <c r="U3122" t="s">
        <v>14433</v>
      </c>
    </row>
    <row r="3123" spans="1:21" x14ac:dyDescent="0.25">
      <c r="A3123" t="s">
        <v>14434</v>
      </c>
      <c r="B3123" t="s">
        <v>38</v>
      </c>
      <c r="C3123" t="s">
        <v>14435</v>
      </c>
      <c r="D3123">
        <f>48-957372840</f>
        <v>-957372792</v>
      </c>
      <c r="E3123" t="s">
        <v>13966</v>
      </c>
      <c r="F3123" t="s">
        <v>13649</v>
      </c>
      <c r="G3123" t="s">
        <v>13650</v>
      </c>
      <c r="H3123">
        <v>15.226089999999999</v>
      </c>
      <c r="I3123">
        <v>52.731009999999998</v>
      </c>
      <c r="J3123">
        <v>100</v>
      </c>
      <c r="K3123" t="s">
        <v>312</v>
      </c>
      <c r="L3123" t="s">
        <v>312</v>
      </c>
      <c r="M3123" t="s">
        <v>312</v>
      </c>
      <c r="N3123" t="s">
        <v>312</v>
      </c>
      <c r="O3123" t="s">
        <v>312</v>
      </c>
      <c r="P3123" t="s">
        <v>312</v>
      </c>
      <c r="Q3123" t="s">
        <v>45</v>
      </c>
      <c r="R3123" t="s">
        <v>14435</v>
      </c>
      <c r="S3123" t="s">
        <v>14436</v>
      </c>
      <c r="T3123" t="s">
        <v>13909</v>
      </c>
      <c r="U3123" t="s">
        <v>14437</v>
      </c>
    </row>
    <row r="3124" spans="1:21" x14ac:dyDescent="0.25">
      <c r="A3124" t="s">
        <v>14438</v>
      </c>
      <c r="B3124" t="s">
        <v>38</v>
      </c>
      <c r="C3124" t="s">
        <v>14439</v>
      </c>
      <c r="D3124">
        <f>48-122908840</f>
        <v>-122908792</v>
      </c>
      <c r="E3124" t="s">
        <v>13704</v>
      </c>
      <c r="F3124" t="s">
        <v>13649</v>
      </c>
      <c r="G3124" t="s">
        <v>13650</v>
      </c>
      <c r="H3124">
        <v>19.924771</v>
      </c>
      <c r="I3124">
        <v>50.032249999999998</v>
      </c>
      <c r="J3124">
        <v>100</v>
      </c>
      <c r="K3124" t="s">
        <v>45</v>
      </c>
      <c r="L3124" t="s">
        <v>45</v>
      </c>
      <c r="M3124" t="s">
        <v>45</v>
      </c>
      <c r="N3124" t="s">
        <v>45</v>
      </c>
      <c r="O3124" t="s">
        <v>45</v>
      </c>
      <c r="P3124" t="s">
        <v>45</v>
      </c>
      <c r="Q3124" t="s">
        <v>45</v>
      </c>
      <c r="R3124" t="s">
        <v>14439</v>
      </c>
      <c r="S3124" t="s">
        <v>14440</v>
      </c>
      <c r="T3124" t="s">
        <v>13706</v>
      </c>
      <c r="U3124" t="s">
        <v>14441</v>
      </c>
    </row>
    <row r="3125" spans="1:21" x14ac:dyDescent="0.25">
      <c r="A3125" t="s">
        <v>14442</v>
      </c>
      <c r="B3125" t="s">
        <v>38</v>
      </c>
      <c r="C3125" t="s">
        <v>14443</v>
      </c>
      <c r="D3125">
        <f>48-323914640</f>
        <v>-323914592</v>
      </c>
      <c r="E3125" t="s">
        <v>14444</v>
      </c>
      <c r="F3125" t="s">
        <v>13649</v>
      </c>
      <c r="G3125" t="s">
        <v>13650</v>
      </c>
      <c r="H3125">
        <v>18.832003</v>
      </c>
      <c r="I3125">
        <v>50.454706999999999</v>
      </c>
      <c r="J3125">
        <v>100</v>
      </c>
      <c r="K3125" t="s">
        <v>312</v>
      </c>
      <c r="L3125" t="s">
        <v>312</v>
      </c>
      <c r="M3125" t="s">
        <v>312</v>
      </c>
      <c r="N3125" t="s">
        <v>312</v>
      </c>
      <c r="O3125" t="s">
        <v>312</v>
      </c>
      <c r="P3125" t="s">
        <v>312</v>
      </c>
      <c r="Q3125" t="s">
        <v>45</v>
      </c>
      <c r="R3125" t="s">
        <v>14443</v>
      </c>
      <c r="S3125" t="s">
        <v>14445</v>
      </c>
      <c r="T3125" t="s">
        <v>13712</v>
      </c>
      <c r="U3125" t="s">
        <v>14446</v>
      </c>
    </row>
    <row r="3126" spans="1:21" x14ac:dyDescent="0.25">
      <c r="A3126" t="s">
        <v>14447</v>
      </c>
      <c r="B3126" t="s">
        <v>38</v>
      </c>
      <c r="C3126" t="s">
        <v>14448</v>
      </c>
      <c r="D3126">
        <f>48-324610540</f>
        <v>-324610492</v>
      </c>
      <c r="E3126" t="s">
        <v>13782</v>
      </c>
      <c r="F3126" t="s">
        <v>13649</v>
      </c>
      <c r="G3126" t="s">
        <v>13650</v>
      </c>
      <c r="H3126">
        <v>18.560825000000001</v>
      </c>
      <c r="I3126">
        <v>50.093440000000001</v>
      </c>
      <c r="J3126">
        <v>100</v>
      </c>
      <c r="K3126" t="s">
        <v>312</v>
      </c>
      <c r="L3126" t="s">
        <v>312</v>
      </c>
      <c r="M3126" t="s">
        <v>312</v>
      </c>
      <c r="N3126" t="s">
        <v>312</v>
      </c>
      <c r="O3126" t="s">
        <v>312</v>
      </c>
      <c r="P3126" t="s">
        <v>312</v>
      </c>
      <c r="Q3126" t="s">
        <v>428</v>
      </c>
      <c r="R3126" t="s">
        <v>14448</v>
      </c>
      <c r="T3126" t="s">
        <v>13712</v>
      </c>
      <c r="U3126" t="s">
        <v>14449</v>
      </c>
    </row>
    <row r="3127" spans="1:21" x14ac:dyDescent="0.25">
      <c r="A3127" t="s">
        <v>14450</v>
      </c>
      <c r="B3127" t="s">
        <v>38</v>
      </c>
      <c r="C3127" t="s">
        <v>14451</v>
      </c>
      <c r="D3127">
        <f>48-746465440</f>
        <v>-746465392</v>
      </c>
      <c r="E3127" t="s">
        <v>13952</v>
      </c>
      <c r="F3127" t="s">
        <v>13649</v>
      </c>
      <c r="G3127" t="s">
        <v>13650</v>
      </c>
      <c r="H3127">
        <v>16.268540000000002</v>
      </c>
      <c r="I3127">
        <v>50.815559999999998</v>
      </c>
      <c r="J3127">
        <v>100</v>
      </c>
      <c r="K3127" t="s">
        <v>312</v>
      </c>
      <c r="L3127" t="s">
        <v>312</v>
      </c>
      <c r="M3127" t="s">
        <v>312</v>
      </c>
      <c r="N3127" t="s">
        <v>312</v>
      </c>
      <c r="O3127" t="s">
        <v>312</v>
      </c>
      <c r="P3127" t="s">
        <v>312</v>
      </c>
      <c r="Q3127" t="s">
        <v>428</v>
      </c>
      <c r="R3127" t="s">
        <v>14451</v>
      </c>
      <c r="S3127" t="s">
        <v>14452</v>
      </c>
      <c r="T3127" t="s">
        <v>13682</v>
      </c>
      <c r="U3127" t="s">
        <v>14453</v>
      </c>
    </row>
    <row r="3128" spans="1:21" x14ac:dyDescent="0.25">
      <c r="A3128" t="s">
        <v>14454</v>
      </c>
      <c r="B3128" t="s">
        <v>38</v>
      </c>
      <c r="C3128" t="s">
        <v>14455</v>
      </c>
      <c r="D3128">
        <f>48-767544540</f>
        <v>-767544492</v>
      </c>
      <c r="E3128" t="s">
        <v>14456</v>
      </c>
      <c r="F3128" t="s">
        <v>13649</v>
      </c>
      <c r="G3128" t="s">
        <v>13650</v>
      </c>
      <c r="H3128">
        <v>16.09656</v>
      </c>
      <c r="I3128">
        <v>51.64526</v>
      </c>
      <c r="J3128">
        <v>100</v>
      </c>
      <c r="K3128" t="s">
        <v>312</v>
      </c>
      <c r="L3128" t="s">
        <v>312</v>
      </c>
      <c r="M3128" t="s">
        <v>312</v>
      </c>
      <c r="N3128" t="s">
        <v>312</v>
      </c>
      <c r="O3128" t="s">
        <v>312</v>
      </c>
      <c r="P3128" t="s">
        <v>312</v>
      </c>
      <c r="Q3128" t="s">
        <v>45</v>
      </c>
      <c r="R3128" t="s">
        <v>14455</v>
      </c>
      <c r="S3128" t="s">
        <v>14457</v>
      </c>
      <c r="T3128" t="s">
        <v>13682</v>
      </c>
      <c r="U3128" t="s">
        <v>14458</v>
      </c>
    </row>
    <row r="3129" spans="1:21" x14ac:dyDescent="0.25">
      <c r="A3129" t="s">
        <v>14459</v>
      </c>
      <c r="B3129" t="s">
        <v>38</v>
      </c>
      <c r="C3129" t="s">
        <v>14460</v>
      </c>
      <c r="D3129">
        <f>48-327323940</f>
        <v>-327323892</v>
      </c>
      <c r="E3129" t="s">
        <v>13716</v>
      </c>
      <c r="F3129" t="s">
        <v>13649</v>
      </c>
      <c r="G3129" t="s">
        <v>13650</v>
      </c>
      <c r="H3129">
        <v>18.988032</v>
      </c>
      <c r="I3129">
        <v>50.222650000000002</v>
      </c>
      <c r="J3129">
        <v>100</v>
      </c>
      <c r="K3129" t="s">
        <v>312</v>
      </c>
      <c r="L3129" t="s">
        <v>312</v>
      </c>
      <c r="M3129" t="s">
        <v>312</v>
      </c>
      <c r="N3129" t="s">
        <v>312</v>
      </c>
      <c r="O3129" t="s">
        <v>312</v>
      </c>
      <c r="P3129" t="s">
        <v>312</v>
      </c>
      <c r="Q3129" t="s">
        <v>45</v>
      </c>
      <c r="R3129" t="s">
        <v>14460</v>
      </c>
      <c r="T3129" t="s">
        <v>13712</v>
      </c>
      <c r="U3129" t="s">
        <v>14461</v>
      </c>
    </row>
    <row r="3130" spans="1:21" x14ac:dyDescent="0.25">
      <c r="A3130" t="s">
        <v>14462</v>
      </c>
      <c r="B3130" t="s">
        <v>22</v>
      </c>
      <c r="C3130" t="s">
        <v>14463</v>
      </c>
      <c r="D3130">
        <f>48-222762140</f>
        <v>-222762092</v>
      </c>
      <c r="E3130" t="s">
        <v>13648</v>
      </c>
      <c r="F3130" t="s">
        <v>13649</v>
      </c>
      <c r="G3130" t="s">
        <v>13650</v>
      </c>
      <c r="H3130">
        <v>21.0539053</v>
      </c>
      <c r="I3130">
        <v>52.300626000000001</v>
      </c>
      <c r="J3130">
        <v>100</v>
      </c>
      <c r="K3130" t="s">
        <v>536</v>
      </c>
      <c r="L3130" t="s">
        <v>536</v>
      </c>
      <c r="M3130" t="s">
        <v>536</v>
      </c>
      <c r="N3130" t="s">
        <v>536</v>
      </c>
      <c r="O3130" t="s">
        <v>536</v>
      </c>
      <c r="P3130" t="s">
        <v>536</v>
      </c>
      <c r="Q3130" t="s">
        <v>45</v>
      </c>
      <c r="R3130" t="s">
        <v>14463</v>
      </c>
      <c r="S3130" t="s">
        <v>14464</v>
      </c>
      <c r="T3130" t="s">
        <v>13652</v>
      </c>
      <c r="U3130" t="s">
        <v>14465</v>
      </c>
    </row>
    <row r="3131" spans="1:21" x14ac:dyDescent="0.25">
      <c r="A3131" t="s">
        <v>14466</v>
      </c>
      <c r="B3131" t="s">
        <v>38</v>
      </c>
      <c r="C3131" t="s">
        <v>14467</v>
      </c>
      <c r="E3131" t="s">
        <v>14468</v>
      </c>
      <c r="F3131" t="s">
        <v>13649</v>
      </c>
      <c r="G3131" t="s">
        <v>13650</v>
      </c>
      <c r="H3131">
        <v>17.286911</v>
      </c>
      <c r="I3131">
        <v>50.945594</v>
      </c>
      <c r="J3131">
        <v>100</v>
      </c>
      <c r="K3131" t="s">
        <v>536</v>
      </c>
      <c r="L3131" t="s">
        <v>536</v>
      </c>
      <c r="M3131" t="s">
        <v>536</v>
      </c>
      <c r="N3131" t="s">
        <v>536</v>
      </c>
      <c r="O3131" t="s">
        <v>536</v>
      </c>
      <c r="P3131" t="s">
        <v>536</v>
      </c>
      <c r="Q3131" t="s">
        <v>45</v>
      </c>
      <c r="R3131" t="s">
        <v>14467</v>
      </c>
      <c r="T3131" t="s">
        <v>13682</v>
      </c>
      <c r="U3131" t="s">
        <v>14469</v>
      </c>
    </row>
    <row r="3132" spans="1:21" x14ac:dyDescent="0.25">
      <c r="A3132" t="s">
        <v>14470</v>
      </c>
      <c r="B3132" t="s">
        <v>22</v>
      </c>
      <c r="C3132" t="s">
        <v>14471</v>
      </c>
      <c r="D3132">
        <f>1-855-466-7467</f>
        <v>-8787</v>
      </c>
      <c r="E3132" t="s">
        <v>14472</v>
      </c>
      <c r="F3132" t="s">
        <v>14473</v>
      </c>
      <c r="G3132" t="s">
        <v>14474</v>
      </c>
      <c r="H3132">
        <v>-66.025397975585804</v>
      </c>
      <c r="I3132">
        <v>18.412389730917301</v>
      </c>
      <c r="J3132">
        <v>50</v>
      </c>
      <c r="K3132" t="s">
        <v>717</v>
      </c>
      <c r="L3132" t="s">
        <v>717</v>
      </c>
      <c r="M3132" t="s">
        <v>717</v>
      </c>
      <c r="N3132" t="s">
        <v>717</v>
      </c>
      <c r="O3132" t="s">
        <v>717</v>
      </c>
      <c r="P3132" t="s">
        <v>717</v>
      </c>
      <c r="Q3132" t="s">
        <v>717</v>
      </c>
      <c r="R3132" t="s">
        <v>14471</v>
      </c>
      <c r="S3132" t="s">
        <v>14475</v>
      </c>
      <c r="U3132" t="s">
        <v>14476</v>
      </c>
    </row>
    <row r="3133" spans="1:21" x14ac:dyDescent="0.25">
      <c r="A3133" t="s">
        <v>14477</v>
      </c>
      <c r="B3133" t="s">
        <v>22</v>
      </c>
      <c r="C3133" t="s">
        <v>14478</v>
      </c>
      <c r="D3133">
        <f>1-855-466-7467</f>
        <v>-8787</v>
      </c>
      <c r="E3133" t="s">
        <v>14479</v>
      </c>
      <c r="F3133" t="s">
        <v>14473</v>
      </c>
      <c r="G3133" t="s">
        <v>14474</v>
      </c>
      <c r="H3133">
        <v>-66.162964947143493</v>
      </c>
      <c r="I3133">
        <v>18.405893159838001</v>
      </c>
      <c r="J3133">
        <v>50</v>
      </c>
      <c r="K3133" t="s">
        <v>535</v>
      </c>
      <c r="L3133" t="s">
        <v>535</v>
      </c>
      <c r="M3133" t="s">
        <v>535</v>
      </c>
      <c r="N3133" t="s">
        <v>535</v>
      </c>
      <c r="O3133" t="s">
        <v>165</v>
      </c>
      <c r="P3133" t="s">
        <v>165</v>
      </c>
      <c r="Q3133" t="s">
        <v>717</v>
      </c>
      <c r="R3133" t="s">
        <v>14478</v>
      </c>
      <c r="S3133" t="s">
        <v>14480</v>
      </c>
      <c r="U3133" t="s">
        <v>14481</v>
      </c>
    </row>
    <row r="3134" spans="1:21" x14ac:dyDescent="0.25">
      <c r="A3134" t="s">
        <v>14482</v>
      </c>
      <c r="B3134" t="s">
        <v>32</v>
      </c>
      <c r="C3134" t="s">
        <v>14483</v>
      </c>
      <c r="D3134">
        <f t="shared" ref="D3134:D3161" si="82">351-800780330</f>
        <v>-800779979</v>
      </c>
      <c r="E3134" t="s">
        <v>14484</v>
      </c>
      <c r="F3134" t="s">
        <v>14485</v>
      </c>
      <c r="G3134" t="s">
        <v>14486</v>
      </c>
      <c r="H3134">
        <v>-9.1396479569925795</v>
      </c>
      <c r="I3134">
        <v>38.711662938701998</v>
      </c>
      <c r="J3134">
        <v>85</v>
      </c>
      <c r="K3134" t="s">
        <v>536</v>
      </c>
      <c r="L3134" t="s">
        <v>536</v>
      </c>
      <c r="M3134" t="s">
        <v>536</v>
      </c>
      <c r="N3134" t="s">
        <v>536</v>
      </c>
      <c r="O3134" t="s">
        <v>536</v>
      </c>
      <c r="P3134" t="s">
        <v>536</v>
      </c>
      <c r="Q3134" t="s">
        <v>45</v>
      </c>
      <c r="R3134" t="s">
        <v>14483</v>
      </c>
      <c r="T3134" t="s">
        <v>14487</v>
      </c>
      <c r="U3134" t="s">
        <v>14488</v>
      </c>
    </row>
    <row r="3135" spans="1:21" x14ac:dyDescent="0.25">
      <c r="A3135" t="s">
        <v>14489</v>
      </c>
      <c r="B3135" t="s">
        <v>22</v>
      </c>
      <c r="C3135" t="s">
        <v>14490</v>
      </c>
      <c r="D3135">
        <f t="shared" si="82"/>
        <v>-800779979</v>
      </c>
      <c r="E3135" t="s">
        <v>14491</v>
      </c>
      <c r="F3135" t="s">
        <v>14485</v>
      </c>
      <c r="G3135" t="s">
        <v>14486</v>
      </c>
      <c r="H3135">
        <v>-8.9430427551269496</v>
      </c>
      <c r="I3135">
        <v>38.695558821602503</v>
      </c>
      <c r="J3135">
        <v>85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  <c r="Q3135" t="s">
        <v>34</v>
      </c>
      <c r="R3135" t="s">
        <v>14492</v>
      </c>
      <c r="T3135" t="s">
        <v>14491</v>
      </c>
      <c r="U3135" t="s">
        <v>14493</v>
      </c>
    </row>
    <row r="3136" spans="1:21" x14ac:dyDescent="0.25">
      <c r="A3136" t="s">
        <v>14494</v>
      </c>
      <c r="B3136" t="s">
        <v>22</v>
      </c>
      <c r="C3136" t="s">
        <v>14495</v>
      </c>
      <c r="D3136">
        <f t="shared" si="82"/>
        <v>-800779979</v>
      </c>
      <c r="E3136" t="s">
        <v>14484</v>
      </c>
      <c r="F3136" t="s">
        <v>14485</v>
      </c>
      <c r="G3136" t="s">
        <v>14486</v>
      </c>
      <c r="H3136">
        <v>-9.3994045257568395</v>
      </c>
      <c r="I3136">
        <v>38.738887596837998</v>
      </c>
      <c r="J3136">
        <v>85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  <c r="Q3136" t="s">
        <v>34</v>
      </c>
      <c r="R3136" t="s">
        <v>14495</v>
      </c>
      <c r="S3136" t="s">
        <v>14496</v>
      </c>
      <c r="T3136" t="s">
        <v>14487</v>
      </c>
      <c r="U3136" t="s">
        <v>14497</v>
      </c>
    </row>
    <row r="3137" spans="1:21" x14ac:dyDescent="0.25">
      <c r="A3137" t="s">
        <v>14498</v>
      </c>
      <c r="B3137" t="s">
        <v>22</v>
      </c>
      <c r="C3137" t="s">
        <v>14499</v>
      </c>
      <c r="D3137">
        <f t="shared" si="82"/>
        <v>-800779979</v>
      </c>
      <c r="E3137" t="s">
        <v>14500</v>
      </c>
      <c r="F3137" t="s">
        <v>14485</v>
      </c>
      <c r="G3137" t="s">
        <v>14486</v>
      </c>
      <c r="H3137">
        <v>-8.6059615015983599</v>
      </c>
      <c r="I3137">
        <v>41.148938690084201</v>
      </c>
      <c r="J3137">
        <v>85</v>
      </c>
      <c r="K3137" t="s">
        <v>536</v>
      </c>
      <c r="L3137" t="s">
        <v>536</v>
      </c>
      <c r="M3137" t="s">
        <v>536</v>
      </c>
      <c r="N3137" t="s">
        <v>536</v>
      </c>
      <c r="O3137" t="s">
        <v>536</v>
      </c>
      <c r="P3137" t="s">
        <v>536</v>
      </c>
      <c r="Q3137" t="s">
        <v>536</v>
      </c>
      <c r="R3137" t="s">
        <v>14501</v>
      </c>
      <c r="T3137" t="s">
        <v>14500</v>
      </c>
      <c r="U3137" t="s">
        <v>14502</v>
      </c>
    </row>
    <row r="3138" spans="1:21" x14ac:dyDescent="0.25">
      <c r="A3138" t="s">
        <v>14503</v>
      </c>
      <c r="B3138" t="s">
        <v>22</v>
      </c>
      <c r="C3138" t="s">
        <v>14504</v>
      </c>
      <c r="D3138">
        <f t="shared" si="82"/>
        <v>-800779979</v>
      </c>
      <c r="E3138" t="s">
        <v>14505</v>
      </c>
      <c r="F3138" t="s">
        <v>14485</v>
      </c>
      <c r="G3138" t="s">
        <v>14486</v>
      </c>
      <c r="H3138">
        <v>-8.4421348571777308</v>
      </c>
      <c r="I3138">
        <v>40.212899532491697</v>
      </c>
      <c r="J3138">
        <v>85</v>
      </c>
      <c r="K3138" t="s">
        <v>34</v>
      </c>
      <c r="L3138" t="s">
        <v>34</v>
      </c>
      <c r="M3138" t="s">
        <v>34</v>
      </c>
      <c r="N3138" t="s">
        <v>34</v>
      </c>
      <c r="O3138" t="s">
        <v>92</v>
      </c>
      <c r="P3138" t="s">
        <v>92</v>
      </c>
      <c r="Q3138" t="s">
        <v>34</v>
      </c>
      <c r="R3138" t="s">
        <v>14506</v>
      </c>
      <c r="T3138" t="s">
        <v>14505</v>
      </c>
      <c r="U3138" t="s">
        <v>14507</v>
      </c>
    </row>
    <row r="3139" spans="1:21" x14ac:dyDescent="0.25">
      <c r="A3139" t="s">
        <v>14508</v>
      </c>
      <c r="B3139" t="s">
        <v>22</v>
      </c>
      <c r="C3139" t="s">
        <v>14509</v>
      </c>
      <c r="D3139">
        <f t="shared" si="82"/>
        <v>-800779979</v>
      </c>
      <c r="E3139" t="s">
        <v>14484</v>
      </c>
      <c r="F3139" t="s">
        <v>14485</v>
      </c>
      <c r="G3139" t="s">
        <v>14486</v>
      </c>
      <c r="H3139">
        <v>-9.1558492183685303</v>
      </c>
      <c r="I3139">
        <v>38.834710114606999</v>
      </c>
      <c r="J3139">
        <v>85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  <c r="Q3139" t="s">
        <v>34</v>
      </c>
      <c r="R3139" t="s">
        <v>14509</v>
      </c>
      <c r="S3139" t="s">
        <v>14510</v>
      </c>
      <c r="T3139" t="s">
        <v>14511</v>
      </c>
      <c r="U3139" t="s">
        <v>14512</v>
      </c>
    </row>
    <row r="3140" spans="1:21" x14ac:dyDescent="0.25">
      <c r="A3140" t="s">
        <v>14513</v>
      </c>
      <c r="B3140" t="s">
        <v>22</v>
      </c>
      <c r="C3140" t="s">
        <v>14514</v>
      </c>
      <c r="D3140">
        <f t="shared" si="82"/>
        <v>-800779979</v>
      </c>
      <c r="E3140" t="s">
        <v>14515</v>
      </c>
      <c r="F3140" t="s">
        <v>14485</v>
      </c>
      <c r="G3140" t="s">
        <v>14486</v>
      </c>
      <c r="H3140">
        <v>-9.1758155822753906</v>
      </c>
      <c r="I3140">
        <v>38.660917104762902</v>
      </c>
      <c r="J3140">
        <v>85</v>
      </c>
      <c r="K3140" t="s">
        <v>92</v>
      </c>
      <c r="L3140" t="s">
        <v>92</v>
      </c>
      <c r="M3140" t="s">
        <v>92</v>
      </c>
      <c r="N3140" t="s">
        <v>92</v>
      </c>
      <c r="O3140" t="s">
        <v>92</v>
      </c>
      <c r="P3140" t="s">
        <v>92</v>
      </c>
      <c r="Q3140" t="s">
        <v>92</v>
      </c>
      <c r="R3140" t="s">
        <v>14516</v>
      </c>
      <c r="T3140" t="s">
        <v>14517</v>
      </c>
      <c r="U3140" t="s">
        <v>14518</v>
      </c>
    </row>
    <row r="3141" spans="1:21" x14ac:dyDescent="0.25">
      <c r="A3141" t="s">
        <v>14519</v>
      </c>
      <c r="B3141" t="s">
        <v>22</v>
      </c>
      <c r="C3141" t="s">
        <v>14520</v>
      </c>
      <c r="D3141">
        <f t="shared" si="82"/>
        <v>-800779979</v>
      </c>
      <c r="E3141" t="s">
        <v>14484</v>
      </c>
      <c r="F3141" t="s">
        <v>14485</v>
      </c>
      <c r="G3141" t="s">
        <v>14486</v>
      </c>
      <c r="H3141">
        <v>-9.1883198000000004</v>
      </c>
      <c r="I3141">
        <v>38.754797600000003</v>
      </c>
      <c r="J3141">
        <v>85</v>
      </c>
      <c r="K3141" t="s">
        <v>92</v>
      </c>
      <c r="L3141" t="s">
        <v>92</v>
      </c>
      <c r="M3141" t="s">
        <v>92</v>
      </c>
      <c r="N3141" t="s">
        <v>92</v>
      </c>
      <c r="O3141" t="s">
        <v>92</v>
      </c>
      <c r="P3141" t="s">
        <v>92</v>
      </c>
      <c r="Q3141" t="s">
        <v>92</v>
      </c>
      <c r="R3141" t="s">
        <v>14521</v>
      </c>
      <c r="T3141" t="s">
        <v>14487</v>
      </c>
      <c r="U3141" t="s">
        <v>14522</v>
      </c>
    </row>
    <row r="3142" spans="1:21" x14ac:dyDescent="0.25">
      <c r="A3142" t="s">
        <v>14523</v>
      </c>
      <c r="B3142" t="s">
        <v>22</v>
      </c>
      <c r="C3142" t="s">
        <v>14524</v>
      </c>
      <c r="D3142">
        <f t="shared" si="82"/>
        <v>-800779979</v>
      </c>
      <c r="E3142" t="s">
        <v>14484</v>
      </c>
      <c r="F3142" t="s">
        <v>14485</v>
      </c>
      <c r="G3142" t="s">
        <v>14486</v>
      </c>
      <c r="H3142">
        <v>-9.0971088409423793</v>
      </c>
      <c r="I3142">
        <v>38.768004230175897</v>
      </c>
      <c r="J3142">
        <v>85</v>
      </c>
      <c r="K3142" t="s">
        <v>92</v>
      </c>
      <c r="L3142" t="s">
        <v>92</v>
      </c>
      <c r="M3142" t="s">
        <v>92</v>
      </c>
      <c r="N3142" t="s">
        <v>92</v>
      </c>
      <c r="O3142" t="s">
        <v>92</v>
      </c>
      <c r="P3142" t="s">
        <v>92</v>
      </c>
      <c r="Q3142" t="s">
        <v>92</v>
      </c>
      <c r="R3142" t="s">
        <v>14524</v>
      </c>
      <c r="S3142" t="s">
        <v>14525</v>
      </c>
      <c r="T3142" t="s">
        <v>14487</v>
      </c>
      <c r="U3142" t="s">
        <v>14526</v>
      </c>
    </row>
    <row r="3143" spans="1:21" x14ac:dyDescent="0.25">
      <c r="A3143" t="s">
        <v>14527</v>
      </c>
      <c r="B3143" t="s">
        <v>22</v>
      </c>
      <c r="C3143" t="s">
        <v>14528</v>
      </c>
      <c r="D3143">
        <f t="shared" si="82"/>
        <v>-800779979</v>
      </c>
      <c r="E3143" t="s">
        <v>14500</v>
      </c>
      <c r="F3143" t="s">
        <v>14485</v>
      </c>
      <c r="G3143" t="s">
        <v>14486</v>
      </c>
      <c r="H3143">
        <v>-8.6225509643554705</v>
      </c>
      <c r="I3143">
        <v>41.117900557543599</v>
      </c>
      <c r="J3143">
        <v>85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  <c r="Q3143" t="s">
        <v>34</v>
      </c>
      <c r="R3143" t="s">
        <v>14529</v>
      </c>
      <c r="T3143" t="s">
        <v>14500</v>
      </c>
      <c r="U3143" t="s">
        <v>14530</v>
      </c>
    </row>
    <row r="3144" spans="1:21" x14ac:dyDescent="0.25">
      <c r="A3144" t="s">
        <v>14531</v>
      </c>
      <c r="B3144" t="s">
        <v>22</v>
      </c>
      <c r="C3144" t="s">
        <v>14532</v>
      </c>
      <c r="D3144">
        <f t="shared" si="82"/>
        <v>-800779979</v>
      </c>
      <c r="E3144" t="s">
        <v>14500</v>
      </c>
      <c r="F3144" t="s">
        <v>14485</v>
      </c>
      <c r="G3144" t="s">
        <v>14486</v>
      </c>
      <c r="H3144">
        <v>-8.6870003608520392</v>
      </c>
      <c r="I3144">
        <v>41.208977395200399</v>
      </c>
      <c r="J3144">
        <v>85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  <c r="Q3144" t="s">
        <v>34</v>
      </c>
      <c r="R3144" t="s">
        <v>14533</v>
      </c>
      <c r="T3144" t="s">
        <v>14534</v>
      </c>
      <c r="U3144" t="s">
        <v>14535</v>
      </c>
    </row>
    <row r="3145" spans="1:21" x14ac:dyDescent="0.25">
      <c r="A3145" t="s">
        <v>14536</v>
      </c>
      <c r="B3145" t="s">
        <v>22</v>
      </c>
      <c r="C3145" t="s">
        <v>14537</v>
      </c>
      <c r="D3145">
        <f t="shared" si="82"/>
        <v>-800779979</v>
      </c>
      <c r="E3145" t="s">
        <v>14538</v>
      </c>
      <c r="F3145" t="s">
        <v>14485</v>
      </c>
      <c r="G3145" t="s">
        <v>14486</v>
      </c>
      <c r="H3145">
        <v>-9.3411703300000006</v>
      </c>
      <c r="I3145">
        <v>38.775230329999999</v>
      </c>
      <c r="J3145">
        <v>85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  <c r="Q3145" t="s">
        <v>34</v>
      </c>
      <c r="R3145" t="s">
        <v>14539</v>
      </c>
      <c r="T3145" t="s">
        <v>14538</v>
      </c>
      <c r="U3145" t="s">
        <v>14540</v>
      </c>
    </row>
    <row r="3146" spans="1:21" x14ac:dyDescent="0.25">
      <c r="A3146" t="s">
        <v>14541</v>
      </c>
      <c r="B3146" t="s">
        <v>22</v>
      </c>
      <c r="C3146" t="s">
        <v>14542</v>
      </c>
      <c r="D3146">
        <f t="shared" si="82"/>
        <v>-800779979</v>
      </c>
      <c r="E3146" t="s">
        <v>14543</v>
      </c>
      <c r="F3146" t="s">
        <v>14485</v>
      </c>
      <c r="G3146" t="s">
        <v>14486</v>
      </c>
      <c r="H3146">
        <v>-7.91213035583496</v>
      </c>
      <c r="I3146">
        <v>40.643037893178303</v>
      </c>
      <c r="J3146">
        <v>85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  <c r="Q3146" t="s">
        <v>34</v>
      </c>
      <c r="R3146" t="s">
        <v>14544</v>
      </c>
      <c r="T3146" t="s">
        <v>14543</v>
      </c>
      <c r="U3146" t="s">
        <v>14545</v>
      </c>
    </row>
    <row r="3147" spans="1:21" x14ac:dyDescent="0.25">
      <c r="A3147" t="s">
        <v>14546</v>
      </c>
      <c r="B3147" t="s">
        <v>22</v>
      </c>
      <c r="C3147" t="s">
        <v>14547</v>
      </c>
      <c r="D3147">
        <f t="shared" si="82"/>
        <v>-800779979</v>
      </c>
      <c r="E3147" t="s">
        <v>14484</v>
      </c>
      <c r="F3147" t="s">
        <v>14485</v>
      </c>
      <c r="G3147" t="s">
        <v>14486</v>
      </c>
      <c r="H3147">
        <v>-9.2194604873657209</v>
      </c>
      <c r="I3147">
        <v>38.776435795149297</v>
      </c>
      <c r="J3147">
        <v>85</v>
      </c>
      <c r="K3147" t="s">
        <v>34</v>
      </c>
      <c r="L3147" t="s">
        <v>34</v>
      </c>
      <c r="M3147" t="s">
        <v>34</v>
      </c>
      <c r="N3147" t="s">
        <v>34</v>
      </c>
      <c r="O3147" t="s">
        <v>92</v>
      </c>
      <c r="P3147" t="s">
        <v>92</v>
      </c>
      <c r="Q3147" t="s">
        <v>34</v>
      </c>
      <c r="R3147" t="s">
        <v>14548</v>
      </c>
      <c r="T3147" t="s">
        <v>14487</v>
      </c>
      <c r="U3147" t="s">
        <v>14549</v>
      </c>
    </row>
    <row r="3148" spans="1:21" x14ac:dyDescent="0.25">
      <c r="A3148" t="s">
        <v>14550</v>
      </c>
      <c r="B3148" t="s">
        <v>22</v>
      </c>
      <c r="C3148" t="s">
        <v>14551</v>
      </c>
      <c r="D3148">
        <f t="shared" si="82"/>
        <v>-800779979</v>
      </c>
      <c r="E3148" t="s">
        <v>14552</v>
      </c>
      <c r="F3148" t="s">
        <v>14485</v>
      </c>
      <c r="G3148" t="s">
        <v>14486</v>
      </c>
      <c r="H3148">
        <v>-8.4064292907714808</v>
      </c>
      <c r="I3148">
        <v>41.558467495291502</v>
      </c>
      <c r="J3148">
        <v>85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  <c r="Q3148" t="s">
        <v>34</v>
      </c>
      <c r="R3148" t="s">
        <v>14553</v>
      </c>
      <c r="T3148" t="s">
        <v>14552</v>
      </c>
      <c r="U3148" t="s">
        <v>14554</v>
      </c>
    </row>
    <row r="3149" spans="1:21" x14ac:dyDescent="0.25">
      <c r="A3149" t="s">
        <v>14555</v>
      </c>
      <c r="B3149" t="s">
        <v>22</v>
      </c>
      <c r="C3149" t="s">
        <v>14556</v>
      </c>
      <c r="D3149">
        <f t="shared" si="82"/>
        <v>-800779979</v>
      </c>
      <c r="E3149" t="s">
        <v>14557</v>
      </c>
      <c r="F3149" t="s">
        <v>14485</v>
      </c>
      <c r="G3149" t="s">
        <v>14486</v>
      </c>
      <c r="H3149">
        <v>-8.3441162109375</v>
      </c>
      <c r="I3149">
        <v>41.447728635727202</v>
      </c>
      <c r="J3149">
        <v>85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  <c r="Q3149" t="s">
        <v>34</v>
      </c>
      <c r="R3149" t="s">
        <v>14558</v>
      </c>
      <c r="U3149" t="s">
        <v>14559</v>
      </c>
    </row>
    <row r="3150" spans="1:21" x14ac:dyDescent="0.25">
      <c r="A3150" t="s">
        <v>14560</v>
      </c>
      <c r="B3150" t="s">
        <v>22</v>
      </c>
      <c r="C3150" t="s">
        <v>14561</v>
      </c>
      <c r="D3150">
        <f t="shared" si="82"/>
        <v>-800779979</v>
      </c>
      <c r="E3150" t="s">
        <v>14562</v>
      </c>
      <c r="F3150" t="s">
        <v>14485</v>
      </c>
      <c r="G3150" t="s">
        <v>14486</v>
      </c>
      <c r="H3150">
        <v>-8.8240385055541992</v>
      </c>
      <c r="I3150">
        <v>39.732372966815397</v>
      </c>
      <c r="J3150">
        <v>85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  <c r="Q3150" t="s">
        <v>34</v>
      </c>
      <c r="R3150" t="s">
        <v>14563</v>
      </c>
      <c r="T3150" t="s">
        <v>14562</v>
      </c>
      <c r="U3150" t="s">
        <v>14564</v>
      </c>
    </row>
    <row r="3151" spans="1:21" x14ac:dyDescent="0.25">
      <c r="A3151" t="s">
        <v>14565</v>
      </c>
      <c r="B3151" t="s">
        <v>22</v>
      </c>
      <c r="C3151" t="s">
        <v>14566</v>
      </c>
      <c r="D3151">
        <f t="shared" si="82"/>
        <v>-800779979</v>
      </c>
      <c r="E3151" t="s">
        <v>14567</v>
      </c>
      <c r="F3151" t="s">
        <v>14485</v>
      </c>
      <c r="G3151" t="s">
        <v>14486</v>
      </c>
      <c r="H3151">
        <v>-8.5445737838745099</v>
      </c>
      <c r="I3151">
        <v>37.1346098869708</v>
      </c>
      <c r="J3151">
        <v>85</v>
      </c>
      <c r="K3151" t="s">
        <v>92</v>
      </c>
      <c r="L3151" t="s">
        <v>92</v>
      </c>
      <c r="M3151" t="s">
        <v>92</v>
      </c>
      <c r="N3151" t="s">
        <v>92</v>
      </c>
      <c r="O3151" t="s">
        <v>92</v>
      </c>
      <c r="P3151" t="s">
        <v>92</v>
      </c>
      <c r="Q3151" t="s">
        <v>92</v>
      </c>
      <c r="R3151" t="s">
        <v>14568</v>
      </c>
      <c r="T3151" t="s">
        <v>14569</v>
      </c>
      <c r="U3151" t="s">
        <v>14570</v>
      </c>
    </row>
    <row r="3152" spans="1:21" x14ac:dyDescent="0.25">
      <c r="A3152" t="s">
        <v>14571</v>
      </c>
      <c r="B3152" t="s">
        <v>22</v>
      </c>
      <c r="C3152" t="s">
        <v>14572</v>
      </c>
      <c r="D3152">
        <f t="shared" si="82"/>
        <v>-800779979</v>
      </c>
      <c r="E3152" t="s">
        <v>14573</v>
      </c>
      <c r="F3152" t="s">
        <v>14485</v>
      </c>
      <c r="G3152" t="s">
        <v>14486</v>
      </c>
      <c r="H3152">
        <v>-16.913280487060501</v>
      </c>
      <c r="I3152">
        <v>32.646656431866397</v>
      </c>
      <c r="J3152">
        <v>85</v>
      </c>
      <c r="K3152" t="s">
        <v>45</v>
      </c>
      <c r="L3152" t="s">
        <v>45</v>
      </c>
      <c r="M3152" t="s">
        <v>45</v>
      </c>
      <c r="N3152" t="s">
        <v>45</v>
      </c>
      <c r="O3152" t="s">
        <v>45</v>
      </c>
      <c r="P3152" t="s">
        <v>45</v>
      </c>
      <c r="Q3152" t="s">
        <v>45</v>
      </c>
      <c r="R3152" t="s">
        <v>14572</v>
      </c>
      <c r="S3152" t="s">
        <v>14574</v>
      </c>
      <c r="T3152" t="s">
        <v>14575</v>
      </c>
      <c r="U3152" t="s">
        <v>14576</v>
      </c>
    </row>
    <row r="3153" spans="1:21" x14ac:dyDescent="0.25">
      <c r="A3153" t="s">
        <v>14577</v>
      </c>
      <c r="B3153" t="s">
        <v>22</v>
      </c>
      <c r="C3153" t="s">
        <v>14578</v>
      </c>
      <c r="D3153">
        <f t="shared" si="82"/>
        <v>-800779979</v>
      </c>
      <c r="E3153" t="s">
        <v>14573</v>
      </c>
      <c r="F3153" t="s">
        <v>14485</v>
      </c>
      <c r="G3153" t="s">
        <v>14486</v>
      </c>
      <c r="H3153">
        <v>-16.943082511425001</v>
      </c>
      <c r="I3153">
        <v>32.636325657938002</v>
      </c>
      <c r="J3153">
        <v>85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  <c r="Q3153" t="s">
        <v>34</v>
      </c>
      <c r="R3153" t="s">
        <v>14579</v>
      </c>
      <c r="T3153" t="s">
        <v>14575</v>
      </c>
      <c r="U3153" t="s">
        <v>14580</v>
      </c>
    </row>
    <row r="3154" spans="1:21" x14ac:dyDescent="0.25">
      <c r="A3154" t="s">
        <v>14581</v>
      </c>
      <c r="B3154" t="s">
        <v>22</v>
      </c>
      <c r="C3154" t="s">
        <v>14582</v>
      </c>
      <c r="D3154">
        <f t="shared" si="82"/>
        <v>-800779979</v>
      </c>
      <c r="E3154" t="s">
        <v>14583</v>
      </c>
      <c r="F3154" t="s">
        <v>14485</v>
      </c>
      <c r="G3154" t="s">
        <v>14486</v>
      </c>
      <c r="H3154">
        <v>-8.2804086613768995</v>
      </c>
      <c r="I3154">
        <v>37.127955642298602</v>
      </c>
      <c r="J3154">
        <v>85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  <c r="Q3154" t="s">
        <v>34</v>
      </c>
      <c r="R3154" t="s">
        <v>14584</v>
      </c>
      <c r="S3154" t="s">
        <v>14585</v>
      </c>
      <c r="T3154" t="s">
        <v>14569</v>
      </c>
      <c r="U3154" t="s">
        <v>14586</v>
      </c>
    </row>
    <row r="3155" spans="1:21" x14ac:dyDescent="0.25">
      <c r="A3155" t="s">
        <v>14587</v>
      </c>
      <c r="B3155" t="s">
        <v>38</v>
      </c>
      <c r="C3155" t="s">
        <v>14588</v>
      </c>
      <c r="D3155">
        <f t="shared" si="82"/>
        <v>-800779979</v>
      </c>
      <c r="E3155" t="s">
        <v>14589</v>
      </c>
      <c r="F3155" t="s">
        <v>14485</v>
      </c>
      <c r="G3155" t="s">
        <v>14486</v>
      </c>
      <c r="H3155">
        <v>-7.5149917602539098</v>
      </c>
      <c r="I3155">
        <v>39.809590979236702</v>
      </c>
      <c r="J3155">
        <v>85</v>
      </c>
      <c r="K3155" t="s">
        <v>27</v>
      </c>
      <c r="L3155" t="s">
        <v>27</v>
      </c>
      <c r="M3155" t="s">
        <v>27</v>
      </c>
      <c r="N3155" t="s">
        <v>27</v>
      </c>
      <c r="O3155" t="s">
        <v>34</v>
      </c>
      <c r="P3155" t="s">
        <v>34</v>
      </c>
      <c r="Q3155" t="s">
        <v>27</v>
      </c>
      <c r="R3155" t="s">
        <v>14590</v>
      </c>
      <c r="T3155" t="s">
        <v>14589</v>
      </c>
      <c r="U3155" t="s">
        <v>14591</v>
      </c>
    </row>
    <row r="3156" spans="1:21" x14ac:dyDescent="0.25">
      <c r="A3156" t="s">
        <v>14592</v>
      </c>
      <c r="B3156" t="s">
        <v>22</v>
      </c>
      <c r="C3156" t="s">
        <v>14593</v>
      </c>
      <c r="D3156">
        <f t="shared" si="82"/>
        <v>-800779979</v>
      </c>
      <c r="E3156" t="s">
        <v>14594</v>
      </c>
      <c r="F3156" t="s">
        <v>14485</v>
      </c>
      <c r="G3156" t="s">
        <v>14486</v>
      </c>
      <c r="H3156">
        <v>-8.6446740000000002</v>
      </c>
      <c r="I3156">
        <v>40.627991999999999</v>
      </c>
      <c r="J3156">
        <v>85</v>
      </c>
      <c r="K3156" t="s">
        <v>27</v>
      </c>
      <c r="L3156" t="s">
        <v>27</v>
      </c>
      <c r="M3156" t="s">
        <v>27</v>
      </c>
      <c r="N3156" t="s">
        <v>27</v>
      </c>
      <c r="O3156" t="s">
        <v>34</v>
      </c>
      <c r="P3156" t="s">
        <v>34</v>
      </c>
      <c r="Q3156" t="s">
        <v>27</v>
      </c>
      <c r="R3156" t="s">
        <v>14595</v>
      </c>
      <c r="T3156" t="s">
        <v>14594</v>
      </c>
      <c r="U3156" t="s">
        <v>14596</v>
      </c>
    </row>
    <row r="3157" spans="1:21" x14ac:dyDescent="0.25">
      <c r="A3157" t="s">
        <v>14597</v>
      </c>
      <c r="B3157" t="s">
        <v>22</v>
      </c>
      <c r="C3157" t="s">
        <v>14598</v>
      </c>
      <c r="D3157">
        <f t="shared" si="82"/>
        <v>-800779979</v>
      </c>
      <c r="E3157" t="s">
        <v>14599</v>
      </c>
      <c r="F3157" t="s">
        <v>14485</v>
      </c>
      <c r="G3157" t="s">
        <v>14486</v>
      </c>
      <c r="H3157">
        <v>-8.8759247033385709</v>
      </c>
      <c r="I3157">
        <v>38.537659370429402</v>
      </c>
      <c r="J3157">
        <v>85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  <c r="Q3157" t="s">
        <v>34</v>
      </c>
      <c r="R3157" t="s">
        <v>14600</v>
      </c>
      <c r="T3157" t="s">
        <v>14601</v>
      </c>
      <c r="U3157" t="s">
        <v>14602</v>
      </c>
    </row>
    <row r="3158" spans="1:21" x14ac:dyDescent="0.25">
      <c r="A3158" t="s">
        <v>14603</v>
      </c>
      <c r="B3158" t="s">
        <v>22</v>
      </c>
      <c r="C3158" t="s">
        <v>14604</v>
      </c>
      <c r="D3158">
        <f t="shared" si="82"/>
        <v>-800779979</v>
      </c>
      <c r="E3158" t="s">
        <v>14605</v>
      </c>
      <c r="F3158" t="s">
        <v>14485</v>
      </c>
      <c r="G3158" t="s">
        <v>14486</v>
      </c>
      <c r="H3158">
        <v>-7.9976210712585498</v>
      </c>
      <c r="I3158">
        <v>37.098411272970402</v>
      </c>
      <c r="J3158">
        <v>85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  <c r="Q3158" t="s">
        <v>34</v>
      </c>
      <c r="R3158" t="s">
        <v>14606</v>
      </c>
      <c r="T3158" t="s">
        <v>14569</v>
      </c>
      <c r="U3158" t="s">
        <v>14607</v>
      </c>
    </row>
    <row r="3159" spans="1:21" x14ac:dyDescent="0.25">
      <c r="A3159" t="s">
        <v>14608</v>
      </c>
      <c r="B3159" t="s">
        <v>22</v>
      </c>
      <c r="C3159" t="s">
        <v>14609</v>
      </c>
      <c r="D3159">
        <f t="shared" si="82"/>
        <v>-800779979</v>
      </c>
      <c r="E3159" t="s">
        <v>14552</v>
      </c>
      <c r="F3159" t="s">
        <v>14485</v>
      </c>
      <c r="G3159" t="s">
        <v>14486</v>
      </c>
      <c r="H3159">
        <v>-8.4306805172271897</v>
      </c>
      <c r="I3159">
        <v>41.578290090713097</v>
      </c>
      <c r="J3159">
        <v>85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  <c r="Q3159" t="s">
        <v>34</v>
      </c>
      <c r="R3159" t="s">
        <v>14610</v>
      </c>
      <c r="T3159" t="s">
        <v>14552</v>
      </c>
      <c r="U3159" t="s">
        <v>14611</v>
      </c>
    </row>
    <row r="3160" spans="1:21" x14ac:dyDescent="0.25">
      <c r="A3160" t="s">
        <v>14612</v>
      </c>
      <c r="B3160" t="s">
        <v>22</v>
      </c>
      <c r="C3160" t="s">
        <v>14613</v>
      </c>
      <c r="D3160">
        <f t="shared" si="82"/>
        <v>-800779979</v>
      </c>
      <c r="E3160" t="s">
        <v>14500</v>
      </c>
      <c r="F3160" t="s">
        <v>14485</v>
      </c>
      <c r="G3160" t="s">
        <v>14486</v>
      </c>
      <c r="H3160">
        <v>-8.5839154425170801</v>
      </c>
      <c r="I3160">
        <v>41.163759501320598</v>
      </c>
      <c r="J3160">
        <v>85</v>
      </c>
      <c r="K3160" t="s">
        <v>34</v>
      </c>
      <c r="L3160" t="s">
        <v>34</v>
      </c>
      <c r="M3160" t="s">
        <v>34</v>
      </c>
      <c r="N3160" t="s">
        <v>34</v>
      </c>
      <c r="O3160" t="s">
        <v>92</v>
      </c>
      <c r="P3160" t="s">
        <v>92</v>
      </c>
      <c r="Q3160" t="s">
        <v>34</v>
      </c>
      <c r="R3160" t="s">
        <v>14614</v>
      </c>
      <c r="T3160" t="s">
        <v>14500</v>
      </c>
      <c r="U3160" t="s">
        <v>14615</v>
      </c>
    </row>
    <row r="3161" spans="1:21" x14ac:dyDescent="0.25">
      <c r="A3161" t="s">
        <v>14616</v>
      </c>
      <c r="B3161" t="s">
        <v>22</v>
      </c>
      <c r="C3161" t="s">
        <v>14617</v>
      </c>
      <c r="D3161">
        <f t="shared" si="82"/>
        <v>-800779979</v>
      </c>
      <c r="E3161" t="s">
        <v>14500</v>
      </c>
      <c r="F3161" t="s">
        <v>14485</v>
      </c>
      <c r="G3161" t="s">
        <v>14486</v>
      </c>
      <c r="H3161">
        <v>-8.6550690832641504</v>
      </c>
      <c r="I3161">
        <v>41.180234519113199</v>
      </c>
      <c r="J3161">
        <v>85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  <c r="Q3161" t="s">
        <v>34</v>
      </c>
      <c r="R3161" t="s">
        <v>14618</v>
      </c>
      <c r="T3161" t="s">
        <v>14500</v>
      </c>
      <c r="U3161" t="s">
        <v>14619</v>
      </c>
    </row>
    <row r="3162" spans="1:21" x14ac:dyDescent="0.25">
      <c r="A3162" t="s">
        <v>14620</v>
      </c>
      <c r="B3162" t="s">
        <v>22</v>
      </c>
      <c r="C3162" t="s">
        <v>14621</v>
      </c>
      <c r="D3162">
        <f>974-44529045</f>
        <v>-44528071</v>
      </c>
      <c r="E3162" t="s">
        <v>14622</v>
      </c>
      <c r="F3162" t="s">
        <v>14623</v>
      </c>
      <c r="G3162" t="s">
        <v>14624</v>
      </c>
      <c r="H3162">
        <v>51.349983999999999</v>
      </c>
      <c r="I3162">
        <v>25.326803999999999</v>
      </c>
      <c r="J3162">
        <v>158</v>
      </c>
      <c r="K3162" t="s">
        <v>27</v>
      </c>
      <c r="L3162" t="s">
        <v>27</v>
      </c>
      <c r="M3162" t="s">
        <v>27</v>
      </c>
      <c r="N3162" t="s">
        <v>28</v>
      </c>
      <c r="O3162" t="s">
        <v>28</v>
      </c>
      <c r="P3162" t="s">
        <v>34</v>
      </c>
      <c r="Q3162" t="s">
        <v>27</v>
      </c>
      <c r="R3162" t="s">
        <v>14621</v>
      </c>
      <c r="U3162" t="s">
        <v>14625</v>
      </c>
    </row>
    <row r="3163" spans="1:21" x14ac:dyDescent="0.25">
      <c r="A3163" t="s">
        <v>14626</v>
      </c>
      <c r="B3163" t="s">
        <v>22</v>
      </c>
      <c r="C3163" t="s">
        <v>14627</v>
      </c>
      <c r="D3163">
        <f>974-44507628</f>
        <v>-44506654</v>
      </c>
      <c r="E3163" t="s">
        <v>14622</v>
      </c>
      <c r="F3163" t="s">
        <v>14623</v>
      </c>
      <c r="G3163" t="s">
        <v>14624</v>
      </c>
      <c r="H3163">
        <v>51.443379</v>
      </c>
      <c r="I3163">
        <v>25.258977999999999</v>
      </c>
      <c r="J3163">
        <v>158</v>
      </c>
      <c r="K3163" t="s">
        <v>3543</v>
      </c>
      <c r="L3163" t="s">
        <v>3543</v>
      </c>
      <c r="M3163" t="s">
        <v>3543</v>
      </c>
      <c r="N3163" t="s">
        <v>12293</v>
      </c>
      <c r="O3163" t="s">
        <v>12293</v>
      </c>
      <c r="P3163" t="s">
        <v>12293</v>
      </c>
      <c r="Q3163" t="s">
        <v>3543</v>
      </c>
      <c r="R3163" t="s">
        <v>14627</v>
      </c>
      <c r="S3163" t="s">
        <v>14628</v>
      </c>
      <c r="U3163" t="s">
        <v>14629</v>
      </c>
    </row>
    <row r="3164" spans="1:21" x14ac:dyDescent="0.25">
      <c r="A3164" t="s">
        <v>14630</v>
      </c>
      <c r="B3164" t="s">
        <v>32</v>
      </c>
      <c r="C3164" t="s">
        <v>14631</v>
      </c>
      <c r="D3164">
        <f>974-44521447</f>
        <v>-44520473</v>
      </c>
      <c r="E3164" t="s">
        <v>14622</v>
      </c>
      <c r="F3164" t="s">
        <v>14623</v>
      </c>
      <c r="G3164" t="s">
        <v>14624</v>
      </c>
      <c r="H3164">
        <v>51.441245000000002</v>
      </c>
      <c r="I3164">
        <v>25.385952</v>
      </c>
      <c r="J3164">
        <v>158</v>
      </c>
      <c r="K3164" t="s">
        <v>27</v>
      </c>
      <c r="L3164" t="s">
        <v>27</v>
      </c>
      <c r="M3164" t="s">
        <v>27</v>
      </c>
      <c r="N3164" t="s">
        <v>28</v>
      </c>
      <c r="O3164" t="s">
        <v>28</v>
      </c>
      <c r="P3164" t="s">
        <v>28</v>
      </c>
      <c r="Q3164" t="s">
        <v>27</v>
      </c>
      <c r="R3164" t="s">
        <v>14631</v>
      </c>
      <c r="S3164" t="s">
        <v>14632</v>
      </c>
      <c r="U3164" t="s">
        <v>14633</v>
      </c>
    </row>
    <row r="3165" spans="1:21" x14ac:dyDescent="0.25">
      <c r="A3165" t="s">
        <v>14634</v>
      </c>
      <c r="B3165" t="s">
        <v>32</v>
      </c>
      <c r="C3165" t="s">
        <v>14631</v>
      </c>
      <c r="D3165">
        <f>974-44529914</f>
        <v>-44528940</v>
      </c>
      <c r="E3165" t="s">
        <v>14622</v>
      </c>
      <c r="F3165" t="s">
        <v>14623</v>
      </c>
      <c r="G3165" t="s">
        <v>14624</v>
      </c>
      <c r="H3165">
        <v>51.441203000000002</v>
      </c>
      <c r="I3165">
        <v>25.385971000000001</v>
      </c>
      <c r="J3165">
        <v>158</v>
      </c>
      <c r="K3165" t="s">
        <v>27</v>
      </c>
      <c r="L3165" t="s">
        <v>27</v>
      </c>
      <c r="M3165" t="s">
        <v>27</v>
      </c>
      <c r="N3165" t="s">
        <v>28</v>
      </c>
      <c r="O3165" t="s">
        <v>28</v>
      </c>
      <c r="P3165" t="s">
        <v>28</v>
      </c>
      <c r="Q3165" t="s">
        <v>27</v>
      </c>
      <c r="R3165" t="s">
        <v>14631</v>
      </c>
      <c r="S3165" t="s">
        <v>14632</v>
      </c>
      <c r="U3165" t="s">
        <v>14633</v>
      </c>
    </row>
    <row r="3166" spans="1:21" x14ac:dyDescent="0.25">
      <c r="A3166" t="s">
        <v>14635</v>
      </c>
      <c r="B3166" t="s">
        <v>22</v>
      </c>
      <c r="C3166" t="s">
        <v>14636</v>
      </c>
      <c r="D3166">
        <f>974-44864144</f>
        <v>-44863170</v>
      </c>
      <c r="E3166" t="s">
        <v>14622</v>
      </c>
      <c r="F3166" t="s">
        <v>14623</v>
      </c>
      <c r="G3166" t="s">
        <v>14624</v>
      </c>
      <c r="H3166">
        <v>51.465589000000001</v>
      </c>
      <c r="I3166">
        <v>25.334022000000001</v>
      </c>
      <c r="J3166">
        <v>158</v>
      </c>
      <c r="K3166" t="s">
        <v>3543</v>
      </c>
      <c r="L3166" t="s">
        <v>3543</v>
      </c>
      <c r="M3166" t="s">
        <v>3543</v>
      </c>
      <c r="N3166" t="s">
        <v>12293</v>
      </c>
      <c r="O3166" t="s">
        <v>14637</v>
      </c>
      <c r="P3166" t="s">
        <v>3543</v>
      </c>
      <c r="Q3166" t="s">
        <v>3543</v>
      </c>
      <c r="R3166" t="s">
        <v>14636</v>
      </c>
      <c r="S3166" t="s">
        <v>14638</v>
      </c>
      <c r="U3166" t="s">
        <v>14639</v>
      </c>
    </row>
    <row r="3167" spans="1:21" x14ac:dyDescent="0.25">
      <c r="A3167" t="s">
        <v>14640</v>
      </c>
      <c r="B3167" t="s">
        <v>22</v>
      </c>
      <c r="C3167" t="s">
        <v>14641</v>
      </c>
      <c r="D3167">
        <f>974-44528536</f>
        <v>-44527562</v>
      </c>
      <c r="E3167" t="s">
        <v>14642</v>
      </c>
      <c r="F3167" t="s">
        <v>14623</v>
      </c>
      <c r="G3167" t="s">
        <v>14624</v>
      </c>
      <c r="H3167">
        <v>51.588070999999999</v>
      </c>
      <c r="I3167">
        <v>25.170518000000001</v>
      </c>
      <c r="J3167">
        <v>158</v>
      </c>
      <c r="K3167" t="s">
        <v>3543</v>
      </c>
      <c r="L3167" t="s">
        <v>3543</v>
      </c>
      <c r="M3167" t="s">
        <v>3543</v>
      </c>
      <c r="N3167" t="s">
        <v>12293</v>
      </c>
      <c r="O3167" t="s">
        <v>12293</v>
      </c>
      <c r="P3167" t="s">
        <v>12293</v>
      </c>
      <c r="Q3167" t="s">
        <v>3543</v>
      </c>
      <c r="R3167" t="s">
        <v>14641</v>
      </c>
      <c r="U3167" t="s">
        <v>14643</v>
      </c>
    </row>
    <row r="3168" spans="1:21" x14ac:dyDescent="0.25">
      <c r="A3168" t="s">
        <v>14644</v>
      </c>
      <c r="B3168" t="s">
        <v>22</v>
      </c>
      <c r="C3168" t="s">
        <v>14645</v>
      </c>
      <c r="E3168" t="s">
        <v>14622</v>
      </c>
      <c r="F3168" t="s">
        <v>14623</v>
      </c>
      <c r="G3168" t="s">
        <v>14624</v>
      </c>
      <c r="H3168">
        <v>51.530386</v>
      </c>
      <c r="I3168">
        <v>25.325206999999999</v>
      </c>
      <c r="J3168">
        <v>158</v>
      </c>
      <c r="R3168" t="s">
        <v>14646</v>
      </c>
      <c r="S3168" t="s">
        <v>14647</v>
      </c>
      <c r="U3168" t="s">
        <v>14648</v>
      </c>
    </row>
    <row r="3169" spans="1:21" x14ac:dyDescent="0.25">
      <c r="A3169" t="s">
        <v>14649</v>
      </c>
      <c r="B3169" t="s">
        <v>32</v>
      </c>
      <c r="C3169" t="s">
        <v>14650</v>
      </c>
      <c r="D3169">
        <f>40-314370811</f>
        <v>-314370771</v>
      </c>
      <c r="E3169" t="s">
        <v>14651</v>
      </c>
      <c r="F3169" t="s">
        <v>14652</v>
      </c>
      <c r="G3169" t="s">
        <v>14653</v>
      </c>
      <c r="H3169">
        <v>26.089179999999999</v>
      </c>
      <c r="I3169">
        <v>44.506570000000004</v>
      </c>
      <c r="J3169">
        <v>130</v>
      </c>
      <c r="K3169" t="s">
        <v>27</v>
      </c>
      <c r="L3169" t="s">
        <v>27</v>
      </c>
      <c r="M3169" t="s">
        <v>27</v>
      </c>
      <c r="N3169" t="s">
        <v>27</v>
      </c>
      <c r="O3169" t="s">
        <v>27</v>
      </c>
      <c r="P3169" t="s">
        <v>27</v>
      </c>
      <c r="Q3169" t="s">
        <v>27</v>
      </c>
      <c r="R3169" t="s">
        <v>14650</v>
      </c>
      <c r="S3169" t="s">
        <v>14654</v>
      </c>
      <c r="U3169" t="s">
        <v>14655</v>
      </c>
    </row>
    <row r="3170" spans="1:21" x14ac:dyDescent="0.25">
      <c r="A3170" t="s">
        <v>14656</v>
      </c>
      <c r="B3170" t="s">
        <v>32</v>
      </c>
      <c r="C3170" t="s">
        <v>14657</v>
      </c>
      <c r="D3170">
        <f>40-314370850</f>
        <v>-314370810</v>
      </c>
      <c r="E3170" t="s">
        <v>14651</v>
      </c>
      <c r="F3170" t="s">
        <v>14652</v>
      </c>
      <c r="G3170" t="s">
        <v>14653</v>
      </c>
      <c r="H3170">
        <v>26.053239999999999</v>
      </c>
      <c r="I3170">
        <v>44.429580000000001</v>
      </c>
      <c r="J3170">
        <v>130</v>
      </c>
      <c r="K3170" t="s">
        <v>27</v>
      </c>
      <c r="L3170" t="s">
        <v>27</v>
      </c>
      <c r="M3170" t="s">
        <v>27</v>
      </c>
      <c r="N3170" t="s">
        <v>27</v>
      </c>
      <c r="O3170" t="s">
        <v>34</v>
      </c>
      <c r="P3170" t="s">
        <v>34</v>
      </c>
      <c r="Q3170" t="s">
        <v>27</v>
      </c>
      <c r="R3170" t="s">
        <v>14657</v>
      </c>
      <c r="S3170" t="s">
        <v>14658</v>
      </c>
      <c r="U3170" t="s">
        <v>14659</v>
      </c>
    </row>
    <row r="3171" spans="1:21" x14ac:dyDescent="0.25">
      <c r="A3171" t="s">
        <v>14660</v>
      </c>
      <c r="B3171" t="s">
        <v>22</v>
      </c>
      <c r="C3171" t="s">
        <v>14661</v>
      </c>
      <c r="D3171">
        <f>40-314370830</f>
        <v>-314370790</v>
      </c>
      <c r="E3171" t="s">
        <v>14651</v>
      </c>
      <c r="F3171" t="s">
        <v>14652</v>
      </c>
      <c r="G3171" t="s">
        <v>14653</v>
      </c>
      <c r="H3171">
        <v>26.12715</v>
      </c>
      <c r="I3171">
        <v>44.421039999999998</v>
      </c>
      <c r="J3171">
        <v>130</v>
      </c>
      <c r="K3171" t="s">
        <v>27</v>
      </c>
      <c r="L3171" t="s">
        <v>27</v>
      </c>
      <c r="M3171" t="s">
        <v>27</v>
      </c>
      <c r="N3171" t="s">
        <v>27</v>
      </c>
      <c r="O3171" t="s">
        <v>27</v>
      </c>
      <c r="P3171" t="s">
        <v>27</v>
      </c>
      <c r="Q3171" t="s">
        <v>27</v>
      </c>
      <c r="R3171" t="s">
        <v>14661</v>
      </c>
      <c r="S3171" t="s">
        <v>14662</v>
      </c>
      <c r="U3171" t="s">
        <v>14663</v>
      </c>
    </row>
    <row r="3172" spans="1:21" x14ac:dyDescent="0.25">
      <c r="A3172" t="s">
        <v>14664</v>
      </c>
      <c r="B3172" t="s">
        <v>22</v>
      </c>
      <c r="C3172" t="s">
        <v>14665</v>
      </c>
      <c r="D3172">
        <f>40-314370820</f>
        <v>-314370780</v>
      </c>
      <c r="E3172" t="s">
        <v>14651</v>
      </c>
      <c r="F3172" t="s">
        <v>14652</v>
      </c>
      <c r="G3172" t="s">
        <v>14653</v>
      </c>
      <c r="H3172">
        <v>26.035240000000002</v>
      </c>
      <c r="I3172">
        <v>44.428460000000001</v>
      </c>
      <c r="J3172">
        <v>130</v>
      </c>
      <c r="K3172" t="s">
        <v>27</v>
      </c>
      <c r="L3172" t="s">
        <v>27</v>
      </c>
      <c r="M3172" t="s">
        <v>27</v>
      </c>
      <c r="N3172" t="s">
        <v>27</v>
      </c>
      <c r="O3172" t="s">
        <v>27</v>
      </c>
      <c r="P3172" t="s">
        <v>27</v>
      </c>
      <c r="Q3172" t="s">
        <v>27</v>
      </c>
      <c r="R3172" t="s">
        <v>14665</v>
      </c>
      <c r="S3172" t="s">
        <v>14666</v>
      </c>
      <c r="U3172" t="s">
        <v>14667</v>
      </c>
    </row>
    <row r="3173" spans="1:21" x14ac:dyDescent="0.25">
      <c r="A3173" t="s">
        <v>14668</v>
      </c>
      <c r="B3173" t="s">
        <v>32</v>
      </c>
      <c r="C3173" t="s">
        <v>14669</v>
      </c>
      <c r="D3173">
        <f>40-314370857</f>
        <v>-314370817</v>
      </c>
      <c r="E3173" t="s">
        <v>14651</v>
      </c>
      <c r="F3173" t="s">
        <v>14652</v>
      </c>
      <c r="G3173" t="s">
        <v>14653</v>
      </c>
      <c r="H3173">
        <v>26.104510000000001</v>
      </c>
      <c r="I3173">
        <v>44.427259999999997</v>
      </c>
      <c r="J3173">
        <v>130</v>
      </c>
      <c r="K3173" t="s">
        <v>27</v>
      </c>
      <c r="L3173" t="s">
        <v>27</v>
      </c>
      <c r="M3173" t="s">
        <v>27</v>
      </c>
      <c r="N3173" t="s">
        <v>27</v>
      </c>
      <c r="O3173" t="s">
        <v>27</v>
      </c>
      <c r="P3173" t="s">
        <v>27</v>
      </c>
      <c r="Q3173" t="s">
        <v>27</v>
      </c>
      <c r="R3173" t="s">
        <v>14669</v>
      </c>
      <c r="S3173" t="s">
        <v>14670</v>
      </c>
      <c r="U3173" t="s">
        <v>14671</v>
      </c>
    </row>
    <row r="3174" spans="1:21" x14ac:dyDescent="0.25">
      <c r="A3174" t="s">
        <v>14672</v>
      </c>
      <c r="B3174" t="s">
        <v>22</v>
      </c>
      <c r="C3174" t="s">
        <v>14673</v>
      </c>
      <c r="D3174">
        <f>40-364405707</f>
        <v>-364405667</v>
      </c>
      <c r="E3174" t="s">
        <v>14674</v>
      </c>
      <c r="F3174" t="s">
        <v>14652</v>
      </c>
      <c r="G3174" t="s">
        <v>14653</v>
      </c>
      <c r="H3174">
        <v>23.626429999999999</v>
      </c>
      <c r="I3174">
        <v>46.771270000000001</v>
      </c>
      <c r="J3174">
        <v>130</v>
      </c>
      <c r="K3174" t="s">
        <v>27</v>
      </c>
      <c r="L3174" t="s">
        <v>27</v>
      </c>
      <c r="M3174" t="s">
        <v>27</v>
      </c>
      <c r="N3174" t="s">
        <v>27</v>
      </c>
      <c r="O3174" t="s">
        <v>27</v>
      </c>
      <c r="P3174" t="s">
        <v>27</v>
      </c>
      <c r="Q3174" t="s">
        <v>27</v>
      </c>
      <c r="R3174" t="s">
        <v>14673</v>
      </c>
      <c r="S3174" t="s">
        <v>14675</v>
      </c>
      <c r="U3174" t="s">
        <v>14676</v>
      </c>
    </row>
    <row r="3175" spans="1:21" x14ac:dyDescent="0.25">
      <c r="A3175" t="s">
        <v>14677</v>
      </c>
      <c r="B3175" t="s">
        <v>22</v>
      </c>
      <c r="C3175" t="s">
        <v>14678</v>
      </c>
      <c r="D3175">
        <f>40-356457721</f>
        <v>-356457681</v>
      </c>
      <c r="E3175" t="s">
        <v>14679</v>
      </c>
      <c r="F3175" t="s">
        <v>14652</v>
      </c>
      <c r="G3175" t="s">
        <v>14653</v>
      </c>
      <c r="H3175">
        <v>21.229780000000002</v>
      </c>
      <c r="I3175">
        <v>45.765749999999997</v>
      </c>
      <c r="J3175">
        <v>130</v>
      </c>
      <c r="K3175" t="s">
        <v>27</v>
      </c>
      <c r="L3175" t="s">
        <v>27</v>
      </c>
      <c r="M3175" t="s">
        <v>27</v>
      </c>
      <c r="N3175" t="s">
        <v>27</v>
      </c>
      <c r="O3175" t="s">
        <v>27</v>
      </c>
      <c r="P3175" t="s">
        <v>27</v>
      </c>
      <c r="Q3175" t="s">
        <v>27</v>
      </c>
      <c r="R3175" t="s">
        <v>14678</v>
      </c>
      <c r="S3175" t="s">
        <v>14680</v>
      </c>
      <c r="U3175" t="s">
        <v>14681</v>
      </c>
    </row>
    <row r="3176" spans="1:21" x14ac:dyDescent="0.25">
      <c r="A3176" t="s">
        <v>14682</v>
      </c>
      <c r="B3176" t="s">
        <v>22</v>
      </c>
      <c r="C3176" t="s">
        <v>14683</v>
      </c>
      <c r="D3176">
        <f>40-332730404</f>
        <v>-332730364</v>
      </c>
      <c r="E3176" t="s">
        <v>14684</v>
      </c>
      <c r="F3176" t="s">
        <v>14652</v>
      </c>
      <c r="G3176" t="s">
        <v>14653</v>
      </c>
      <c r="H3176">
        <v>27.589410000000001</v>
      </c>
      <c r="I3176">
        <v>47.157649999999997</v>
      </c>
      <c r="J3176">
        <v>130</v>
      </c>
      <c r="K3176" t="s">
        <v>27</v>
      </c>
      <c r="L3176" t="s">
        <v>27</v>
      </c>
      <c r="M3176" t="s">
        <v>27</v>
      </c>
      <c r="N3176" t="s">
        <v>27</v>
      </c>
      <c r="O3176" t="s">
        <v>27</v>
      </c>
      <c r="P3176" t="s">
        <v>27</v>
      </c>
      <c r="Q3176" t="s">
        <v>27</v>
      </c>
      <c r="R3176" t="s">
        <v>14683</v>
      </c>
      <c r="S3176" t="s">
        <v>14685</v>
      </c>
      <c r="U3176" t="s">
        <v>14686</v>
      </c>
    </row>
    <row r="3177" spans="1:21" x14ac:dyDescent="0.25">
      <c r="A3177" t="s">
        <v>14687</v>
      </c>
      <c r="B3177" t="s">
        <v>22</v>
      </c>
      <c r="C3177" t="s">
        <v>14688</v>
      </c>
      <c r="D3177">
        <f>403-41739985</f>
        <v>-41739582</v>
      </c>
      <c r="E3177" t="s">
        <v>14689</v>
      </c>
      <c r="F3177" t="s">
        <v>14652</v>
      </c>
      <c r="G3177" t="s">
        <v>14653</v>
      </c>
      <c r="H3177">
        <v>28.609490000000001</v>
      </c>
      <c r="I3177">
        <v>44.198180000000001</v>
      </c>
      <c r="J3177">
        <v>130</v>
      </c>
      <c r="K3177" t="s">
        <v>27</v>
      </c>
      <c r="L3177" t="s">
        <v>27</v>
      </c>
      <c r="M3177" t="s">
        <v>27</v>
      </c>
      <c r="N3177" t="s">
        <v>27</v>
      </c>
      <c r="O3177" t="s">
        <v>27</v>
      </c>
      <c r="P3177" t="s">
        <v>27</v>
      </c>
      <c r="Q3177" t="s">
        <v>27</v>
      </c>
      <c r="R3177" t="s">
        <v>14688</v>
      </c>
      <c r="S3177" t="s">
        <v>14690</v>
      </c>
      <c r="U3177" t="s">
        <v>14691</v>
      </c>
    </row>
    <row r="3178" spans="1:21" x14ac:dyDescent="0.25">
      <c r="A3178" t="s">
        <v>14692</v>
      </c>
      <c r="B3178" t="s">
        <v>38</v>
      </c>
      <c r="C3178" t="s">
        <v>14693</v>
      </c>
      <c r="D3178">
        <f>40-357730030</f>
        <v>-357729990</v>
      </c>
      <c r="E3178" t="s">
        <v>14694</v>
      </c>
      <c r="F3178" t="s">
        <v>14652</v>
      </c>
      <c r="G3178" t="s">
        <v>14653</v>
      </c>
      <c r="H3178">
        <v>21.321290000000001</v>
      </c>
      <c r="I3178">
        <v>46.189869999999999</v>
      </c>
      <c r="J3178">
        <v>130</v>
      </c>
      <c r="K3178" t="s">
        <v>27</v>
      </c>
      <c r="L3178" t="s">
        <v>27</v>
      </c>
      <c r="M3178" t="s">
        <v>27</v>
      </c>
      <c r="N3178" t="s">
        <v>27</v>
      </c>
      <c r="O3178" t="s">
        <v>27</v>
      </c>
      <c r="P3178" t="s">
        <v>27</v>
      </c>
      <c r="Q3178" t="s">
        <v>27</v>
      </c>
      <c r="R3178" t="s">
        <v>14693</v>
      </c>
      <c r="S3178" t="s">
        <v>14695</v>
      </c>
      <c r="U3178" t="s">
        <v>14696</v>
      </c>
    </row>
    <row r="3179" spans="1:21" x14ac:dyDescent="0.25">
      <c r="A3179" t="s">
        <v>14697</v>
      </c>
      <c r="B3179" t="s">
        <v>22</v>
      </c>
      <c r="C3179" t="s">
        <v>14698</v>
      </c>
      <c r="D3179">
        <f>40-351462806</f>
        <v>-351462766</v>
      </c>
      <c r="E3179" t="s">
        <v>14699</v>
      </c>
      <c r="F3179" t="s">
        <v>14652</v>
      </c>
      <c r="G3179" t="s">
        <v>14653</v>
      </c>
      <c r="H3179">
        <v>23.831230000000001</v>
      </c>
      <c r="I3179">
        <v>44.312609999999999</v>
      </c>
      <c r="J3179">
        <v>130</v>
      </c>
      <c r="K3179" t="s">
        <v>27</v>
      </c>
      <c r="L3179" t="s">
        <v>27</v>
      </c>
      <c r="M3179" t="s">
        <v>27</v>
      </c>
      <c r="N3179" t="s">
        <v>27</v>
      </c>
      <c r="O3179" t="s">
        <v>27</v>
      </c>
      <c r="P3179" t="s">
        <v>27</v>
      </c>
      <c r="Q3179" t="s">
        <v>27</v>
      </c>
      <c r="R3179" t="s">
        <v>14698</v>
      </c>
      <c r="S3179" t="s">
        <v>14700</v>
      </c>
      <c r="U3179" t="s">
        <v>14701</v>
      </c>
    </row>
    <row r="3180" spans="1:21" x14ac:dyDescent="0.25">
      <c r="A3180" t="s">
        <v>14702</v>
      </c>
      <c r="B3180" t="s">
        <v>22</v>
      </c>
      <c r="C3180" t="s">
        <v>14703</v>
      </c>
      <c r="D3180">
        <f>40-359434719</f>
        <v>-359434679</v>
      </c>
      <c r="E3180" t="s">
        <v>14704</v>
      </c>
      <c r="F3180" t="s">
        <v>14652</v>
      </c>
      <c r="G3180" t="s">
        <v>14653</v>
      </c>
      <c r="H3180">
        <v>21.94828</v>
      </c>
      <c r="I3180">
        <v>47.035240000000002</v>
      </c>
      <c r="J3180">
        <v>130</v>
      </c>
      <c r="K3180" t="s">
        <v>27</v>
      </c>
      <c r="L3180" t="s">
        <v>27</v>
      </c>
      <c r="M3180" t="s">
        <v>27</v>
      </c>
      <c r="N3180" t="s">
        <v>27</v>
      </c>
      <c r="O3180" t="s">
        <v>27</v>
      </c>
      <c r="P3180" t="s">
        <v>27</v>
      </c>
      <c r="Q3180" t="s">
        <v>27</v>
      </c>
      <c r="R3180" t="s">
        <v>14703</v>
      </c>
      <c r="S3180" t="s">
        <v>14705</v>
      </c>
      <c r="U3180" t="s">
        <v>14706</v>
      </c>
    </row>
    <row r="3181" spans="1:21" x14ac:dyDescent="0.25">
      <c r="A3181" t="s">
        <v>14707</v>
      </c>
      <c r="B3181" t="s">
        <v>38</v>
      </c>
      <c r="C3181" t="s">
        <v>14708</v>
      </c>
      <c r="D3181">
        <f>40-339732155</f>
        <v>-339732115</v>
      </c>
      <c r="E3181" t="s">
        <v>14709</v>
      </c>
      <c r="F3181" t="s">
        <v>14652</v>
      </c>
      <c r="G3181" t="s">
        <v>14653</v>
      </c>
      <c r="H3181">
        <v>27.936889999999998</v>
      </c>
      <c r="I3181">
        <v>45.22974</v>
      </c>
      <c r="J3181">
        <v>130</v>
      </c>
      <c r="K3181" t="s">
        <v>27</v>
      </c>
      <c r="L3181" t="s">
        <v>27</v>
      </c>
      <c r="M3181" t="s">
        <v>27</v>
      </c>
      <c r="N3181" t="s">
        <v>27</v>
      </c>
      <c r="O3181" t="s">
        <v>27</v>
      </c>
      <c r="P3181" t="s">
        <v>27</v>
      </c>
      <c r="Q3181" t="s">
        <v>27</v>
      </c>
      <c r="R3181" t="s">
        <v>14708</v>
      </c>
      <c r="S3181" t="s">
        <v>14710</v>
      </c>
      <c r="U3181" t="s">
        <v>14711</v>
      </c>
    </row>
    <row r="3182" spans="1:21" x14ac:dyDescent="0.25">
      <c r="A3182" t="s">
        <v>14712</v>
      </c>
      <c r="B3182" t="s">
        <v>22</v>
      </c>
      <c r="C3182" t="s">
        <v>14713</v>
      </c>
      <c r="D3182">
        <f>40-330401222</f>
        <v>-330401182</v>
      </c>
      <c r="E3182" t="s">
        <v>14714</v>
      </c>
      <c r="F3182" t="s">
        <v>14652</v>
      </c>
      <c r="G3182" t="s">
        <v>14653</v>
      </c>
      <c r="H3182">
        <v>26.270790000000002</v>
      </c>
      <c r="I3182">
        <v>47.65925</v>
      </c>
      <c r="J3182">
        <v>130</v>
      </c>
      <c r="K3182" t="s">
        <v>27</v>
      </c>
      <c r="L3182" t="s">
        <v>27</v>
      </c>
      <c r="M3182" t="s">
        <v>27</v>
      </c>
      <c r="N3182" t="s">
        <v>27</v>
      </c>
      <c r="O3182" t="s">
        <v>27</v>
      </c>
      <c r="P3182" t="s">
        <v>27</v>
      </c>
      <c r="Q3182" t="s">
        <v>27</v>
      </c>
      <c r="R3182" t="s">
        <v>14713</v>
      </c>
      <c r="S3182" t="s">
        <v>14715</v>
      </c>
      <c r="U3182" t="s">
        <v>14716</v>
      </c>
    </row>
    <row r="3183" spans="1:21" x14ac:dyDescent="0.25">
      <c r="A3183" t="s">
        <v>14717</v>
      </c>
      <c r="B3183" t="s">
        <v>22</v>
      </c>
      <c r="C3183" t="s">
        <v>14718</v>
      </c>
      <c r="D3183">
        <f>40-369801861</f>
        <v>-369801821</v>
      </c>
      <c r="E3183" t="s">
        <v>14719</v>
      </c>
      <c r="F3183" t="s">
        <v>14652</v>
      </c>
      <c r="G3183" t="s">
        <v>14653</v>
      </c>
      <c r="H3183">
        <v>24.170020000000001</v>
      </c>
      <c r="I3183">
        <v>45.775080000000003</v>
      </c>
      <c r="J3183">
        <v>130</v>
      </c>
      <c r="K3183" t="s">
        <v>27</v>
      </c>
      <c r="L3183" t="s">
        <v>27</v>
      </c>
      <c r="M3183" t="s">
        <v>27</v>
      </c>
      <c r="N3183" t="s">
        <v>27</v>
      </c>
      <c r="O3183" t="s">
        <v>27</v>
      </c>
      <c r="P3183" t="s">
        <v>27</v>
      </c>
      <c r="Q3183" t="s">
        <v>27</v>
      </c>
      <c r="R3183" t="s">
        <v>14718</v>
      </c>
      <c r="S3183" t="s">
        <v>14720</v>
      </c>
      <c r="U3183" t="s">
        <v>14721</v>
      </c>
    </row>
    <row r="3184" spans="1:21" x14ac:dyDescent="0.25">
      <c r="A3184" t="s">
        <v>14722</v>
      </c>
      <c r="B3184" t="s">
        <v>22</v>
      </c>
      <c r="C3184" t="s">
        <v>14723</v>
      </c>
      <c r="D3184">
        <f>40-364409134</f>
        <v>-364409094</v>
      </c>
      <c r="E3184" t="s">
        <v>14674</v>
      </c>
      <c r="F3184" t="s">
        <v>14652</v>
      </c>
      <c r="G3184" t="s">
        <v>14653</v>
      </c>
      <c r="H3184">
        <v>23.532520000000002</v>
      </c>
      <c r="I3184">
        <v>46.749339999999997</v>
      </c>
      <c r="J3184">
        <v>130</v>
      </c>
      <c r="K3184" t="s">
        <v>27</v>
      </c>
      <c r="L3184" t="s">
        <v>27</v>
      </c>
      <c r="M3184" t="s">
        <v>27</v>
      </c>
      <c r="N3184" t="s">
        <v>27</v>
      </c>
      <c r="O3184" t="s">
        <v>27</v>
      </c>
      <c r="P3184" t="s">
        <v>27</v>
      </c>
      <c r="Q3184" t="s">
        <v>27</v>
      </c>
      <c r="R3184" t="s">
        <v>14723</v>
      </c>
      <c r="S3184" t="s">
        <v>14724</v>
      </c>
      <c r="U3184" t="s">
        <v>14725</v>
      </c>
    </row>
    <row r="3185" spans="1:21" x14ac:dyDescent="0.25">
      <c r="A3185" t="s">
        <v>14726</v>
      </c>
      <c r="B3185" t="s">
        <v>22</v>
      </c>
      <c r="C3185" t="s">
        <v>14727</v>
      </c>
      <c r="D3185">
        <f>40-344802700</f>
        <v>-344802660</v>
      </c>
      <c r="E3185" t="s">
        <v>14728</v>
      </c>
      <c r="F3185" t="s">
        <v>14652</v>
      </c>
      <c r="G3185" t="s">
        <v>14653</v>
      </c>
      <c r="H3185">
        <v>25.97297</v>
      </c>
      <c r="I3185">
        <v>44.96613</v>
      </c>
      <c r="J3185">
        <v>130</v>
      </c>
      <c r="K3185" t="s">
        <v>27</v>
      </c>
      <c r="L3185" t="s">
        <v>27</v>
      </c>
      <c r="M3185" t="s">
        <v>27</v>
      </c>
      <c r="N3185" t="s">
        <v>27</v>
      </c>
      <c r="O3185" t="s">
        <v>27</v>
      </c>
      <c r="P3185" t="s">
        <v>27</v>
      </c>
      <c r="Q3185" t="s">
        <v>27</v>
      </c>
      <c r="R3185" t="s">
        <v>14727</v>
      </c>
      <c r="S3185" t="s">
        <v>14729</v>
      </c>
      <c r="U3185" t="s">
        <v>14730</v>
      </c>
    </row>
    <row r="3186" spans="1:21" x14ac:dyDescent="0.25">
      <c r="A3186" t="s">
        <v>14731</v>
      </c>
      <c r="B3186" t="s">
        <v>22</v>
      </c>
      <c r="C3186" t="s">
        <v>14732</v>
      </c>
      <c r="D3186">
        <f>40-334405801</f>
        <v>-334405761</v>
      </c>
      <c r="E3186" t="s">
        <v>14733</v>
      </c>
      <c r="F3186" t="s">
        <v>14652</v>
      </c>
      <c r="G3186" t="s">
        <v>14653</v>
      </c>
      <c r="H3186">
        <v>26.914390000000001</v>
      </c>
      <c r="I3186">
        <v>46.579970000000003</v>
      </c>
      <c r="J3186">
        <v>130</v>
      </c>
      <c r="K3186" t="s">
        <v>536</v>
      </c>
      <c r="L3186" t="s">
        <v>536</v>
      </c>
      <c r="M3186" t="s">
        <v>536</v>
      </c>
      <c r="N3186" t="s">
        <v>536</v>
      </c>
      <c r="O3186" t="s">
        <v>27</v>
      </c>
      <c r="P3186" t="s">
        <v>27</v>
      </c>
      <c r="Q3186" t="s">
        <v>27</v>
      </c>
      <c r="R3186" t="s">
        <v>14732</v>
      </c>
      <c r="S3186" t="s">
        <v>14734</v>
      </c>
      <c r="U3186" t="s">
        <v>14735</v>
      </c>
    </row>
    <row r="3187" spans="1:21" x14ac:dyDescent="0.25">
      <c r="A3187" t="s">
        <v>14736</v>
      </c>
      <c r="B3187" t="s">
        <v>22</v>
      </c>
      <c r="C3187" t="s">
        <v>14737</v>
      </c>
      <c r="D3187">
        <f>40-362404827</f>
        <v>-362404787</v>
      </c>
      <c r="E3187" t="s">
        <v>14738</v>
      </c>
      <c r="F3187" t="s">
        <v>14652</v>
      </c>
      <c r="G3187" t="s">
        <v>14653</v>
      </c>
      <c r="H3187">
        <v>23.546589999999998</v>
      </c>
      <c r="I3187">
        <v>47.657020000000003</v>
      </c>
      <c r="J3187">
        <v>130</v>
      </c>
      <c r="K3187" t="s">
        <v>27</v>
      </c>
      <c r="L3187" t="s">
        <v>27</v>
      </c>
      <c r="M3187" t="s">
        <v>27</v>
      </c>
      <c r="N3187" t="s">
        <v>27</v>
      </c>
      <c r="O3187" t="s">
        <v>27</v>
      </c>
      <c r="P3187" t="s">
        <v>27</v>
      </c>
      <c r="Q3187" t="s">
        <v>27</v>
      </c>
      <c r="R3187" t="s">
        <v>14737</v>
      </c>
      <c r="S3187" t="s">
        <v>14739</v>
      </c>
      <c r="U3187" t="s">
        <v>14740</v>
      </c>
    </row>
    <row r="3188" spans="1:21" x14ac:dyDescent="0.25">
      <c r="A3188" t="s">
        <v>14741</v>
      </c>
      <c r="B3188" t="s">
        <v>22</v>
      </c>
      <c r="C3188" t="s">
        <v>14742</v>
      </c>
      <c r="D3188">
        <f>40-365882711</f>
        <v>-365882671</v>
      </c>
      <c r="E3188" t="s">
        <v>14743</v>
      </c>
      <c r="F3188" t="s">
        <v>14652</v>
      </c>
      <c r="G3188" t="s">
        <v>14653</v>
      </c>
      <c r="H3188">
        <v>24.511209999999998</v>
      </c>
      <c r="I3188">
        <v>46.509659999999997</v>
      </c>
      <c r="J3188">
        <v>130</v>
      </c>
      <c r="K3188" t="s">
        <v>27</v>
      </c>
      <c r="L3188" t="s">
        <v>27</v>
      </c>
      <c r="M3188" t="s">
        <v>27</v>
      </c>
      <c r="N3188" t="s">
        <v>27</v>
      </c>
      <c r="O3188" t="s">
        <v>27</v>
      </c>
      <c r="P3188" t="s">
        <v>27</v>
      </c>
      <c r="Q3188" t="s">
        <v>27</v>
      </c>
      <c r="R3188" t="s">
        <v>14742</v>
      </c>
      <c r="S3188" t="s">
        <v>14744</v>
      </c>
      <c r="U3188" t="s">
        <v>14745</v>
      </c>
    </row>
    <row r="3189" spans="1:21" x14ac:dyDescent="0.25">
      <c r="A3189" t="s">
        <v>14746</v>
      </c>
      <c r="B3189" t="s">
        <v>38</v>
      </c>
      <c r="C3189" t="s">
        <v>14747</v>
      </c>
      <c r="D3189">
        <f>40-344802970</f>
        <v>-344802930</v>
      </c>
      <c r="E3189" t="s">
        <v>14728</v>
      </c>
      <c r="F3189" t="s">
        <v>14652</v>
      </c>
      <c r="G3189" t="s">
        <v>14653</v>
      </c>
      <c r="H3189">
        <v>26.033259999999999</v>
      </c>
      <c r="I3189">
        <v>44.947180000000003</v>
      </c>
      <c r="J3189">
        <v>130</v>
      </c>
      <c r="K3189" t="s">
        <v>27</v>
      </c>
      <c r="L3189" t="s">
        <v>27</v>
      </c>
      <c r="M3189" t="s">
        <v>27</v>
      </c>
      <c r="N3189" t="s">
        <v>27</v>
      </c>
      <c r="O3189" t="s">
        <v>27</v>
      </c>
      <c r="P3189" t="s">
        <v>27</v>
      </c>
      <c r="Q3189" t="s">
        <v>27</v>
      </c>
      <c r="R3189" t="s">
        <v>14747</v>
      </c>
      <c r="S3189" t="s">
        <v>14748</v>
      </c>
      <c r="U3189" t="s">
        <v>14749</v>
      </c>
    </row>
    <row r="3190" spans="1:21" x14ac:dyDescent="0.25">
      <c r="A3190" t="s">
        <v>14750</v>
      </c>
      <c r="B3190" t="s">
        <v>22</v>
      </c>
      <c r="C3190" t="s">
        <v>14751</v>
      </c>
      <c r="D3190">
        <f>40-331401994</f>
        <v>-331401954</v>
      </c>
      <c r="E3190" t="s">
        <v>14752</v>
      </c>
      <c r="F3190" t="s">
        <v>14652</v>
      </c>
      <c r="G3190" t="s">
        <v>14653</v>
      </c>
      <c r="H3190">
        <v>26.665659999999999</v>
      </c>
      <c r="I3190">
        <v>47.747529999999998</v>
      </c>
      <c r="J3190">
        <v>130</v>
      </c>
      <c r="K3190" t="s">
        <v>536</v>
      </c>
      <c r="L3190" t="s">
        <v>536</v>
      </c>
      <c r="M3190" t="s">
        <v>536</v>
      </c>
      <c r="N3190" t="s">
        <v>536</v>
      </c>
      <c r="O3190" t="s">
        <v>536</v>
      </c>
      <c r="P3190" t="s">
        <v>27</v>
      </c>
      <c r="Q3190" t="s">
        <v>27</v>
      </c>
      <c r="R3190" t="s">
        <v>14751</v>
      </c>
      <c r="S3190" t="s">
        <v>14753</v>
      </c>
      <c r="U3190" t="s">
        <v>14754</v>
      </c>
    </row>
    <row r="3191" spans="1:21" x14ac:dyDescent="0.25">
      <c r="A3191" t="s">
        <v>14755</v>
      </c>
      <c r="B3191" t="s">
        <v>38</v>
      </c>
      <c r="C3191" t="s">
        <v>14756</v>
      </c>
      <c r="D3191">
        <f>40-338401713</f>
        <v>-338401673</v>
      </c>
      <c r="E3191" t="s">
        <v>14757</v>
      </c>
      <c r="F3191" t="s">
        <v>14652</v>
      </c>
      <c r="G3191" t="s">
        <v>14653</v>
      </c>
      <c r="H3191">
        <v>26.821750000000002</v>
      </c>
      <c r="I3191">
        <v>45.153030000000001</v>
      </c>
      <c r="J3191">
        <v>130</v>
      </c>
      <c r="K3191" t="s">
        <v>536</v>
      </c>
      <c r="L3191" t="s">
        <v>536</v>
      </c>
      <c r="M3191" t="s">
        <v>536</v>
      </c>
      <c r="N3191" t="s">
        <v>536</v>
      </c>
      <c r="O3191" t="s">
        <v>536</v>
      </c>
      <c r="P3191" t="s">
        <v>536</v>
      </c>
      <c r="Q3191" t="s">
        <v>428</v>
      </c>
      <c r="R3191" t="s">
        <v>14756</v>
      </c>
      <c r="S3191" t="s">
        <v>14758</v>
      </c>
      <c r="U3191" t="s">
        <v>14759</v>
      </c>
    </row>
    <row r="3192" spans="1:21" x14ac:dyDescent="0.25">
      <c r="A3192" t="s">
        <v>14760</v>
      </c>
      <c r="B3192" t="s">
        <v>22</v>
      </c>
      <c r="C3192" t="s">
        <v>14761</v>
      </c>
      <c r="D3192">
        <f>40-314052420</f>
        <v>-314052380</v>
      </c>
      <c r="E3192" t="s">
        <v>14651</v>
      </c>
      <c r="F3192" t="s">
        <v>14652</v>
      </c>
      <c r="G3192" t="s">
        <v>14653</v>
      </c>
      <c r="H3192">
        <v>26.103010000000001</v>
      </c>
      <c r="I3192">
        <v>44.478760000000001</v>
      </c>
      <c r="J3192">
        <v>130</v>
      </c>
      <c r="K3192" t="s">
        <v>27</v>
      </c>
      <c r="L3192" t="s">
        <v>27</v>
      </c>
      <c r="M3192" t="s">
        <v>27</v>
      </c>
      <c r="N3192" t="s">
        <v>27</v>
      </c>
      <c r="O3192" t="s">
        <v>27</v>
      </c>
      <c r="P3192" t="s">
        <v>27</v>
      </c>
      <c r="Q3192" t="s">
        <v>27</v>
      </c>
      <c r="R3192" t="s">
        <v>14761</v>
      </c>
      <c r="S3192" t="s">
        <v>14762</v>
      </c>
      <c r="U3192" t="s">
        <v>14763</v>
      </c>
    </row>
    <row r="3193" spans="1:21" x14ac:dyDescent="0.25">
      <c r="A3193" t="s">
        <v>14764</v>
      </c>
      <c r="B3193" t="s">
        <v>22</v>
      </c>
      <c r="C3193" t="s">
        <v>14765</v>
      </c>
      <c r="D3193">
        <f>40-314052680</f>
        <v>-314052640</v>
      </c>
      <c r="E3193" t="s">
        <v>14651</v>
      </c>
      <c r="F3193" t="s">
        <v>14652</v>
      </c>
      <c r="G3193" t="s">
        <v>14653</v>
      </c>
      <c r="H3193">
        <v>25.98245</v>
      </c>
      <c r="I3193">
        <v>44.439830000000001</v>
      </c>
      <c r="J3193">
        <v>130</v>
      </c>
      <c r="K3193" t="s">
        <v>27</v>
      </c>
      <c r="L3193" t="s">
        <v>27</v>
      </c>
      <c r="M3193" t="s">
        <v>27</v>
      </c>
      <c r="N3193" t="s">
        <v>27</v>
      </c>
      <c r="O3193" t="s">
        <v>27</v>
      </c>
      <c r="P3193" t="s">
        <v>27</v>
      </c>
      <c r="Q3193" t="s">
        <v>27</v>
      </c>
      <c r="R3193" t="s">
        <v>14765</v>
      </c>
      <c r="S3193" t="s">
        <v>14766</v>
      </c>
      <c r="U3193" t="s">
        <v>14767</v>
      </c>
    </row>
    <row r="3194" spans="1:21" x14ac:dyDescent="0.25">
      <c r="A3194" t="s">
        <v>14768</v>
      </c>
      <c r="B3194" t="s">
        <v>38</v>
      </c>
      <c r="C3194" t="s">
        <v>14769</v>
      </c>
      <c r="D3194">
        <f>40-336802527</f>
        <v>-336802487</v>
      </c>
      <c r="E3194" t="s">
        <v>14770</v>
      </c>
      <c r="F3194" t="s">
        <v>14652</v>
      </c>
      <c r="G3194" t="s">
        <v>14653</v>
      </c>
      <c r="H3194">
        <v>28.056069999999998</v>
      </c>
      <c r="I3194">
        <v>45.436149999999998</v>
      </c>
      <c r="J3194">
        <v>130</v>
      </c>
      <c r="K3194" t="s">
        <v>536</v>
      </c>
      <c r="L3194" t="s">
        <v>536</v>
      </c>
      <c r="M3194" t="s">
        <v>536</v>
      </c>
      <c r="N3194" t="s">
        <v>536</v>
      </c>
      <c r="O3194" t="s">
        <v>536</v>
      </c>
      <c r="P3194" t="s">
        <v>536</v>
      </c>
      <c r="Q3194" t="s">
        <v>536</v>
      </c>
      <c r="R3194" t="s">
        <v>14769</v>
      </c>
      <c r="S3194" t="s">
        <v>14771</v>
      </c>
      <c r="U3194" t="s">
        <v>14772</v>
      </c>
    </row>
    <row r="3195" spans="1:21" x14ac:dyDescent="0.25">
      <c r="A3195" t="s">
        <v>14773</v>
      </c>
      <c r="B3195" t="s">
        <v>22</v>
      </c>
      <c r="C3195" t="s">
        <v>14774</v>
      </c>
      <c r="D3195">
        <f>40-314381420</f>
        <v>-314381380</v>
      </c>
      <c r="E3195" t="s">
        <v>14651</v>
      </c>
      <c r="F3195" t="s">
        <v>14652</v>
      </c>
      <c r="G3195" t="s">
        <v>14653</v>
      </c>
      <c r="H3195">
        <v>26.072430000000001</v>
      </c>
      <c r="I3195">
        <v>44.416969999999999</v>
      </c>
      <c r="J3195">
        <v>130</v>
      </c>
      <c r="K3195" t="s">
        <v>27</v>
      </c>
      <c r="L3195" t="s">
        <v>27</v>
      </c>
      <c r="M3195" t="s">
        <v>27</v>
      </c>
      <c r="N3195" t="s">
        <v>27</v>
      </c>
      <c r="O3195" t="s">
        <v>27</v>
      </c>
      <c r="P3195" t="s">
        <v>27</v>
      </c>
      <c r="Q3195" t="s">
        <v>27</v>
      </c>
      <c r="R3195" t="s">
        <v>14774</v>
      </c>
      <c r="S3195" t="s">
        <v>14775</v>
      </c>
      <c r="U3195" t="s">
        <v>14776</v>
      </c>
    </row>
    <row r="3196" spans="1:21" x14ac:dyDescent="0.25">
      <c r="A3196" t="s">
        <v>14777</v>
      </c>
      <c r="B3196" t="s">
        <v>22</v>
      </c>
      <c r="C3196" t="s">
        <v>14778</v>
      </c>
      <c r="D3196">
        <f>40-314052440</f>
        <v>-314052400</v>
      </c>
      <c r="E3196" t="s">
        <v>14651</v>
      </c>
      <c r="F3196" t="s">
        <v>14652</v>
      </c>
      <c r="G3196" t="s">
        <v>14653</v>
      </c>
      <c r="H3196">
        <v>26.17869</v>
      </c>
      <c r="I3196">
        <v>44.42022</v>
      </c>
      <c r="J3196">
        <v>130</v>
      </c>
      <c r="K3196" t="s">
        <v>3543</v>
      </c>
      <c r="L3196" t="s">
        <v>3543</v>
      </c>
      <c r="M3196" t="s">
        <v>3543</v>
      </c>
      <c r="N3196" t="s">
        <v>3543</v>
      </c>
      <c r="O3196" t="s">
        <v>3543</v>
      </c>
      <c r="P3196" t="s">
        <v>3543</v>
      </c>
      <c r="Q3196" t="s">
        <v>3543</v>
      </c>
      <c r="R3196" t="s">
        <v>14778</v>
      </c>
      <c r="S3196" t="s">
        <v>14779</v>
      </c>
      <c r="U3196" t="s">
        <v>14780</v>
      </c>
    </row>
    <row r="3197" spans="1:21" x14ac:dyDescent="0.25">
      <c r="A3197" t="s">
        <v>14781</v>
      </c>
      <c r="B3197" t="s">
        <v>22</v>
      </c>
      <c r="C3197" t="s">
        <v>14782</v>
      </c>
      <c r="D3197">
        <f>40-348408121</f>
        <v>-348408081</v>
      </c>
      <c r="E3197" t="s">
        <v>14783</v>
      </c>
      <c r="F3197" t="s">
        <v>14652</v>
      </c>
      <c r="G3197" t="s">
        <v>14653</v>
      </c>
      <c r="H3197">
        <v>24.941759999999999</v>
      </c>
      <c r="I3197">
        <v>44.81953</v>
      </c>
      <c r="J3197">
        <v>130</v>
      </c>
      <c r="K3197" t="s">
        <v>2068</v>
      </c>
      <c r="L3197" t="s">
        <v>2068</v>
      </c>
      <c r="M3197" t="s">
        <v>2068</v>
      </c>
      <c r="N3197" t="s">
        <v>2068</v>
      </c>
      <c r="O3197" t="s">
        <v>2068</v>
      </c>
      <c r="P3197" t="s">
        <v>2068</v>
      </c>
      <c r="Q3197" t="s">
        <v>2068</v>
      </c>
      <c r="R3197" t="s">
        <v>14782</v>
      </c>
      <c r="S3197" t="s">
        <v>14784</v>
      </c>
      <c r="U3197" t="s">
        <v>14785</v>
      </c>
    </row>
    <row r="3198" spans="1:21" x14ac:dyDescent="0.25">
      <c r="A3198" t="s">
        <v>14786</v>
      </c>
      <c r="B3198" t="s">
        <v>22</v>
      </c>
      <c r="C3198" t="s">
        <v>14787</v>
      </c>
      <c r="D3198">
        <f>40-348408264</f>
        <v>-348408224</v>
      </c>
      <c r="E3198" t="s">
        <v>14783</v>
      </c>
      <c r="F3198" t="s">
        <v>14652</v>
      </c>
      <c r="G3198" t="s">
        <v>14653</v>
      </c>
      <c r="H3198">
        <v>24.883659999999999</v>
      </c>
      <c r="I3198">
        <v>44.865949999999998</v>
      </c>
      <c r="J3198">
        <v>130</v>
      </c>
      <c r="K3198" t="s">
        <v>27</v>
      </c>
      <c r="L3198" t="s">
        <v>27</v>
      </c>
      <c r="M3198" t="s">
        <v>27</v>
      </c>
      <c r="N3198" t="s">
        <v>27</v>
      </c>
      <c r="O3198" t="s">
        <v>27</v>
      </c>
      <c r="P3198" t="s">
        <v>27</v>
      </c>
      <c r="Q3198" t="s">
        <v>27</v>
      </c>
      <c r="R3198" t="s">
        <v>14787</v>
      </c>
      <c r="S3198" t="s">
        <v>14788</v>
      </c>
      <c r="U3198" t="s">
        <v>14789</v>
      </c>
    </row>
    <row r="3199" spans="1:21" x14ac:dyDescent="0.25">
      <c r="A3199" t="s">
        <v>14790</v>
      </c>
      <c r="B3199" t="s">
        <v>22</v>
      </c>
      <c r="C3199" t="s">
        <v>14791</v>
      </c>
      <c r="D3199">
        <f>40-350427340</f>
        <v>-350427300</v>
      </c>
      <c r="E3199" t="s">
        <v>14792</v>
      </c>
      <c r="F3199" t="s">
        <v>14652</v>
      </c>
      <c r="G3199" t="s">
        <v>14653</v>
      </c>
      <c r="H3199">
        <v>24.363209999999999</v>
      </c>
      <c r="I3199">
        <v>45.102530000000002</v>
      </c>
      <c r="J3199">
        <v>130</v>
      </c>
      <c r="K3199" t="s">
        <v>312</v>
      </c>
      <c r="L3199" t="s">
        <v>312</v>
      </c>
      <c r="M3199" t="s">
        <v>312</v>
      </c>
      <c r="N3199" t="s">
        <v>312</v>
      </c>
      <c r="O3199" t="s">
        <v>312</v>
      </c>
      <c r="P3199" t="s">
        <v>192</v>
      </c>
      <c r="Q3199" t="s">
        <v>165</v>
      </c>
      <c r="R3199" t="s">
        <v>14791</v>
      </c>
      <c r="S3199" t="s">
        <v>14793</v>
      </c>
      <c r="U3199" t="s">
        <v>14794</v>
      </c>
    </row>
    <row r="3200" spans="1:21" x14ac:dyDescent="0.25">
      <c r="A3200" t="s">
        <v>14795</v>
      </c>
      <c r="B3200" t="s">
        <v>22</v>
      </c>
      <c r="C3200" t="s">
        <v>14796</v>
      </c>
      <c r="D3200">
        <f>40-340402952</f>
        <v>-340402912</v>
      </c>
      <c r="E3200" t="s">
        <v>14797</v>
      </c>
      <c r="F3200" t="s">
        <v>14652</v>
      </c>
      <c r="G3200" t="s">
        <v>14653</v>
      </c>
      <c r="H3200">
        <v>28.804310000000001</v>
      </c>
      <c r="I3200">
        <v>45.177779999999998</v>
      </c>
      <c r="J3200">
        <v>130</v>
      </c>
      <c r="K3200" t="s">
        <v>312</v>
      </c>
      <c r="L3200" t="s">
        <v>312</v>
      </c>
      <c r="M3200" t="s">
        <v>312</v>
      </c>
      <c r="N3200" t="s">
        <v>312</v>
      </c>
      <c r="O3200" t="s">
        <v>312</v>
      </c>
      <c r="P3200" t="s">
        <v>166</v>
      </c>
      <c r="Q3200" t="s">
        <v>166</v>
      </c>
      <c r="R3200" t="s">
        <v>14796</v>
      </c>
      <c r="S3200" t="s">
        <v>14798</v>
      </c>
      <c r="U3200" t="s">
        <v>14799</v>
      </c>
    </row>
    <row r="3201" spans="1:21" x14ac:dyDescent="0.25">
      <c r="A3201" t="s">
        <v>14800</v>
      </c>
      <c r="B3201" t="s">
        <v>22</v>
      </c>
      <c r="C3201" t="s">
        <v>1051</v>
      </c>
      <c r="D3201">
        <f>40-314054070</f>
        <v>-314054030</v>
      </c>
      <c r="E3201" t="s">
        <v>14651</v>
      </c>
      <c r="F3201" t="s">
        <v>14652</v>
      </c>
      <c r="G3201" t="s">
        <v>14653</v>
      </c>
      <c r="H3201">
        <v>26.152190000000001</v>
      </c>
      <c r="I3201">
        <v>44.44267</v>
      </c>
      <c r="J3201">
        <v>130</v>
      </c>
      <c r="K3201" t="s">
        <v>27</v>
      </c>
      <c r="L3201" t="s">
        <v>27</v>
      </c>
      <c r="M3201" t="s">
        <v>27</v>
      </c>
      <c r="N3201" t="s">
        <v>27</v>
      </c>
      <c r="O3201" t="s">
        <v>27</v>
      </c>
      <c r="P3201" t="s">
        <v>27</v>
      </c>
      <c r="Q3201" t="s">
        <v>27</v>
      </c>
      <c r="R3201" t="s">
        <v>1051</v>
      </c>
      <c r="S3201" t="s">
        <v>14801</v>
      </c>
      <c r="U3201" t="s">
        <v>14802</v>
      </c>
    </row>
    <row r="3202" spans="1:21" x14ac:dyDescent="0.25">
      <c r="A3202" t="s">
        <v>14803</v>
      </c>
      <c r="B3202" t="s">
        <v>22</v>
      </c>
      <c r="C3202" t="s">
        <v>14804</v>
      </c>
      <c r="D3202">
        <f>40-336802493</f>
        <v>-336802453</v>
      </c>
      <c r="E3202" t="s">
        <v>14770</v>
      </c>
      <c r="F3202" t="s">
        <v>14652</v>
      </c>
      <c r="G3202" t="s">
        <v>14653</v>
      </c>
      <c r="H3202">
        <v>28.031120000000001</v>
      </c>
      <c r="I3202">
        <v>45.452539999999999</v>
      </c>
      <c r="J3202">
        <v>130</v>
      </c>
      <c r="K3202" t="s">
        <v>27</v>
      </c>
      <c r="L3202" t="s">
        <v>27</v>
      </c>
      <c r="M3202" t="s">
        <v>27</v>
      </c>
      <c r="N3202" t="s">
        <v>27</v>
      </c>
      <c r="O3202" t="s">
        <v>27</v>
      </c>
      <c r="P3202" t="s">
        <v>27</v>
      </c>
      <c r="Q3202" t="s">
        <v>27</v>
      </c>
      <c r="R3202" t="s">
        <v>14804</v>
      </c>
      <c r="S3202" t="s">
        <v>14805</v>
      </c>
      <c r="U3202" t="s">
        <v>14806</v>
      </c>
    </row>
    <row r="3203" spans="1:21" x14ac:dyDescent="0.25">
      <c r="A3203" t="s">
        <v>14807</v>
      </c>
      <c r="B3203" t="s">
        <v>22</v>
      </c>
      <c r="C3203" t="s">
        <v>14808</v>
      </c>
      <c r="D3203">
        <f>40-333401993</f>
        <v>-333401953</v>
      </c>
      <c r="E3203" t="s">
        <v>14809</v>
      </c>
      <c r="F3203" t="s">
        <v>14652</v>
      </c>
      <c r="G3203" t="s">
        <v>14653</v>
      </c>
      <c r="H3203">
        <v>26.362929999999999</v>
      </c>
      <c r="I3203">
        <v>46.930669999999999</v>
      </c>
      <c r="J3203">
        <v>130</v>
      </c>
      <c r="K3203" t="s">
        <v>192</v>
      </c>
      <c r="L3203" t="s">
        <v>192</v>
      </c>
      <c r="M3203" t="s">
        <v>192</v>
      </c>
      <c r="N3203" t="s">
        <v>192</v>
      </c>
      <c r="O3203" t="s">
        <v>192</v>
      </c>
      <c r="P3203" t="s">
        <v>192</v>
      </c>
      <c r="Q3203" t="s">
        <v>622</v>
      </c>
      <c r="R3203" t="s">
        <v>14808</v>
      </c>
      <c r="S3203" t="s">
        <v>14810</v>
      </c>
      <c r="U3203" t="s">
        <v>14811</v>
      </c>
    </row>
    <row r="3204" spans="1:21" x14ac:dyDescent="0.25">
      <c r="A3204" t="s">
        <v>14812</v>
      </c>
      <c r="B3204" t="s">
        <v>38</v>
      </c>
      <c r="C3204" t="s">
        <v>14813</v>
      </c>
      <c r="D3204">
        <f>40-353402964</f>
        <v>-353402924</v>
      </c>
      <c r="E3204" t="s">
        <v>14814</v>
      </c>
      <c r="F3204" t="s">
        <v>14652</v>
      </c>
      <c r="G3204" t="s">
        <v>14653</v>
      </c>
      <c r="H3204">
        <v>23.265160000000002</v>
      </c>
      <c r="I3204">
        <v>45.02552</v>
      </c>
      <c r="J3204">
        <v>130</v>
      </c>
      <c r="K3204" t="s">
        <v>27</v>
      </c>
      <c r="L3204" t="s">
        <v>27</v>
      </c>
      <c r="M3204" t="s">
        <v>27</v>
      </c>
      <c r="N3204" t="s">
        <v>27</v>
      </c>
      <c r="O3204" t="s">
        <v>27</v>
      </c>
      <c r="P3204" t="s">
        <v>27</v>
      </c>
      <c r="Q3204" t="s">
        <v>27</v>
      </c>
      <c r="R3204" t="s">
        <v>14813</v>
      </c>
      <c r="S3204" t="s">
        <v>14815</v>
      </c>
      <c r="U3204" t="s">
        <v>14816</v>
      </c>
    </row>
    <row r="3205" spans="1:21" x14ac:dyDescent="0.25">
      <c r="A3205" t="s">
        <v>14817</v>
      </c>
      <c r="B3205" t="s">
        <v>22</v>
      </c>
      <c r="C3205" t="s">
        <v>14818</v>
      </c>
      <c r="D3205">
        <f>40-368730761</f>
        <v>-368730721</v>
      </c>
      <c r="E3205" t="s">
        <v>14819</v>
      </c>
      <c r="F3205" t="s">
        <v>14652</v>
      </c>
      <c r="G3205" t="s">
        <v>14653</v>
      </c>
      <c r="H3205">
        <v>25.617650000000001</v>
      </c>
      <c r="I3205">
        <v>45.672370000000001</v>
      </c>
      <c r="J3205">
        <v>130</v>
      </c>
      <c r="K3205" t="s">
        <v>27</v>
      </c>
      <c r="L3205" t="s">
        <v>27</v>
      </c>
      <c r="M3205" t="s">
        <v>27</v>
      </c>
      <c r="N3205" t="s">
        <v>27</v>
      </c>
      <c r="O3205" t="s">
        <v>27</v>
      </c>
      <c r="P3205" t="s">
        <v>27</v>
      </c>
      <c r="Q3205" t="s">
        <v>27</v>
      </c>
      <c r="R3205" t="s">
        <v>14818</v>
      </c>
      <c r="S3205" t="s">
        <v>14820</v>
      </c>
      <c r="U3205" t="s">
        <v>14821</v>
      </c>
    </row>
    <row r="3206" spans="1:21" x14ac:dyDescent="0.25">
      <c r="A3206" t="s">
        <v>14822</v>
      </c>
      <c r="B3206" t="s">
        <v>38</v>
      </c>
      <c r="C3206" t="s">
        <v>14823</v>
      </c>
      <c r="D3206">
        <f>40-337401101</f>
        <v>-337401061</v>
      </c>
      <c r="E3206" t="s">
        <v>14824</v>
      </c>
      <c r="F3206" t="s">
        <v>14652</v>
      </c>
      <c r="G3206" t="s">
        <v>14653</v>
      </c>
      <c r="H3206">
        <v>27.20598</v>
      </c>
      <c r="I3206">
        <v>45.705379999999998</v>
      </c>
      <c r="J3206">
        <v>130</v>
      </c>
      <c r="K3206" t="s">
        <v>27</v>
      </c>
      <c r="L3206" t="s">
        <v>27</v>
      </c>
      <c r="M3206" t="s">
        <v>27</v>
      </c>
      <c r="N3206" t="s">
        <v>27</v>
      </c>
      <c r="O3206" t="s">
        <v>27</v>
      </c>
      <c r="P3206" t="s">
        <v>27</v>
      </c>
      <c r="Q3206" t="s">
        <v>27</v>
      </c>
      <c r="R3206" t="s">
        <v>14823</v>
      </c>
      <c r="S3206" t="s">
        <v>14825</v>
      </c>
      <c r="U3206" t="s">
        <v>14826</v>
      </c>
    </row>
    <row r="3207" spans="1:21" x14ac:dyDescent="0.25">
      <c r="A3207" t="s">
        <v>14827</v>
      </c>
      <c r="B3207" t="s">
        <v>38</v>
      </c>
      <c r="C3207" t="s">
        <v>14828</v>
      </c>
      <c r="D3207">
        <f>40-354730991</f>
        <v>-354730951</v>
      </c>
      <c r="E3207" t="s">
        <v>14829</v>
      </c>
      <c r="F3207" t="s">
        <v>14652</v>
      </c>
      <c r="G3207" t="s">
        <v>14653</v>
      </c>
      <c r="H3207">
        <v>22.930389999999999</v>
      </c>
      <c r="I3207">
        <v>45.863610000000001</v>
      </c>
      <c r="J3207">
        <v>130</v>
      </c>
      <c r="K3207" t="s">
        <v>27</v>
      </c>
      <c r="L3207" t="s">
        <v>27</v>
      </c>
      <c r="M3207" t="s">
        <v>27</v>
      </c>
      <c r="N3207" t="s">
        <v>27</v>
      </c>
      <c r="O3207" t="s">
        <v>27</v>
      </c>
      <c r="P3207" t="s">
        <v>27</v>
      </c>
      <c r="Q3207" t="s">
        <v>27</v>
      </c>
      <c r="R3207" t="s">
        <v>14828</v>
      </c>
      <c r="S3207" t="s">
        <v>14830</v>
      </c>
      <c r="U3207" t="s">
        <v>14831</v>
      </c>
    </row>
    <row r="3208" spans="1:21" x14ac:dyDescent="0.25">
      <c r="A3208" t="s">
        <v>14832</v>
      </c>
      <c r="B3208" t="s">
        <v>38</v>
      </c>
      <c r="C3208" t="s">
        <v>14833</v>
      </c>
      <c r="D3208">
        <f>40-314053871</f>
        <v>-314053831</v>
      </c>
      <c r="E3208" t="s">
        <v>14651</v>
      </c>
      <c r="F3208" t="s">
        <v>14652</v>
      </c>
      <c r="G3208" t="s">
        <v>14653</v>
      </c>
      <c r="H3208">
        <v>26.12914</v>
      </c>
      <c r="I3208">
        <v>44.452509999999997</v>
      </c>
      <c r="J3208">
        <v>130</v>
      </c>
      <c r="K3208" t="s">
        <v>27</v>
      </c>
      <c r="L3208" t="s">
        <v>27</v>
      </c>
      <c r="M3208" t="s">
        <v>27</v>
      </c>
      <c r="N3208" t="s">
        <v>27</v>
      </c>
      <c r="O3208" t="s">
        <v>27</v>
      </c>
      <c r="P3208" t="s">
        <v>27</v>
      </c>
      <c r="Q3208" t="s">
        <v>27</v>
      </c>
      <c r="R3208" t="s">
        <v>14833</v>
      </c>
      <c r="S3208" t="s">
        <v>14834</v>
      </c>
      <c r="U3208" t="s">
        <v>14835</v>
      </c>
    </row>
    <row r="3209" spans="1:21" x14ac:dyDescent="0.25">
      <c r="A3209" t="s">
        <v>14836</v>
      </c>
      <c r="B3209" t="s">
        <v>22</v>
      </c>
      <c r="C3209" t="s">
        <v>14837</v>
      </c>
      <c r="D3209">
        <f>40-351464666</f>
        <v>-351464626</v>
      </c>
      <c r="E3209" t="s">
        <v>14699</v>
      </c>
      <c r="F3209" t="s">
        <v>14652</v>
      </c>
      <c r="G3209" t="s">
        <v>14653</v>
      </c>
      <c r="H3209">
        <v>23.794740000000001</v>
      </c>
      <c r="I3209">
        <v>44.317439999999998</v>
      </c>
      <c r="J3209">
        <v>130</v>
      </c>
      <c r="K3209" t="s">
        <v>27</v>
      </c>
      <c r="L3209" t="s">
        <v>27</v>
      </c>
      <c r="M3209" t="s">
        <v>27</v>
      </c>
      <c r="N3209" t="s">
        <v>27</v>
      </c>
      <c r="O3209" t="s">
        <v>27</v>
      </c>
      <c r="P3209" t="s">
        <v>27</v>
      </c>
      <c r="Q3209" t="s">
        <v>27</v>
      </c>
      <c r="R3209" t="s">
        <v>14837</v>
      </c>
      <c r="S3209" t="s">
        <v>14838</v>
      </c>
      <c r="U3209" t="s">
        <v>14839</v>
      </c>
    </row>
    <row r="3210" spans="1:21" x14ac:dyDescent="0.25">
      <c r="A3210" t="s">
        <v>14840</v>
      </c>
      <c r="B3210" t="s">
        <v>22</v>
      </c>
      <c r="C3210" t="s">
        <v>14841</v>
      </c>
      <c r="D3210">
        <f>40-314053865</f>
        <v>-314053825</v>
      </c>
      <c r="E3210" t="s">
        <v>14651</v>
      </c>
      <c r="F3210" t="s">
        <v>14652</v>
      </c>
      <c r="G3210" t="s">
        <v>14653</v>
      </c>
      <c r="H3210">
        <v>26.148520000000001</v>
      </c>
      <c r="I3210">
        <v>44.420009999999998</v>
      </c>
      <c r="J3210">
        <v>130</v>
      </c>
      <c r="K3210" t="s">
        <v>27</v>
      </c>
      <c r="L3210" t="s">
        <v>27</v>
      </c>
      <c r="M3210" t="s">
        <v>27</v>
      </c>
      <c r="N3210" t="s">
        <v>27</v>
      </c>
      <c r="O3210" t="s">
        <v>27</v>
      </c>
      <c r="P3210" t="s">
        <v>27</v>
      </c>
      <c r="Q3210" t="s">
        <v>27</v>
      </c>
      <c r="R3210" t="s">
        <v>14841</v>
      </c>
      <c r="S3210" t="s">
        <v>14842</v>
      </c>
      <c r="U3210" t="s">
        <v>14843</v>
      </c>
    </row>
    <row r="3211" spans="1:21" x14ac:dyDescent="0.25">
      <c r="A3211" t="s">
        <v>14844</v>
      </c>
      <c r="B3211" t="s">
        <v>22</v>
      </c>
      <c r="C3211" t="s">
        <v>14845</v>
      </c>
      <c r="D3211">
        <f>40-356007608</f>
        <v>-356007568</v>
      </c>
      <c r="E3211" t="s">
        <v>14679</v>
      </c>
      <c r="F3211" t="s">
        <v>14652</v>
      </c>
      <c r="G3211" t="s">
        <v>14653</v>
      </c>
      <c r="H3211">
        <v>21.198589999999999</v>
      </c>
      <c r="I3211">
        <v>45.724710000000002</v>
      </c>
      <c r="J3211">
        <v>130</v>
      </c>
      <c r="K3211" t="s">
        <v>27</v>
      </c>
      <c r="L3211" t="s">
        <v>27</v>
      </c>
      <c r="M3211" t="s">
        <v>27</v>
      </c>
      <c r="N3211" t="s">
        <v>27</v>
      </c>
      <c r="O3211" t="s">
        <v>27</v>
      </c>
      <c r="P3211" t="s">
        <v>27</v>
      </c>
      <c r="Q3211" t="s">
        <v>27</v>
      </c>
      <c r="R3211" t="s">
        <v>14845</v>
      </c>
      <c r="S3211" t="s">
        <v>14846</v>
      </c>
      <c r="U3211" t="s">
        <v>14847</v>
      </c>
    </row>
    <row r="3212" spans="1:21" x14ac:dyDescent="0.25">
      <c r="A3212" t="s">
        <v>14848</v>
      </c>
      <c r="B3212" t="s">
        <v>22</v>
      </c>
      <c r="C3212" t="s">
        <v>14849</v>
      </c>
      <c r="D3212">
        <f>40-361413815</f>
        <v>-361413775</v>
      </c>
      <c r="E3212" t="s">
        <v>14850</v>
      </c>
      <c r="F3212" t="s">
        <v>14652</v>
      </c>
      <c r="G3212" t="s">
        <v>14653</v>
      </c>
      <c r="H3212">
        <v>22.868110000000001</v>
      </c>
      <c r="I3212">
        <v>47.790990000000001</v>
      </c>
      <c r="J3212">
        <v>130</v>
      </c>
      <c r="K3212" t="s">
        <v>312</v>
      </c>
      <c r="L3212" t="s">
        <v>312</v>
      </c>
      <c r="M3212" t="s">
        <v>312</v>
      </c>
      <c r="N3212" t="s">
        <v>312</v>
      </c>
      <c r="O3212" t="s">
        <v>312</v>
      </c>
      <c r="P3212" t="s">
        <v>312</v>
      </c>
      <c r="Q3212" t="s">
        <v>312</v>
      </c>
      <c r="R3212" t="s">
        <v>14849</v>
      </c>
      <c r="S3212" t="s">
        <v>14851</v>
      </c>
      <c r="U3212" t="s">
        <v>14852</v>
      </c>
    </row>
    <row r="3213" spans="1:21" x14ac:dyDescent="0.25">
      <c r="A3213" t="s">
        <v>14853</v>
      </c>
      <c r="B3213" t="s">
        <v>22</v>
      </c>
      <c r="C3213" t="s">
        <v>14854</v>
      </c>
      <c r="D3213">
        <f>40-332440621</f>
        <v>-332440581</v>
      </c>
      <c r="E3213" t="s">
        <v>14684</v>
      </c>
      <c r="F3213" t="s">
        <v>14652</v>
      </c>
      <c r="G3213" t="s">
        <v>14653</v>
      </c>
      <c r="H3213">
        <v>27.605820000000001</v>
      </c>
      <c r="I3213">
        <v>47.154690000000002</v>
      </c>
      <c r="J3213">
        <v>130</v>
      </c>
      <c r="K3213" t="s">
        <v>27</v>
      </c>
      <c r="L3213" t="s">
        <v>27</v>
      </c>
      <c r="M3213" t="s">
        <v>27</v>
      </c>
      <c r="N3213" t="s">
        <v>27</v>
      </c>
      <c r="O3213" t="s">
        <v>27</v>
      </c>
      <c r="P3213" t="s">
        <v>27</v>
      </c>
      <c r="Q3213" t="s">
        <v>27</v>
      </c>
      <c r="R3213" t="s">
        <v>14854</v>
      </c>
      <c r="S3213" t="s">
        <v>14855</v>
      </c>
      <c r="U3213" t="s">
        <v>14856</v>
      </c>
    </row>
    <row r="3214" spans="1:21" x14ac:dyDescent="0.25">
      <c r="A3214" t="s">
        <v>14857</v>
      </c>
      <c r="B3214" t="s">
        <v>22</v>
      </c>
      <c r="C3214" t="s">
        <v>9588</v>
      </c>
      <c r="D3214">
        <f>40-314260752</f>
        <v>-314260712</v>
      </c>
      <c r="E3214" t="s">
        <v>14651</v>
      </c>
      <c r="F3214" t="s">
        <v>14652</v>
      </c>
      <c r="G3214" t="s">
        <v>14653</v>
      </c>
      <c r="H3214">
        <v>26.122890000000002</v>
      </c>
      <c r="I3214">
        <v>44.394440000000003</v>
      </c>
      <c r="J3214">
        <v>130</v>
      </c>
      <c r="K3214" t="s">
        <v>27</v>
      </c>
      <c r="L3214" t="s">
        <v>27</v>
      </c>
      <c r="M3214" t="s">
        <v>27</v>
      </c>
      <c r="N3214" t="s">
        <v>27</v>
      </c>
      <c r="O3214" t="s">
        <v>27</v>
      </c>
      <c r="P3214" t="s">
        <v>27</v>
      </c>
      <c r="Q3214" t="s">
        <v>27</v>
      </c>
      <c r="R3214" t="s">
        <v>9588</v>
      </c>
      <c r="S3214" t="s">
        <v>14858</v>
      </c>
      <c r="U3214" t="s">
        <v>14859</v>
      </c>
    </row>
    <row r="3215" spans="1:21" x14ac:dyDescent="0.25">
      <c r="A3215" t="s">
        <v>14860</v>
      </c>
      <c r="B3215" t="s">
        <v>38</v>
      </c>
      <c r="C3215" t="s">
        <v>14861</v>
      </c>
      <c r="D3215">
        <f>40-344801307</f>
        <v>-344801267</v>
      </c>
      <c r="E3215" t="s">
        <v>14728</v>
      </c>
      <c r="F3215" t="s">
        <v>14652</v>
      </c>
      <c r="G3215" t="s">
        <v>14653</v>
      </c>
      <c r="H3215">
        <v>26.020189999999999</v>
      </c>
      <c r="I3215">
        <v>44.941249999999997</v>
      </c>
      <c r="J3215">
        <v>130</v>
      </c>
      <c r="K3215" t="s">
        <v>312</v>
      </c>
      <c r="L3215" t="s">
        <v>312</v>
      </c>
      <c r="M3215" t="s">
        <v>312</v>
      </c>
      <c r="N3215" t="s">
        <v>312</v>
      </c>
      <c r="O3215" t="s">
        <v>312</v>
      </c>
      <c r="P3215" t="s">
        <v>312</v>
      </c>
      <c r="Q3215" t="s">
        <v>312</v>
      </c>
      <c r="R3215" t="s">
        <v>14861</v>
      </c>
      <c r="S3215" t="s">
        <v>14862</v>
      </c>
      <c r="U3215" t="s">
        <v>14863</v>
      </c>
    </row>
    <row r="3216" spans="1:21" x14ac:dyDescent="0.25">
      <c r="A3216" t="s">
        <v>14864</v>
      </c>
      <c r="B3216" t="s">
        <v>38</v>
      </c>
      <c r="C3216" t="s">
        <v>14865</v>
      </c>
      <c r="D3216">
        <f>40-341180126</f>
        <v>-341180086</v>
      </c>
      <c r="E3216" t="s">
        <v>14689</v>
      </c>
      <c r="F3216" t="s">
        <v>14652</v>
      </c>
      <c r="G3216" t="s">
        <v>14653</v>
      </c>
      <c r="H3216">
        <v>28.646879999999999</v>
      </c>
      <c r="I3216">
        <v>44.178550000000001</v>
      </c>
      <c r="J3216">
        <v>130</v>
      </c>
      <c r="K3216" t="s">
        <v>27</v>
      </c>
      <c r="L3216" t="s">
        <v>27</v>
      </c>
      <c r="M3216" t="s">
        <v>27</v>
      </c>
      <c r="N3216" t="s">
        <v>27</v>
      </c>
      <c r="O3216" t="s">
        <v>27</v>
      </c>
      <c r="P3216" t="s">
        <v>27</v>
      </c>
      <c r="Q3216" t="s">
        <v>27</v>
      </c>
      <c r="R3216" t="s">
        <v>14865</v>
      </c>
      <c r="S3216" t="s">
        <v>14866</v>
      </c>
      <c r="U3216" t="s">
        <v>14867</v>
      </c>
    </row>
    <row r="3217" spans="1:21" x14ac:dyDescent="0.25">
      <c r="A3217" t="s">
        <v>14868</v>
      </c>
      <c r="B3217" t="s">
        <v>22</v>
      </c>
      <c r="C3217" t="s">
        <v>14869</v>
      </c>
      <c r="D3217">
        <f>40-364411966</f>
        <v>-364411926</v>
      </c>
      <c r="E3217" t="s">
        <v>14674</v>
      </c>
      <c r="F3217" t="s">
        <v>14652</v>
      </c>
      <c r="G3217" t="s">
        <v>14653</v>
      </c>
      <c r="H3217">
        <v>23.571729999999999</v>
      </c>
      <c r="I3217">
        <v>46.762909999999998</v>
      </c>
      <c r="J3217">
        <v>130</v>
      </c>
      <c r="K3217" t="s">
        <v>27</v>
      </c>
      <c r="L3217" t="s">
        <v>27</v>
      </c>
      <c r="M3217" t="s">
        <v>27</v>
      </c>
      <c r="N3217" t="s">
        <v>27</v>
      </c>
      <c r="O3217" t="s">
        <v>27</v>
      </c>
      <c r="P3217" t="s">
        <v>27</v>
      </c>
      <c r="Q3217" t="s">
        <v>27</v>
      </c>
      <c r="R3217" t="s">
        <v>14869</v>
      </c>
      <c r="S3217" t="s">
        <v>14870</v>
      </c>
      <c r="U3217" t="s">
        <v>14871</v>
      </c>
    </row>
    <row r="3218" spans="1:21" x14ac:dyDescent="0.25">
      <c r="A3218" t="s">
        <v>14872</v>
      </c>
      <c r="B3218" t="s">
        <v>22</v>
      </c>
      <c r="C3218" t="s">
        <v>14873</v>
      </c>
      <c r="D3218">
        <f>40-341180080</f>
        <v>-341180040</v>
      </c>
      <c r="E3218" t="s">
        <v>14689</v>
      </c>
      <c r="F3218" t="s">
        <v>14652</v>
      </c>
      <c r="G3218" t="s">
        <v>14653</v>
      </c>
      <c r="H3218">
        <v>28.63269</v>
      </c>
      <c r="I3218">
        <v>44.203420000000001</v>
      </c>
      <c r="J3218">
        <v>130</v>
      </c>
      <c r="K3218" t="s">
        <v>27</v>
      </c>
      <c r="L3218" t="s">
        <v>27</v>
      </c>
      <c r="M3218" t="s">
        <v>27</v>
      </c>
      <c r="N3218" t="s">
        <v>27</v>
      </c>
      <c r="O3218" t="s">
        <v>27</v>
      </c>
      <c r="P3218" t="s">
        <v>27</v>
      </c>
      <c r="Q3218" t="s">
        <v>27</v>
      </c>
      <c r="R3218" t="s">
        <v>14873</v>
      </c>
      <c r="S3218" t="s">
        <v>14874</v>
      </c>
      <c r="U3218" t="s">
        <v>14875</v>
      </c>
    </row>
    <row r="3219" spans="1:21" x14ac:dyDescent="0.25">
      <c r="A3219" t="s">
        <v>14876</v>
      </c>
      <c r="B3219" t="s">
        <v>38</v>
      </c>
      <c r="C3219" t="s">
        <v>14877</v>
      </c>
      <c r="D3219">
        <f>40-333401009</f>
        <v>-333400969</v>
      </c>
      <c r="E3219" t="s">
        <v>14809</v>
      </c>
      <c r="F3219" t="s">
        <v>14652</v>
      </c>
      <c r="G3219" t="s">
        <v>14653</v>
      </c>
      <c r="H3219">
        <v>26.348510000000001</v>
      </c>
      <c r="I3219">
        <v>46.935720000000003</v>
      </c>
      <c r="J3219">
        <v>130</v>
      </c>
      <c r="K3219" t="s">
        <v>27</v>
      </c>
      <c r="L3219" t="s">
        <v>27</v>
      </c>
      <c r="M3219" t="s">
        <v>27</v>
      </c>
      <c r="N3219" t="s">
        <v>27</v>
      </c>
      <c r="O3219" t="s">
        <v>27</v>
      </c>
      <c r="P3219" t="s">
        <v>27</v>
      </c>
      <c r="Q3219" t="s">
        <v>27</v>
      </c>
      <c r="R3219" t="s">
        <v>14877</v>
      </c>
      <c r="S3219" t="s">
        <v>14878</v>
      </c>
      <c r="U3219" t="s">
        <v>14879</v>
      </c>
    </row>
    <row r="3220" spans="1:21" x14ac:dyDescent="0.25">
      <c r="A3220" t="s">
        <v>14880</v>
      </c>
      <c r="B3220" t="s">
        <v>38</v>
      </c>
      <c r="C3220" t="s">
        <v>14881</v>
      </c>
      <c r="D3220">
        <f>40-363730910</f>
        <v>-363730870</v>
      </c>
      <c r="E3220" t="s">
        <v>14882</v>
      </c>
      <c r="F3220" t="s">
        <v>14652</v>
      </c>
      <c r="G3220" t="s">
        <v>14653</v>
      </c>
      <c r="H3220">
        <v>24.515219999999999</v>
      </c>
      <c r="I3220">
        <v>47.147820000000003</v>
      </c>
      <c r="J3220">
        <v>130</v>
      </c>
      <c r="K3220" t="s">
        <v>312</v>
      </c>
      <c r="L3220" t="s">
        <v>312</v>
      </c>
      <c r="M3220" t="s">
        <v>312</v>
      </c>
      <c r="N3220" t="s">
        <v>312</v>
      </c>
      <c r="O3220" t="s">
        <v>312</v>
      </c>
      <c r="P3220" t="s">
        <v>312</v>
      </c>
      <c r="Q3220" t="s">
        <v>45</v>
      </c>
      <c r="R3220" t="s">
        <v>14881</v>
      </c>
      <c r="S3220" t="s">
        <v>14883</v>
      </c>
      <c r="U3220" t="s">
        <v>14884</v>
      </c>
    </row>
    <row r="3221" spans="1:21" x14ac:dyDescent="0.25">
      <c r="A3221" t="s">
        <v>14885</v>
      </c>
      <c r="B3221" t="s">
        <v>22</v>
      </c>
      <c r="C3221" t="s">
        <v>14886</v>
      </c>
      <c r="D3221">
        <f>40-369427100</f>
        <v>-369427060</v>
      </c>
      <c r="E3221" t="s">
        <v>14719</v>
      </c>
      <c r="F3221" t="s">
        <v>14652</v>
      </c>
      <c r="G3221" t="s">
        <v>14653</v>
      </c>
      <c r="H3221">
        <v>24.163</v>
      </c>
      <c r="I3221">
        <v>45.797527000000002</v>
      </c>
      <c r="J3221">
        <v>130</v>
      </c>
      <c r="K3221" t="s">
        <v>27</v>
      </c>
      <c r="L3221" t="s">
        <v>27</v>
      </c>
      <c r="M3221" t="s">
        <v>27</v>
      </c>
      <c r="N3221" t="s">
        <v>27</v>
      </c>
      <c r="O3221" t="s">
        <v>27</v>
      </c>
      <c r="P3221" t="s">
        <v>27</v>
      </c>
      <c r="Q3221" t="s">
        <v>27</v>
      </c>
      <c r="R3221" t="s">
        <v>14886</v>
      </c>
      <c r="S3221" t="s">
        <v>14887</v>
      </c>
      <c r="U3221" t="s">
        <v>14888</v>
      </c>
    </row>
    <row r="3222" spans="1:21" x14ac:dyDescent="0.25">
      <c r="A3222" t="s">
        <v>14889</v>
      </c>
      <c r="B3222" t="s">
        <v>38</v>
      </c>
      <c r="C3222" t="s">
        <v>14890</v>
      </c>
      <c r="D3222">
        <f>40-359405067</f>
        <v>-359405027</v>
      </c>
      <c r="E3222" t="s">
        <v>14704</v>
      </c>
      <c r="F3222" t="s">
        <v>14652</v>
      </c>
      <c r="G3222" t="s">
        <v>14653</v>
      </c>
      <c r="H3222">
        <v>21.915749184026701</v>
      </c>
      <c r="I3222">
        <v>47.058403782542896</v>
      </c>
      <c r="J3222">
        <v>115</v>
      </c>
      <c r="K3222" t="s">
        <v>312</v>
      </c>
      <c r="L3222" t="s">
        <v>312</v>
      </c>
      <c r="M3222" t="s">
        <v>312</v>
      </c>
      <c r="N3222" t="s">
        <v>312</v>
      </c>
      <c r="O3222" t="s">
        <v>312</v>
      </c>
      <c r="P3222" t="s">
        <v>312</v>
      </c>
      <c r="Q3222" t="s">
        <v>312</v>
      </c>
      <c r="R3222" t="s">
        <v>14890</v>
      </c>
      <c r="S3222" t="s">
        <v>14891</v>
      </c>
      <c r="U3222" t="s">
        <v>14892</v>
      </c>
    </row>
    <row r="3223" spans="1:21" x14ac:dyDescent="0.25">
      <c r="A3223" t="s">
        <v>14893</v>
      </c>
      <c r="B3223" t="s">
        <v>22</v>
      </c>
      <c r="C3223" t="s">
        <v>14894</v>
      </c>
      <c r="D3223">
        <f>381-114112601</f>
        <v>-114112220</v>
      </c>
      <c r="E3223" t="s">
        <v>14895</v>
      </c>
      <c r="F3223" t="s">
        <v>14896</v>
      </c>
      <c r="G3223" t="s">
        <v>14897</v>
      </c>
      <c r="H3223">
        <v>20.4056024551391</v>
      </c>
      <c r="I3223">
        <v>44.804859010485799</v>
      </c>
      <c r="J3223">
        <v>100</v>
      </c>
      <c r="K3223" t="s">
        <v>27</v>
      </c>
      <c r="L3223" t="s">
        <v>27</v>
      </c>
      <c r="M3223" t="s">
        <v>27</v>
      </c>
      <c r="N3223" t="s">
        <v>27</v>
      </c>
      <c r="O3223" t="s">
        <v>27</v>
      </c>
      <c r="P3223" t="s">
        <v>27</v>
      </c>
      <c r="Q3223" t="s">
        <v>27</v>
      </c>
      <c r="R3223" t="s">
        <v>14894</v>
      </c>
      <c r="S3223" t="s">
        <v>14898</v>
      </c>
      <c r="U3223" t="s">
        <v>14899</v>
      </c>
    </row>
    <row r="3224" spans="1:21" x14ac:dyDescent="0.25">
      <c r="A3224" t="s">
        <v>14900</v>
      </c>
      <c r="B3224" t="s">
        <v>38</v>
      </c>
      <c r="C3224" t="s">
        <v>232</v>
      </c>
      <c r="D3224">
        <f>381-114112611</f>
        <v>-114112230</v>
      </c>
      <c r="E3224" t="s">
        <v>14895</v>
      </c>
      <c r="F3224" t="s">
        <v>14896</v>
      </c>
      <c r="G3224" t="s">
        <v>14897</v>
      </c>
      <c r="H3224">
        <v>20.490617752075199</v>
      </c>
      <c r="I3224">
        <v>44.7748590397103</v>
      </c>
      <c r="J3224">
        <v>100</v>
      </c>
      <c r="K3224" t="s">
        <v>27</v>
      </c>
      <c r="L3224" t="s">
        <v>27</v>
      </c>
      <c r="M3224" t="s">
        <v>27</v>
      </c>
      <c r="N3224" t="s">
        <v>27</v>
      </c>
      <c r="O3224" t="s">
        <v>27</v>
      </c>
      <c r="P3224" t="s">
        <v>27</v>
      </c>
      <c r="Q3224" t="s">
        <v>27</v>
      </c>
      <c r="R3224" t="s">
        <v>232</v>
      </c>
      <c r="S3224" t="s">
        <v>14901</v>
      </c>
      <c r="U3224" t="s">
        <v>14902</v>
      </c>
    </row>
    <row r="3225" spans="1:21" x14ac:dyDescent="0.25">
      <c r="A3225" t="s">
        <v>14903</v>
      </c>
      <c r="B3225" t="s">
        <v>38</v>
      </c>
      <c r="C3225" t="s">
        <v>14904</v>
      </c>
      <c r="D3225">
        <f>381-213101901</f>
        <v>-213101520</v>
      </c>
      <c r="E3225" t="s">
        <v>14905</v>
      </c>
      <c r="F3225" t="s">
        <v>14896</v>
      </c>
      <c r="G3225" t="s">
        <v>14897</v>
      </c>
      <c r="H3225">
        <v>19.8259349</v>
      </c>
      <c r="I3225">
        <v>45.275646700000003</v>
      </c>
      <c r="J3225">
        <v>100</v>
      </c>
      <c r="K3225" t="s">
        <v>27</v>
      </c>
      <c r="L3225" t="s">
        <v>27</v>
      </c>
      <c r="M3225" t="s">
        <v>27</v>
      </c>
      <c r="N3225" t="s">
        <v>27</v>
      </c>
      <c r="O3225" t="s">
        <v>27</v>
      </c>
      <c r="P3225" t="s">
        <v>27</v>
      </c>
      <c r="Q3225" t="s">
        <v>27</v>
      </c>
      <c r="R3225" t="s">
        <v>14904</v>
      </c>
      <c r="S3225" t="s">
        <v>14906</v>
      </c>
      <c r="U3225" t="s">
        <v>14907</v>
      </c>
    </row>
    <row r="3226" spans="1:21" x14ac:dyDescent="0.25">
      <c r="A3226" t="s">
        <v>14908</v>
      </c>
      <c r="B3226" t="s">
        <v>38</v>
      </c>
      <c r="C3226" t="s">
        <v>14909</v>
      </c>
      <c r="D3226">
        <f>381-13416010</f>
        <v>-13415629</v>
      </c>
      <c r="E3226" t="s">
        <v>14910</v>
      </c>
      <c r="F3226" t="s">
        <v>14896</v>
      </c>
      <c r="G3226" t="s">
        <v>14897</v>
      </c>
      <c r="H3226">
        <v>20.660987899999999</v>
      </c>
      <c r="I3226">
        <v>44.868287700000003</v>
      </c>
      <c r="J3226">
        <v>100</v>
      </c>
      <c r="K3226" t="s">
        <v>27</v>
      </c>
      <c r="L3226" t="s">
        <v>27</v>
      </c>
      <c r="M3226" t="s">
        <v>27</v>
      </c>
      <c r="N3226" t="s">
        <v>27</v>
      </c>
      <c r="O3226" t="s">
        <v>27</v>
      </c>
      <c r="P3226" t="s">
        <v>27</v>
      </c>
      <c r="Q3226" t="s">
        <v>27</v>
      </c>
      <c r="R3226" t="s">
        <v>14909</v>
      </c>
      <c r="S3226" t="s">
        <v>14911</v>
      </c>
      <c r="U3226" t="s">
        <v>14912</v>
      </c>
    </row>
    <row r="3227" spans="1:21" x14ac:dyDescent="0.25">
      <c r="A3227" t="s">
        <v>14913</v>
      </c>
      <c r="B3227" t="s">
        <v>22</v>
      </c>
      <c r="C3227" t="s">
        <v>14914</v>
      </c>
      <c r="D3227">
        <f>381-183200039</f>
        <v>-183199658</v>
      </c>
      <c r="E3227" t="s">
        <v>14915</v>
      </c>
      <c r="F3227" t="s">
        <v>14896</v>
      </c>
      <c r="G3227" t="s">
        <v>14897</v>
      </c>
      <c r="H3227">
        <v>21.895437034918299</v>
      </c>
      <c r="I3227">
        <v>43.320589980406297</v>
      </c>
      <c r="J3227">
        <v>95</v>
      </c>
      <c r="K3227" t="s">
        <v>3543</v>
      </c>
      <c r="L3227" t="s">
        <v>3543</v>
      </c>
      <c r="M3227" t="s">
        <v>3543</v>
      </c>
      <c r="N3227" t="s">
        <v>3543</v>
      </c>
      <c r="O3227" t="s">
        <v>3543</v>
      </c>
      <c r="P3227" t="s">
        <v>3543</v>
      </c>
      <c r="Q3227" t="s">
        <v>3543</v>
      </c>
      <c r="R3227" t="s">
        <v>14914</v>
      </c>
      <c r="U3227" t="s">
        <v>14916</v>
      </c>
    </row>
    <row r="3228" spans="1:21" x14ac:dyDescent="0.25">
      <c r="A3228" t="s">
        <v>14917</v>
      </c>
      <c r="B3228" t="s">
        <v>22</v>
      </c>
      <c r="C3228" t="s">
        <v>14918</v>
      </c>
      <c r="D3228">
        <f>381-114112620</f>
        <v>-114112239</v>
      </c>
      <c r="E3228" t="s">
        <v>14895</v>
      </c>
      <c r="F3228" t="s">
        <v>14896</v>
      </c>
      <c r="G3228" t="s">
        <v>14897</v>
      </c>
      <c r="H3228">
        <v>20.4588336108779</v>
      </c>
      <c r="I3228">
        <v>44.816249601158297</v>
      </c>
      <c r="J3228">
        <v>95</v>
      </c>
      <c r="K3228" t="s">
        <v>3543</v>
      </c>
      <c r="L3228" t="s">
        <v>3543</v>
      </c>
      <c r="M3228" t="s">
        <v>3543</v>
      </c>
      <c r="N3228" t="s">
        <v>3543</v>
      </c>
      <c r="O3228" t="s">
        <v>3543</v>
      </c>
      <c r="P3228" t="s">
        <v>3543</v>
      </c>
      <c r="Q3228" t="s">
        <v>45</v>
      </c>
      <c r="R3228" t="s">
        <v>14918</v>
      </c>
      <c r="U3228" t="s">
        <v>14919</v>
      </c>
    </row>
    <row r="3229" spans="1:21" x14ac:dyDescent="0.25">
      <c r="A3229" t="s">
        <v>14920</v>
      </c>
      <c r="B3229" t="s">
        <v>38</v>
      </c>
      <c r="C3229" t="s">
        <v>14921</v>
      </c>
      <c r="D3229">
        <f>381-24210200</f>
        <v>-24209819</v>
      </c>
      <c r="E3229" t="s">
        <v>14922</v>
      </c>
      <c r="F3229" t="s">
        <v>14896</v>
      </c>
      <c r="G3229" t="s">
        <v>14897</v>
      </c>
      <c r="H3229">
        <v>19.699317141888201</v>
      </c>
      <c r="I3229">
        <v>46.101677465162197</v>
      </c>
      <c r="J3229">
        <v>100</v>
      </c>
      <c r="K3229" t="s">
        <v>312</v>
      </c>
      <c r="L3229" t="s">
        <v>312</v>
      </c>
      <c r="M3229" t="s">
        <v>312</v>
      </c>
      <c r="N3229" t="s">
        <v>312</v>
      </c>
      <c r="O3229" t="s">
        <v>312</v>
      </c>
      <c r="P3229" t="s">
        <v>312</v>
      </c>
      <c r="Q3229" t="s">
        <v>312</v>
      </c>
      <c r="R3229" t="s">
        <v>14921</v>
      </c>
      <c r="S3229" t="s">
        <v>14923</v>
      </c>
      <c r="U3229" t="s">
        <v>14924</v>
      </c>
    </row>
    <row r="3230" spans="1:21" x14ac:dyDescent="0.25">
      <c r="A3230" t="s">
        <v>14925</v>
      </c>
      <c r="B3230" t="s">
        <v>38</v>
      </c>
      <c r="C3230" t="s">
        <v>14926</v>
      </c>
      <c r="D3230">
        <f>381-23620005</f>
        <v>-23619624</v>
      </c>
      <c r="E3230" t="s">
        <v>14927</v>
      </c>
      <c r="F3230" t="s">
        <v>14896</v>
      </c>
      <c r="G3230" t="s">
        <v>14897</v>
      </c>
      <c r="H3230">
        <v>20.353188457055602</v>
      </c>
      <c r="I3230">
        <v>45.379455591730597</v>
      </c>
      <c r="J3230">
        <v>100</v>
      </c>
      <c r="K3230" t="s">
        <v>27</v>
      </c>
      <c r="L3230" t="s">
        <v>27</v>
      </c>
      <c r="M3230" t="s">
        <v>27</v>
      </c>
      <c r="N3230" t="s">
        <v>27</v>
      </c>
      <c r="O3230" t="s">
        <v>27</v>
      </c>
      <c r="P3230" t="s">
        <v>27</v>
      </c>
      <c r="Q3230" t="s">
        <v>27</v>
      </c>
      <c r="R3230" t="s">
        <v>14926</v>
      </c>
      <c r="S3230" t="s">
        <v>14928</v>
      </c>
      <c r="U3230" t="s">
        <v>14929</v>
      </c>
    </row>
    <row r="3231" spans="1:21" x14ac:dyDescent="0.25">
      <c r="A3231" t="s">
        <v>14930</v>
      </c>
      <c r="B3231" t="s">
        <v>22</v>
      </c>
      <c r="C3231" t="s">
        <v>14931</v>
      </c>
      <c r="D3231">
        <f>381-213860030</f>
        <v>-213859649</v>
      </c>
      <c r="E3231" t="s">
        <v>14905</v>
      </c>
      <c r="F3231" t="s">
        <v>14896</v>
      </c>
      <c r="G3231" t="s">
        <v>14897</v>
      </c>
      <c r="H3231">
        <v>19.8439130317383</v>
      </c>
      <c r="I3231">
        <v>45.253999453396503</v>
      </c>
      <c r="J3231">
        <v>100</v>
      </c>
      <c r="K3231" t="s">
        <v>3543</v>
      </c>
      <c r="L3231" t="s">
        <v>3543</v>
      </c>
      <c r="M3231" t="s">
        <v>3543</v>
      </c>
      <c r="N3231" t="s">
        <v>3543</v>
      </c>
      <c r="O3231" t="s">
        <v>3543</v>
      </c>
      <c r="P3231" t="s">
        <v>3543</v>
      </c>
      <c r="Q3231" t="s">
        <v>312</v>
      </c>
      <c r="R3231" t="s">
        <v>14931</v>
      </c>
      <c r="U3231" t="s">
        <v>14932</v>
      </c>
    </row>
    <row r="3232" spans="1:21" x14ac:dyDescent="0.25">
      <c r="A3232" t="s">
        <v>14933</v>
      </c>
      <c r="B3232" t="s">
        <v>38</v>
      </c>
      <c r="C3232" t="s">
        <v>14934</v>
      </c>
      <c r="D3232">
        <f>381-342100170</f>
        <v>-342099789</v>
      </c>
      <c r="E3232" t="s">
        <v>14935</v>
      </c>
      <c r="F3232" t="s">
        <v>14896</v>
      </c>
      <c r="G3232" t="s">
        <v>14897</v>
      </c>
      <c r="H3232">
        <v>20.8967693544922</v>
      </c>
      <c r="I3232">
        <v>44.008348072376499</v>
      </c>
      <c r="J3232">
        <v>100</v>
      </c>
      <c r="K3232" t="s">
        <v>27</v>
      </c>
      <c r="L3232" t="s">
        <v>27</v>
      </c>
      <c r="M3232" t="s">
        <v>27</v>
      </c>
      <c r="N3232" t="s">
        <v>27</v>
      </c>
      <c r="O3232" t="s">
        <v>27</v>
      </c>
      <c r="P3232" t="s">
        <v>27</v>
      </c>
      <c r="Q3232" t="s">
        <v>27</v>
      </c>
      <c r="R3232" t="s">
        <v>14934</v>
      </c>
      <c r="S3232" t="s">
        <v>14936</v>
      </c>
      <c r="U3232" t="s">
        <v>14937</v>
      </c>
    </row>
    <row r="3233" spans="1:21" x14ac:dyDescent="0.25">
      <c r="A3233" t="s">
        <v>14938</v>
      </c>
      <c r="B3233" t="s">
        <v>22</v>
      </c>
      <c r="C3233" t="s">
        <v>14939</v>
      </c>
      <c r="D3233">
        <f>381-114130800</f>
        <v>-114130419</v>
      </c>
      <c r="E3233" t="s">
        <v>14895</v>
      </c>
      <c r="F3233" t="s">
        <v>14896</v>
      </c>
      <c r="G3233" t="s">
        <v>14897</v>
      </c>
      <c r="H3233">
        <v>20.508862106384299</v>
      </c>
      <c r="I3233">
        <v>44.817542197126599</v>
      </c>
      <c r="J3233">
        <v>100</v>
      </c>
      <c r="K3233" t="s">
        <v>27</v>
      </c>
      <c r="L3233" t="s">
        <v>27</v>
      </c>
      <c r="M3233" t="s">
        <v>27</v>
      </c>
      <c r="N3233" t="s">
        <v>27</v>
      </c>
      <c r="O3233" t="s">
        <v>27</v>
      </c>
      <c r="P3233" t="s">
        <v>27</v>
      </c>
      <c r="Q3233" t="s">
        <v>27</v>
      </c>
      <c r="R3233" t="s">
        <v>14939</v>
      </c>
      <c r="S3233" t="s">
        <v>14940</v>
      </c>
      <c r="U3233" t="s">
        <v>14941</v>
      </c>
    </row>
    <row r="3234" spans="1:21" x14ac:dyDescent="0.25">
      <c r="A3234" t="s">
        <v>14942</v>
      </c>
      <c r="B3234" t="s">
        <v>38</v>
      </c>
      <c r="C3234" t="s">
        <v>14943</v>
      </c>
      <c r="D3234">
        <f>381-26250020</f>
        <v>-26249639</v>
      </c>
      <c r="E3234" t="s">
        <v>14944</v>
      </c>
      <c r="F3234" t="s">
        <v>14896</v>
      </c>
      <c r="G3234" t="s">
        <v>14897</v>
      </c>
      <c r="H3234">
        <v>20.9452373947897</v>
      </c>
      <c r="I3234">
        <v>44.675632605254997</v>
      </c>
      <c r="J3234">
        <v>100</v>
      </c>
      <c r="K3234" t="s">
        <v>312</v>
      </c>
      <c r="L3234" t="s">
        <v>312</v>
      </c>
      <c r="M3234" t="s">
        <v>312</v>
      </c>
      <c r="N3234" t="s">
        <v>312</v>
      </c>
      <c r="O3234" t="s">
        <v>312</v>
      </c>
      <c r="P3234" t="s">
        <v>312</v>
      </c>
      <c r="Q3234" t="s">
        <v>312</v>
      </c>
      <c r="R3234" t="s">
        <v>14943</v>
      </c>
      <c r="S3234" t="s">
        <v>14945</v>
      </c>
      <c r="U3234" t="s">
        <v>14946</v>
      </c>
    </row>
    <row r="3235" spans="1:21" x14ac:dyDescent="0.25">
      <c r="A3235" t="s">
        <v>14947</v>
      </c>
      <c r="B3235" t="s">
        <v>38</v>
      </c>
      <c r="C3235" t="s">
        <v>14948</v>
      </c>
      <c r="D3235">
        <f>381-15620030</f>
        <v>-15619649</v>
      </c>
      <c r="E3235" t="s">
        <v>14949</v>
      </c>
      <c r="F3235" t="s">
        <v>14896</v>
      </c>
      <c r="G3235" t="s">
        <v>14897</v>
      </c>
      <c r="H3235">
        <v>19.662807395556602</v>
      </c>
      <c r="I3235">
        <v>44.754468962809902</v>
      </c>
      <c r="J3235">
        <v>100</v>
      </c>
      <c r="K3235" t="s">
        <v>312</v>
      </c>
      <c r="L3235" t="s">
        <v>312</v>
      </c>
      <c r="M3235" t="s">
        <v>312</v>
      </c>
      <c r="N3235" t="s">
        <v>312</v>
      </c>
      <c r="O3235" t="s">
        <v>312</v>
      </c>
      <c r="P3235" t="s">
        <v>312</v>
      </c>
      <c r="Q3235" t="s">
        <v>312</v>
      </c>
      <c r="R3235" t="s">
        <v>14948</v>
      </c>
      <c r="S3235" t="s">
        <v>14950</v>
      </c>
      <c r="U3235" t="s">
        <v>14951</v>
      </c>
    </row>
    <row r="3236" spans="1:21" x14ac:dyDescent="0.25">
      <c r="A3236" t="s">
        <v>14952</v>
      </c>
      <c r="B3236" t="s">
        <v>38</v>
      </c>
      <c r="C3236" t="s">
        <v>14953</v>
      </c>
      <c r="D3236">
        <f>381-114252220</f>
        <v>-114251839</v>
      </c>
      <c r="E3236" t="s">
        <v>14895</v>
      </c>
      <c r="F3236" t="s">
        <v>14896</v>
      </c>
      <c r="G3236" t="s">
        <v>14897</v>
      </c>
      <c r="H3236">
        <v>20.418334592590298</v>
      </c>
      <c r="I3236">
        <v>44.787613824113599</v>
      </c>
      <c r="J3236">
        <v>100</v>
      </c>
      <c r="K3236" t="s">
        <v>27</v>
      </c>
      <c r="L3236" t="s">
        <v>27</v>
      </c>
      <c r="M3236" t="s">
        <v>27</v>
      </c>
      <c r="N3236" t="s">
        <v>27</v>
      </c>
      <c r="O3236" t="s">
        <v>27</v>
      </c>
      <c r="P3236" t="s">
        <v>27</v>
      </c>
      <c r="Q3236" t="s">
        <v>27</v>
      </c>
      <c r="R3236" t="s">
        <v>14953</v>
      </c>
      <c r="S3236" t="s">
        <v>14954</v>
      </c>
      <c r="U3236" t="s">
        <v>14955</v>
      </c>
    </row>
    <row r="3237" spans="1:21" x14ac:dyDescent="0.25">
      <c r="A3237" t="s">
        <v>14956</v>
      </c>
      <c r="B3237" t="s">
        <v>22</v>
      </c>
      <c r="C3237" t="s">
        <v>14957</v>
      </c>
      <c r="D3237">
        <f>381-116351235</f>
        <v>-116350854</v>
      </c>
      <c r="E3237" t="s">
        <v>14895</v>
      </c>
      <c r="F3237" t="s">
        <v>14896</v>
      </c>
      <c r="G3237" t="s">
        <v>14897</v>
      </c>
      <c r="H3237">
        <v>20.513938346520899</v>
      </c>
      <c r="I3237">
        <v>44.7905579335536</v>
      </c>
      <c r="J3237">
        <v>100</v>
      </c>
      <c r="K3237" t="s">
        <v>27</v>
      </c>
      <c r="L3237" t="s">
        <v>27</v>
      </c>
      <c r="M3237" t="s">
        <v>27</v>
      </c>
      <c r="N3237" t="s">
        <v>27</v>
      </c>
      <c r="O3237" t="s">
        <v>27</v>
      </c>
      <c r="P3237" t="s">
        <v>27</v>
      </c>
      <c r="Q3237" t="s">
        <v>27</v>
      </c>
      <c r="R3237" t="s">
        <v>14957</v>
      </c>
      <c r="S3237" t="s">
        <v>14958</v>
      </c>
      <c r="U3237" t="s">
        <v>14959</v>
      </c>
    </row>
    <row r="3238" spans="1:21" x14ac:dyDescent="0.25">
      <c r="A3238" t="s">
        <v>14960</v>
      </c>
      <c r="B3238" t="s">
        <v>22</v>
      </c>
      <c r="C3238" t="s">
        <v>14961</v>
      </c>
      <c r="D3238">
        <f>7-4959812790</f>
        <v>-4959812783</v>
      </c>
      <c r="E3238" t="s">
        <v>14962</v>
      </c>
      <c r="F3238" t="s">
        <v>14963</v>
      </c>
      <c r="G3238" t="s">
        <v>14964</v>
      </c>
      <c r="H3238">
        <v>37.396602630615199</v>
      </c>
      <c r="I3238">
        <v>55.910444904355799</v>
      </c>
      <c r="J3238">
        <v>145</v>
      </c>
      <c r="K3238" t="s">
        <v>34</v>
      </c>
      <c r="L3238" t="s">
        <v>34</v>
      </c>
      <c r="M3238" t="s">
        <v>34</v>
      </c>
      <c r="N3238" t="s">
        <v>34</v>
      </c>
      <c r="O3238" t="s">
        <v>92</v>
      </c>
      <c r="P3238" t="s">
        <v>92</v>
      </c>
      <c r="Q3238" t="s">
        <v>34</v>
      </c>
      <c r="R3238" t="s">
        <v>14961</v>
      </c>
      <c r="S3238" t="s">
        <v>14965</v>
      </c>
      <c r="T3238" t="s">
        <v>14966</v>
      </c>
      <c r="U3238" t="s">
        <v>14967</v>
      </c>
    </row>
    <row r="3239" spans="1:21" x14ac:dyDescent="0.25">
      <c r="A3239" t="s">
        <v>14968</v>
      </c>
      <c r="B3239" t="s">
        <v>2322</v>
      </c>
      <c r="C3239" t="s">
        <v>14969</v>
      </c>
      <c r="D3239">
        <f t="shared" ref="D3239:D3265" si="83">7-8005007800</f>
        <v>-8005007793</v>
      </c>
      <c r="E3239" t="s">
        <v>14970</v>
      </c>
      <c r="F3239" t="s">
        <v>14963</v>
      </c>
      <c r="G3239" t="s">
        <v>14964</v>
      </c>
      <c r="H3239">
        <v>37.497312000000001</v>
      </c>
      <c r="I3239">
        <v>55.821378699999997</v>
      </c>
      <c r="J3239">
        <v>145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  <c r="Q3239" t="s">
        <v>34</v>
      </c>
      <c r="R3239" t="s">
        <v>14969</v>
      </c>
      <c r="S3239" t="s">
        <v>14971</v>
      </c>
      <c r="U3239" t="s">
        <v>14972</v>
      </c>
    </row>
    <row r="3240" spans="1:21" x14ac:dyDescent="0.25">
      <c r="A3240" t="s">
        <v>14973</v>
      </c>
      <c r="B3240" t="s">
        <v>22</v>
      </c>
      <c r="C3240" t="s">
        <v>14974</v>
      </c>
      <c r="D3240">
        <f t="shared" si="83"/>
        <v>-8005007793</v>
      </c>
      <c r="E3240" t="s">
        <v>14970</v>
      </c>
      <c r="F3240" t="s">
        <v>14963</v>
      </c>
      <c r="G3240" t="s">
        <v>14964</v>
      </c>
      <c r="H3240">
        <v>37.664383999999998</v>
      </c>
      <c r="I3240">
        <v>55.846431000000003</v>
      </c>
      <c r="J3240">
        <v>145</v>
      </c>
      <c r="K3240" t="s">
        <v>27</v>
      </c>
      <c r="L3240" t="s">
        <v>27</v>
      </c>
      <c r="M3240" t="s">
        <v>27</v>
      </c>
      <c r="N3240" t="s">
        <v>27</v>
      </c>
      <c r="O3240" t="s">
        <v>27</v>
      </c>
      <c r="P3240" t="s">
        <v>27</v>
      </c>
      <c r="Q3240" t="s">
        <v>27</v>
      </c>
      <c r="R3240" t="s">
        <v>14974</v>
      </c>
      <c r="S3240" t="s">
        <v>14975</v>
      </c>
      <c r="U3240" t="s">
        <v>14976</v>
      </c>
    </row>
    <row r="3241" spans="1:21" x14ac:dyDescent="0.25">
      <c r="A3241" t="s">
        <v>14977</v>
      </c>
      <c r="B3241" t="s">
        <v>2322</v>
      </c>
      <c r="C3241" t="s">
        <v>14978</v>
      </c>
      <c r="D3241">
        <f t="shared" si="83"/>
        <v>-8005007793</v>
      </c>
      <c r="E3241" t="s">
        <v>14970</v>
      </c>
      <c r="F3241" t="s">
        <v>14963</v>
      </c>
      <c r="G3241" t="s">
        <v>14964</v>
      </c>
      <c r="H3241">
        <v>37.538995742797802</v>
      </c>
      <c r="I3241">
        <v>55.749120140356801</v>
      </c>
      <c r="J3241">
        <v>145</v>
      </c>
      <c r="K3241" t="s">
        <v>27</v>
      </c>
      <c r="L3241" t="s">
        <v>27</v>
      </c>
      <c r="M3241" t="s">
        <v>27</v>
      </c>
      <c r="N3241" t="s">
        <v>27</v>
      </c>
      <c r="O3241" t="s">
        <v>34</v>
      </c>
      <c r="P3241" t="s">
        <v>34</v>
      </c>
      <c r="Q3241" t="s">
        <v>27</v>
      </c>
      <c r="R3241" t="s">
        <v>14978</v>
      </c>
      <c r="S3241" t="s">
        <v>14979</v>
      </c>
      <c r="U3241" t="s">
        <v>14980</v>
      </c>
    </row>
    <row r="3242" spans="1:21" x14ac:dyDescent="0.25">
      <c r="A3242" t="s">
        <v>14981</v>
      </c>
      <c r="B3242" t="s">
        <v>22</v>
      </c>
      <c r="C3242" t="s">
        <v>14982</v>
      </c>
      <c r="D3242">
        <f t="shared" si="83"/>
        <v>-8005007793</v>
      </c>
      <c r="E3242" t="s">
        <v>14983</v>
      </c>
      <c r="F3242" t="s">
        <v>14963</v>
      </c>
      <c r="G3242" t="s">
        <v>14964</v>
      </c>
      <c r="H3242">
        <v>30.360918999999999</v>
      </c>
      <c r="I3242">
        <v>59.932139999999997</v>
      </c>
      <c r="J3242">
        <v>145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  <c r="Q3242" t="s">
        <v>34</v>
      </c>
      <c r="R3242" t="s">
        <v>14982</v>
      </c>
      <c r="S3242" t="s">
        <v>14984</v>
      </c>
      <c r="U3242" t="s">
        <v>14985</v>
      </c>
    </row>
    <row r="3243" spans="1:21" x14ac:dyDescent="0.25">
      <c r="A3243" t="s">
        <v>14986</v>
      </c>
      <c r="B3243" t="s">
        <v>22</v>
      </c>
      <c r="C3243" t="s">
        <v>14987</v>
      </c>
      <c r="D3243">
        <f t="shared" si="83"/>
        <v>-8005007793</v>
      </c>
      <c r="E3243" t="s">
        <v>14970</v>
      </c>
      <c r="F3243" t="s">
        <v>14963</v>
      </c>
      <c r="G3243" t="s">
        <v>14964</v>
      </c>
      <c r="H3243">
        <v>37.685173399999996</v>
      </c>
      <c r="I3243">
        <v>55.5606583</v>
      </c>
      <c r="J3243">
        <v>145</v>
      </c>
      <c r="K3243" t="s">
        <v>27</v>
      </c>
      <c r="L3243" t="s">
        <v>27</v>
      </c>
      <c r="M3243" t="s">
        <v>27</v>
      </c>
      <c r="N3243" t="s">
        <v>27</v>
      </c>
      <c r="O3243" t="s">
        <v>27</v>
      </c>
      <c r="P3243" t="s">
        <v>27</v>
      </c>
      <c r="Q3243" t="s">
        <v>27</v>
      </c>
      <c r="R3243" t="s">
        <v>14987</v>
      </c>
      <c r="S3243" t="s">
        <v>14988</v>
      </c>
      <c r="U3243" t="s">
        <v>14989</v>
      </c>
    </row>
    <row r="3244" spans="1:21" x14ac:dyDescent="0.25">
      <c r="A3244" t="s">
        <v>14990</v>
      </c>
      <c r="B3244" t="s">
        <v>2322</v>
      </c>
      <c r="C3244" t="s">
        <v>14991</v>
      </c>
      <c r="D3244">
        <f t="shared" si="83"/>
        <v>-8005007793</v>
      </c>
      <c r="E3244" t="s">
        <v>14970</v>
      </c>
      <c r="F3244" t="s">
        <v>14963</v>
      </c>
      <c r="G3244" t="s">
        <v>14964</v>
      </c>
      <c r="H3244">
        <v>37.842244000000001</v>
      </c>
      <c r="I3244">
        <v>55.655192</v>
      </c>
      <c r="J3244">
        <v>145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  <c r="Q3244" t="s">
        <v>34</v>
      </c>
      <c r="R3244" t="s">
        <v>14991</v>
      </c>
      <c r="S3244" t="s">
        <v>14992</v>
      </c>
      <c r="T3244" t="s">
        <v>14993</v>
      </c>
      <c r="U3244" t="s">
        <v>14994</v>
      </c>
    </row>
    <row r="3245" spans="1:21" x14ac:dyDescent="0.25">
      <c r="A3245" t="s">
        <v>14995</v>
      </c>
      <c r="B3245" t="s">
        <v>22</v>
      </c>
      <c r="C3245" t="s">
        <v>14996</v>
      </c>
      <c r="D3245">
        <f t="shared" si="83"/>
        <v>-8005007793</v>
      </c>
      <c r="E3245" t="s">
        <v>14983</v>
      </c>
      <c r="F3245" t="s">
        <v>14963</v>
      </c>
      <c r="G3245" t="s">
        <v>14964</v>
      </c>
      <c r="H3245">
        <v>30.3175449371337</v>
      </c>
      <c r="I3245">
        <v>59.819538992369402</v>
      </c>
      <c r="J3245">
        <v>145</v>
      </c>
      <c r="K3245" t="s">
        <v>27</v>
      </c>
      <c r="L3245" t="s">
        <v>27</v>
      </c>
      <c r="M3245" t="s">
        <v>27</v>
      </c>
      <c r="N3245" t="s">
        <v>27</v>
      </c>
      <c r="O3245" t="s">
        <v>27</v>
      </c>
      <c r="P3245" t="s">
        <v>27</v>
      </c>
      <c r="Q3245" t="s">
        <v>27</v>
      </c>
      <c r="R3245" t="s">
        <v>14996</v>
      </c>
      <c r="S3245" t="s">
        <v>14997</v>
      </c>
      <c r="U3245" t="s">
        <v>14998</v>
      </c>
    </row>
    <row r="3246" spans="1:21" x14ac:dyDescent="0.25">
      <c r="A3246" t="s">
        <v>14999</v>
      </c>
      <c r="B3246" t="s">
        <v>38</v>
      </c>
      <c r="C3246" t="s">
        <v>15000</v>
      </c>
      <c r="D3246">
        <f t="shared" si="83"/>
        <v>-8005007793</v>
      </c>
      <c r="E3246" t="s">
        <v>14970</v>
      </c>
      <c r="F3246" t="s">
        <v>14963</v>
      </c>
      <c r="G3246" t="s">
        <v>14964</v>
      </c>
      <c r="H3246">
        <v>37.627326250076202</v>
      </c>
      <c r="I3246">
        <v>55.663946584064298</v>
      </c>
      <c r="J3246">
        <v>145</v>
      </c>
      <c r="K3246" t="s">
        <v>27</v>
      </c>
      <c r="L3246" t="s">
        <v>27</v>
      </c>
      <c r="M3246" t="s">
        <v>27</v>
      </c>
      <c r="N3246" t="s">
        <v>27</v>
      </c>
      <c r="O3246" t="s">
        <v>27</v>
      </c>
      <c r="P3246" t="s">
        <v>27</v>
      </c>
      <c r="Q3246" t="s">
        <v>27</v>
      </c>
      <c r="R3246" t="s">
        <v>15000</v>
      </c>
      <c r="S3246" t="s">
        <v>15001</v>
      </c>
      <c r="U3246" t="s">
        <v>15002</v>
      </c>
    </row>
    <row r="3247" spans="1:21" x14ac:dyDescent="0.25">
      <c r="A3247" t="s">
        <v>15003</v>
      </c>
      <c r="B3247" t="s">
        <v>22</v>
      </c>
      <c r="C3247" t="s">
        <v>15004</v>
      </c>
      <c r="D3247">
        <f t="shared" si="83"/>
        <v>-8005007793</v>
      </c>
      <c r="E3247" t="s">
        <v>14970</v>
      </c>
      <c r="F3247" t="s">
        <v>14963</v>
      </c>
      <c r="G3247" t="s">
        <v>14964</v>
      </c>
      <c r="H3247">
        <v>37.725505828857401</v>
      </c>
      <c r="I3247">
        <v>55.587174004443803</v>
      </c>
      <c r="J3247">
        <v>145</v>
      </c>
      <c r="K3247" t="s">
        <v>34</v>
      </c>
      <c r="L3247" t="s">
        <v>34</v>
      </c>
      <c r="M3247" t="s">
        <v>34</v>
      </c>
      <c r="N3247" t="s">
        <v>34</v>
      </c>
      <c r="O3247" t="s">
        <v>92</v>
      </c>
      <c r="P3247" t="s">
        <v>92</v>
      </c>
      <c r="Q3247" t="s">
        <v>34</v>
      </c>
      <c r="R3247" t="s">
        <v>15004</v>
      </c>
      <c r="S3247" t="s">
        <v>15005</v>
      </c>
      <c r="T3247" t="s">
        <v>14993</v>
      </c>
      <c r="U3247" t="s">
        <v>15006</v>
      </c>
    </row>
    <row r="3248" spans="1:21" x14ac:dyDescent="0.25">
      <c r="A3248" t="s">
        <v>15007</v>
      </c>
      <c r="B3248" t="s">
        <v>22</v>
      </c>
      <c r="C3248" t="s">
        <v>15008</v>
      </c>
      <c r="D3248">
        <f t="shared" si="83"/>
        <v>-8005007793</v>
      </c>
      <c r="E3248" t="s">
        <v>14983</v>
      </c>
      <c r="F3248" t="s">
        <v>14963</v>
      </c>
      <c r="G3248" t="s">
        <v>14964</v>
      </c>
      <c r="H3248">
        <v>30.379557609558098</v>
      </c>
      <c r="I3248">
        <v>60.091449312571399</v>
      </c>
      <c r="J3248">
        <v>145</v>
      </c>
      <c r="K3248" t="s">
        <v>536</v>
      </c>
      <c r="L3248" t="s">
        <v>536</v>
      </c>
      <c r="M3248" t="s">
        <v>536</v>
      </c>
      <c r="N3248" t="s">
        <v>536</v>
      </c>
      <c r="O3248" t="s">
        <v>536</v>
      </c>
      <c r="P3248" t="s">
        <v>536</v>
      </c>
      <c r="Q3248" t="s">
        <v>536</v>
      </c>
      <c r="R3248" t="s">
        <v>15008</v>
      </c>
      <c r="S3248" t="s">
        <v>15009</v>
      </c>
      <c r="T3248" t="s">
        <v>15010</v>
      </c>
      <c r="U3248" t="s">
        <v>15011</v>
      </c>
    </row>
    <row r="3249" spans="1:21" x14ac:dyDescent="0.25">
      <c r="A3249" t="s">
        <v>15012</v>
      </c>
      <c r="B3249" t="s">
        <v>22</v>
      </c>
      <c r="C3249" t="s">
        <v>15013</v>
      </c>
      <c r="D3249">
        <f t="shared" si="83"/>
        <v>-8005007793</v>
      </c>
      <c r="E3249" t="s">
        <v>15014</v>
      </c>
      <c r="F3249" t="s">
        <v>14963</v>
      </c>
      <c r="G3249" t="s">
        <v>14964</v>
      </c>
      <c r="H3249">
        <v>39.719653129577601</v>
      </c>
      <c r="I3249">
        <v>47.259922310937597</v>
      </c>
      <c r="J3249">
        <v>145</v>
      </c>
      <c r="K3249" t="s">
        <v>27</v>
      </c>
      <c r="L3249" t="s">
        <v>27</v>
      </c>
      <c r="M3249" t="s">
        <v>27</v>
      </c>
      <c r="N3249" t="s">
        <v>27</v>
      </c>
      <c r="O3249" t="s">
        <v>27</v>
      </c>
      <c r="P3249" t="s">
        <v>27</v>
      </c>
      <c r="Q3249" t="s">
        <v>27</v>
      </c>
      <c r="R3249" t="s">
        <v>15013</v>
      </c>
      <c r="S3249" t="s">
        <v>15015</v>
      </c>
      <c r="T3249" t="s">
        <v>15016</v>
      </c>
      <c r="U3249" t="s">
        <v>15017</v>
      </c>
    </row>
    <row r="3250" spans="1:21" x14ac:dyDescent="0.25">
      <c r="A3250" t="s">
        <v>15018</v>
      </c>
      <c r="B3250" t="s">
        <v>2322</v>
      </c>
      <c r="C3250" t="s">
        <v>15019</v>
      </c>
      <c r="D3250">
        <f t="shared" si="83"/>
        <v>-8005007793</v>
      </c>
      <c r="E3250" t="s">
        <v>14983</v>
      </c>
      <c r="F3250" t="s">
        <v>14963</v>
      </c>
      <c r="G3250" t="s">
        <v>14964</v>
      </c>
      <c r="H3250">
        <v>30.360918999999999</v>
      </c>
      <c r="I3250">
        <v>59.927917000000001</v>
      </c>
      <c r="J3250">
        <v>145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  <c r="Q3250" t="s">
        <v>34</v>
      </c>
      <c r="R3250" t="s">
        <v>15019</v>
      </c>
      <c r="S3250" t="s">
        <v>15020</v>
      </c>
      <c r="U3250" t="s">
        <v>15021</v>
      </c>
    </row>
    <row r="3251" spans="1:21" x14ac:dyDescent="0.25">
      <c r="A3251" t="s">
        <v>15022</v>
      </c>
      <c r="B3251" t="s">
        <v>38</v>
      </c>
      <c r="C3251" t="s">
        <v>15023</v>
      </c>
      <c r="D3251">
        <f t="shared" si="83"/>
        <v>-8005007793</v>
      </c>
      <c r="E3251" t="s">
        <v>15024</v>
      </c>
      <c r="F3251" t="s">
        <v>14963</v>
      </c>
      <c r="G3251" t="s">
        <v>14964</v>
      </c>
      <c r="H3251">
        <v>39.204797744750898</v>
      </c>
      <c r="I3251">
        <v>51.788603571430698</v>
      </c>
      <c r="J3251">
        <v>145</v>
      </c>
      <c r="K3251" t="s">
        <v>27</v>
      </c>
      <c r="L3251" t="s">
        <v>27</v>
      </c>
      <c r="M3251" t="s">
        <v>27</v>
      </c>
      <c r="N3251" t="s">
        <v>27</v>
      </c>
      <c r="O3251" t="s">
        <v>27</v>
      </c>
      <c r="P3251" t="s">
        <v>27</v>
      </c>
      <c r="Q3251" t="s">
        <v>27</v>
      </c>
      <c r="R3251" t="s">
        <v>15023</v>
      </c>
      <c r="S3251" t="s">
        <v>15025</v>
      </c>
      <c r="T3251" t="s">
        <v>15026</v>
      </c>
      <c r="U3251" t="s">
        <v>15027</v>
      </c>
    </row>
    <row r="3252" spans="1:21" x14ac:dyDescent="0.25">
      <c r="A3252" t="s">
        <v>15028</v>
      </c>
      <c r="B3252" t="s">
        <v>38</v>
      </c>
      <c r="C3252" t="s">
        <v>15029</v>
      </c>
      <c r="D3252">
        <f t="shared" si="83"/>
        <v>-8005007793</v>
      </c>
      <c r="E3252" t="s">
        <v>15030</v>
      </c>
      <c r="F3252" t="s">
        <v>14963</v>
      </c>
      <c r="G3252" t="s">
        <v>14964</v>
      </c>
      <c r="H3252">
        <v>49.217054843902503</v>
      </c>
      <c r="I3252">
        <v>55.76829331551</v>
      </c>
      <c r="J3252">
        <v>145</v>
      </c>
      <c r="K3252" t="s">
        <v>27</v>
      </c>
      <c r="L3252" t="s">
        <v>27</v>
      </c>
      <c r="M3252" t="s">
        <v>27</v>
      </c>
      <c r="N3252" t="s">
        <v>27</v>
      </c>
      <c r="O3252" t="s">
        <v>27</v>
      </c>
      <c r="P3252" t="s">
        <v>27</v>
      </c>
      <c r="Q3252" t="s">
        <v>27</v>
      </c>
      <c r="R3252" t="s">
        <v>15029</v>
      </c>
      <c r="S3252" t="s">
        <v>15031</v>
      </c>
      <c r="T3252" t="s">
        <v>15032</v>
      </c>
      <c r="U3252" t="s">
        <v>15033</v>
      </c>
    </row>
    <row r="3253" spans="1:21" x14ac:dyDescent="0.25">
      <c r="A3253" t="s">
        <v>15034</v>
      </c>
      <c r="B3253" t="s">
        <v>22</v>
      </c>
      <c r="C3253" t="s">
        <v>15035</v>
      </c>
      <c r="D3253">
        <f t="shared" si="83"/>
        <v>-8005007793</v>
      </c>
      <c r="E3253" t="s">
        <v>15036</v>
      </c>
      <c r="F3253" t="s">
        <v>14963</v>
      </c>
      <c r="G3253" t="s">
        <v>14964</v>
      </c>
      <c r="H3253">
        <v>60.599191188812199</v>
      </c>
      <c r="I3253">
        <v>56.830051860497498</v>
      </c>
      <c r="J3253">
        <v>180</v>
      </c>
      <c r="K3253" t="s">
        <v>27</v>
      </c>
      <c r="L3253" t="s">
        <v>27</v>
      </c>
      <c r="M3253" t="s">
        <v>27</v>
      </c>
      <c r="N3253" t="s">
        <v>27</v>
      </c>
      <c r="O3253" t="s">
        <v>27</v>
      </c>
      <c r="P3253" t="s">
        <v>27</v>
      </c>
      <c r="Q3253" t="s">
        <v>27</v>
      </c>
      <c r="R3253" t="s">
        <v>15035</v>
      </c>
      <c r="S3253" t="s">
        <v>15037</v>
      </c>
      <c r="T3253" t="s">
        <v>15038</v>
      </c>
      <c r="U3253" t="s">
        <v>15039</v>
      </c>
    </row>
    <row r="3254" spans="1:21" x14ac:dyDescent="0.25">
      <c r="A3254" t="s">
        <v>15040</v>
      </c>
      <c r="B3254" t="s">
        <v>22</v>
      </c>
      <c r="C3254" t="s">
        <v>15041</v>
      </c>
      <c r="D3254">
        <f t="shared" si="83"/>
        <v>-8005007793</v>
      </c>
      <c r="E3254" t="s">
        <v>15042</v>
      </c>
      <c r="F3254" t="s">
        <v>14963</v>
      </c>
      <c r="G3254" t="s">
        <v>14964</v>
      </c>
      <c r="H3254">
        <v>39.121333300000003</v>
      </c>
      <c r="I3254">
        <v>45.010522299999998</v>
      </c>
      <c r="J3254">
        <v>145</v>
      </c>
      <c r="K3254" t="s">
        <v>27</v>
      </c>
      <c r="L3254" t="s">
        <v>27</v>
      </c>
      <c r="M3254" t="s">
        <v>27</v>
      </c>
      <c r="N3254" t="s">
        <v>27</v>
      </c>
      <c r="O3254" t="s">
        <v>27</v>
      </c>
      <c r="P3254" t="s">
        <v>27</v>
      </c>
      <c r="Q3254" t="s">
        <v>27</v>
      </c>
      <c r="R3254" t="s">
        <v>15041</v>
      </c>
      <c r="S3254" t="s">
        <v>15043</v>
      </c>
      <c r="T3254" t="s">
        <v>15044</v>
      </c>
      <c r="U3254" t="s">
        <v>15045</v>
      </c>
    </row>
    <row r="3255" spans="1:21" x14ac:dyDescent="0.25">
      <c r="A3255" t="s">
        <v>15046</v>
      </c>
      <c r="B3255" t="s">
        <v>38</v>
      </c>
      <c r="C3255" t="s">
        <v>15047</v>
      </c>
      <c r="D3255">
        <f t="shared" si="83"/>
        <v>-8005007793</v>
      </c>
      <c r="E3255" t="s">
        <v>15042</v>
      </c>
      <c r="F3255" t="s">
        <v>14963</v>
      </c>
      <c r="G3255" t="s">
        <v>14964</v>
      </c>
      <c r="H3255">
        <v>39.052426815032902</v>
      </c>
      <c r="I3255">
        <v>45.0337746234486</v>
      </c>
      <c r="J3255">
        <v>145</v>
      </c>
      <c r="K3255" t="s">
        <v>27</v>
      </c>
      <c r="L3255" t="s">
        <v>27</v>
      </c>
      <c r="M3255" t="s">
        <v>27</v>
      </c>
      <c r="N3255" t="s">
        <v>27</v>
      </c>
      <c r="O3255" t="s">
        <v>27</v>
      </c>
      <c r="P3255" t="s">
        <v>27</v>
      </c>
      <c r="Q3255" t="s">
        <v>27</v>
      </c>
      <c r="R3255" t="s">
        <v>15047</v>
      </c>
      <c r="S3255" t="s">
        <v>15048</v>
      </c>
      <c r="T3255" t="s">
        <v>15044</v>
      </c>
      <c r="U3255" t="s">
        <v>15049</v>
      </c>
    </row>
    <row r="3256" spans="1:21" x14ac:dyDescent="0.25">
      <c r="A3256" t="s">
        <v>15050</v>
      </c>
      <c r="B3256" t="s">
        <v>22</v>
      </c>
      <c r="C3256" t="s">
        <v>15051</v>
      </c>
      <c r="D3256">
        <f t="shared" si="83"/>
        <v>-8005007793</v>
      </c>
      <c r="E3256" t="s">
        <v>15030</v>
      </c>
      <c r="F3256" t="s">
        <v>14963</v>
      </c>
      <c r="G3256" t="s">
        <v>14964</v>
      </c>
      <c r="H3256">
        <v>49.118609999999997</v>
      </c>
      <c r="I3256">
        <v>55.829591999999998</v>
      </c>
      <c r="J3256">
        <v>145</v>
      </c>
      <c r="K3256" t="s">
        <v>27</v>
      </c>
      <c r="L3256" t="s">
        <v>27</v>
      </c>
      <c r="M3256" t="s">
        <v>27</v>
      </c>
      <c r="N3256" t="s">
        <v>27</v>
      </c>
      <c r="O3256" t="s">
        <v>27</v>
      </c>
      <c r="P3256" t="s">
        <v>27</v>
      </c>
      <c r="Q3256" t="s">
        <v>27</v>
      </c>
      <c r="R3256" t="s">
        <v>15051</v>
      </c>
      <c r="S3256" t="s">
        <v>15052</v>
      </c>
      <c r="T3256" t="s">
        <v>15032</v>
      </c>
      <c r="U3256" t="s">
        <v>15053</v>
      </c>
    </row>
    <row r="3257" spans="1:21" x14ac:dyDescent="0.25">
      <c r="A3257" t="s">
        <v>15054</v>
      </c>
      <c r="B3257" t="s">
        <v>38</v>
      </c>
      <c r="C3257" t="s">
        <v>15051</v>
      </c>
      <c r="D3257">
        <f t="shared" si="83"/>
        <v>-8005007793</v>
      </c>
      <c r="E3257" t="s">
        <v>15036</v>
      </c>
      <c r="F3257" t="s">
        <v>14963</v>
      </c>
      <c r="G3257" t="s">
        <v>14964</v>
      </c>
      <c r="H3257">
        <v>60.630991458892801</v>
      </c>
      <c r="I3257">
        <v>56.863390387742399</v>
      </c>
      <c r="J3257">
        <v>180</v>
      </c>
      <c r="K3257" t="s">
        <v>27</v>
      </c>
      <c r="L3257" t="s">
        <v>27</v>
      </c>
      <c r="M3257" t="s">
        <v>27</v>
      </c>
      <c r="N3257" t="s">
        <v>27</v>
      </c>
      <c r="O3257" t="s">
        <v>27</v>
      </c>
      <c r="P3257" t="s">
        <v>27</v>
      </c>
      <c r="Q3257" t="s">
        <v>27</v>
      </c>
      <c r="R3257" t="s">
        <v>15051</v>
      </c>
      <c r="S3257" t="s">
        <v>15055</v>
      </c>
      <c r="T3257" t="s">
        <v>15038</v>
      </c>
      <c r="U3257" t="s">
        <v>15056</v>
      </c>
    </row>
    <row r="3258" spans="1:21" x14ac:dyDescent="0.25">
      <c r="A3258" t="s">
        <v>15057</v>
      </c>
      <c r="B3258" t="s">
        <v>38</v>
      </c>
      <c r="C3258" t="s">
        <v>15058</v>
      </c>
      <c r="D3258">
        <f t="shared" si="83"/>
        <v>-8005007793</v>
      </c>
      <c r="E3258" t="s">
        <v>14970</v>
      </c>
      <c r="F3258" t="s">
        <v>14963</v>
      </c>
      <c r="G3258" t="s">
        <v>14964</v>
      </c>
      <c r="H3258">
        <v>37.442768812179501</v>
      </c>
      <c r="I3258">
        <v>55.850517375729403</v>
      </c>
      <c r="J3258">
        <v>145</v>
      </c>
      <c r="K3258" t="s">
        <v>27</v>
      </c>
      <c r="L3258" t="s">
        <v>27</v>
      </c>
      <c r="M3258" t="s">
        <v>27</v>
      </c>
      <c r="N3258" t="s">
        <v>27</v>
      </c>
      <c r="O3258" t="s">
        <v>27</v>
      </c>
      <c r="P3258" t="s">
        <v>27</v>
      </c>
      <c r="Q3258" t="s">
        <v>27</v>
      </c>
      <c r="R3258" t="s">
        <v>15058</v>
      </c>
      <c r="S3258" t="s">
        <v>15059</v>
      </c>
      <c r="U3258" t="s">
        <v>15060</v>
      </c>
    </row>
    <row r="3259" spans="1:21" x14ac:dyDescent="0.25">
      <c r="A3259" t="s">
        <v>15061</v>
      </c>
      <c r="B3259" t="s">
        <v>38</v>
      </c>
      <c r="C3259" t="s">
        <v>15051</v>
      </c>
      <c r="D3259">
        <f t="shared" si="83"/>
        <v>-8005007793</v>
      </c>
      <c r="E3259" t="s">
        <v>15062</v>
      </c>
      <c r="F3259" t="s">
        <v>14963</v>
      </c>
      <c r="G3259" t="s">
        <v>14964</v>
      </c>
      <c r="H3259">
        <v>49.390125597862202</v>
      </c>
      <c r="I3259">
        <v>53.542511297640502</v>
      </c>
      <c r="J3259">
        <v>170</v>
      </c>
      <c r="K3259" t="s">
        <v>27</v>
      </c>
      <c r="L3259" t="s">
        <v>27</v>
      </c>
      <c r="M3259" t="s">
        <v>27</v>
      </c>
      <c r="N3259" t="s">
        <v>27</v>
      </c>
      <c r="O3259" t="s">
        <v>27</v>
      </c>
      <c r="P3259" t="s">
        <v>27</v>
      </c>
      <c r="Q3259" t="s">
        <v>27</v>
      </c>
      <c r="R3259" t="s">
        <v>15051</v>
      </c>
      <c r="S3259" t="s">
        <v>15063</v>
      </c>
      <c r="T3259" t="s">
        <v>15064</v>
      </c>
      <c r="U3259" t="s">
        <v>15065</v>
      </c>
    </row>
    <row r="3260" spans="1:21" x14ac:dyDescent="0.25">
      <c r="A3260" t="s">
        <v>15066</v>
      </c>
      <c r="B3260" t="s">
        <v>38</v>
      </c>
      <c r="C3260" t="s">
        <v>15067</v>
      </c>
      <c r="D3260">
        <f t="shared" si="83"/>
        <v>-8005007793</v>
      </c>
      <c r="E3260" t="s">
        <v>15068</v>
      </c>
      <c r="F3260" t="s">
        <v>14963</v>
      </c>
      <c r="G3260" t="s">
        <v>14964</v>
      </c>
      <c r="H3260">
        <v>44.519586505924998</v>
      </c>
      <c r="I3260">
        <v>48.744068953065998</v>
      </c>
      <c r="J3260">
        <v>170</v>
      </c>
      <c r="K3260" t="s">
        <v>27</v>
      </c>
      <c r="L3260" t="s">
        <v>27</v>
      </c>
      <c r="M3260" t="s">
        <v>27</v>
      </c>
      <c r="N3260" t="s">
        <v>27</v>
      </c>
      <c r="O3260" t="s">
        <v>27</v>
      </c>
      <c r="P3260" t="s">
        <v>27</v>
      </c>
      <c r="Q3260" t="s">
        <v>27</v>
      </c>
      <c r="R3260" t="s">
        <v>15067</v>
      </c>
      <c r="S3260" t="s">
        <v>15069</v>
      </c>
      <c r="T3260" t="s">
        <v>15070</v>
      </c>
      <c r="U3260" t="s">
        <v>15071</v>
      </c>
    </row>
    <row r="3261" spans="1:21" x14ac:dyDescent="0.25">
      <c r="A3261" t="s">
        <v>15072</v>
      </c>
      <c r="B3261" t="s">
        <v>38</v>
      </c>
      <c r="C3261" t="s">
        <v>15073</v>
      </c>
      <c r="D3261">
        <f t="shared" si="83"/>
        <v>-8005007793</v>
      </c>
      <c r="E3261" t="s">
        <v>15074</v>
      </c>
      <c r="F3261" t="s">
        <v>14963</v>
      </c>
      <c r="G3261" t="s">
        <v>14964</v>
      </c>
      <c r="H3261">
        <v>55.930115999999998</v>
      </c>
      <c r="I3261">
        <v>54.675215999999999</v>
      </c>
      <c r="J3261">
        <v>180</v>
      </c>
      <c r="K3261" t="s">
        <v>27</v>
      </c>
      <c r="L3261" t="s">
        <v>27</v>
      </c>
      <c r="M3261" t="s">
        <v>27</v>
      </c>
      <c r="N3261" t="s">
        <v>27</v>
      </c>
      <c r="O3261" t="s">
        <v>27</v>
      </c>
      <c r="P3261" t="s">
        <v>27</v>
      </c>
      <c r="Q3261" t="s">
        <v>27</v>
      </c>
      <c r="R3261" t="s">
        <v>15073</v>
      </c>
      <c r="S3261" t="s">
        <v>15075</v>
      </c>
      <c r="T3261" t="s">
        <v>15076</v>
      </c>
      <c r="U3261" t="s">
        <v>15077</v>
      </c>
    </row>
    <row r="3262" spans="1:21" x14ac:dyDescent="0.25">
      <c r="A3262" t="s">
        <v>15078</v>
      </c>
      <c r="B3262" t="s">
        <v>22</v>
      </c>
      <c r="C3262" t="s">
        <v>15079</v>
      </c>
      <c r="D3262">
        <f t="shared" si="83"/>
        <v>-8005007793</v>
      </c>
      <c r="E3262" t="s">
        <v>15042</v>
      </c>
      <c r="F3262" t="s">
        <v>14963</v>
      </c>
      <c r="G3262" t="s">
        <v>14964</v>
      </c>
      <c r="H3262">
        <v>38.983605300000001</v>
      </c>
      <c r="I3262">
        <v>45.101869800000003</v>
      </c>
      <c r="J3262">
        <v>145</v>
      </c>
      <c r="K3262" t="s">
        <v>27</v>
      </c>
      <c r="L3262" t="s">
        <v>27</v>
      </c>
      <c r="M3262" t="s">
        <v>27</v>
      </c>
      <c r="N3262" t="s">
        <v>27</v>
      </c>
      <c r="O3262" t="s">
        <v>27</v>
      </c>
      <c r="P3262" t="s">
        <v>27</v>
      </c>
      <c r="Q3262" t="s">
        <v>27</v>
      </c>
      <c r="R3262" t="s">
        <v>15079</v>
      </c>
      <c r="S3262" t="s">
        <v>15080</v>
      </c>
      <c r="T3262" t="s">
        <v>15044</v>
      </c>
      <c r="U3262" t="s">
        <v>15081</v>
      </c>
    </row>
    <row r="3263" spans="1:21" x14ac:dyDescent="0.25">
      <c r="A3263" t="s">
        <v>15082</v>
      </c>
      <c r="B3263" t="s">
        <v>22</v>
      </c>
      <c r="C3263" t="s">
        <v>15083</v>
      </c>
      <c r="D3263">
        <f t="shared" si="83"/>
        <v>-8005007793</v>
      </c>
      <c r="E3263" t="s">
        <v>14983</v>
      </c>
      <c r="F3263" t="s">
        <v>14963</v>
      </c>
      <c r="G3263" t="s">
        <v>14964</v>
      </c>
      <c r="H3263">
        <v>30.300948000000002</v>
      </c>
      <c r="I3263">
        <v>60.005263999999997</v>
      </c>
      <c r="J3263">
        <v>145</v>
      </c>
      <c r="K3263" t="s">
        <v>27</v>
      </c>
      <c r="L3263" t="s">
        <v>27</v>
      </c>
      <c r="M3263" t="s">
        <v>27</v>
      </c>
      <c r="N3263" t="s">
        <v>27</v>
      </c>
      <c r="O3263" t="s">
        <v>27</v>
      </c>
      <c r="P3263" t="s">
        <v>27</v>
      </c>
      <c r="Q3263" t="s">
        <v>27</v>
      </c>
      <c r="R3263" t="s">
        <v>15083</v>
      </c>
      <c r="S3263" t="s">
        <v>15084</v>
      </c>
      <c r="U3263" t="s">
        <v>15085</v>
      </c>
    </row>
    <row r="3264" spans="1:21" x14ac:dyDescent="0.25">
      <c r="A3264" t="s">
        <v>15086</v>
      </c>
      <c r="B3264" t="s">
        <v>38</v>
      </c>
      <c r="C3264" t="s">
        <v>15087</v>
      </c>
      <c r="D3264">
        <f t="shared" si="83"/>
        <v>-8005007793</v>
      </c>
      <c r="E3264" t="s">
        <v>15088</v>
      </c>
      <c r="F3264" t="s">
        <v>14963</v>
      </c>
      <c r="G3264" t="s">
        <v>14964</v>
      </c>
      <c r="H3264">
        <v>44.071311950683501</v>
      </c>
      <c r="I3264">
        <v>56.225460775260899</v>
      </c>
      <c r="J3264">
        <v>145</v>
      </c>
      <c r="K3264" t="s">
        <v>27</v>
      </c>
      <c r="L3264" t="s">
        <v>27</v>
      </c>
      <c r="M3264" t="s">
        <v>27</v>
      </c>
      <c r="N3264" t="s">
        <v>27</v>
      </c>
      <c r="O3264" t="s">
        <v>27</v>
      </c>
      <c r="P3264" t="s">
        <v>27</v>
      </c>
      <c r="Q3264" t="s">
        <v>27</v>
      </c>
      <c r="R3264" t="s">
        <v>15087</v>
      </c>
      <c r="S3264" t="s">
        <v>15089</v>
      </c>
      <c r="T3264" t="s">
        <v>15090</v>
      </c>
      <c r="U3264" t="s">
        <v>15091</v>
      </c>
    </row>
    <row r="3265" spans="1:21" x14ac:dyDescent="0.25">
      <c r="A3265" t="s">
        <v>15092</v>
      </c>
      <c r="B3265" t="s">
        <v>22</v>
      </c>
      <c r="C3265" t="s">
        <v>15093</v>
      </c>
      <c r="D3265">
        <f t="shared" si="83"/>
        <v>-8005007793</v>
      </c>
      <c r="E3265" t="s">
        <v>15036</v>
      </c>
      <c r="F3265" t="s">
        <v>14963</v>
      </c>
      <c r="G3265" t="s">
        <v>14964</v>
      </c>
      <c r="H3265">
        <v>60.505356788635197</v>
      </c>
      <c r="I3265">
        <v>56.824604098269099</v>
      </c>
      <c r="J3265">
        <v>180</v>
      </c>
      <c r="K3265" t="s">
        <v>27</v>
      </c>
      <c r="L3265" t="s">
        <v>27</v>
      </c>
      <c r="M3265" t="s">
        <v>27</v>
      </c>
      <c r="N3265" t="s">
        <v>27</v>
      </c>
      <c r="O3265" t="s">
        <v>27</v>
      </c>
      <c r="P3265" t="s">
        <v>27</v>
      </c>
      <c r="Q3265" t="s">
        <v>27</v>
      </c>
      <c r="R3265" t="s">
        <v>15093</v>
      </c>
      <c r="S3265" t="s">
        <v>15094</v>
      </c>
      <c r="T3265" t="s">
        <v>15038</v>
      </c>
      <c r="U3265" t="s">
        <v>15095</v>
      </c>
    </row>
    <row r="3266" spans="1:21" x14ac:dyDescent="0.25">
      <c r="A3266" t="s">
        <v>15096</v>
      </c>
      <c r="B3266" t="s">
        <v>22</v>
      </c>
      <c r="C3266" t="s">
        <v>15097</v>
      </c>
      <c r="D3266">
        <f>7-4912575560</f>
        <v>-4912575553</v>
      </c>
      <c r="E3266" t="s">
        <v>15098</v>
      </c>
      <c r="F3266" t="s">
        <v>14963</v>
      </c>
      <c r="G3266" t="s">
        <v>14964</v>
      </c>
      <c r="H3266">
        <v>39.688432216644202</v>
      </c>
      <c r="I3266">
        <v>54.634517472007502</v>
      </c>
      <c r="J3266">
        <v>145</v>
      </c>
      <c r="K3266" t="s">
        <v>27</v>
      </c>
      <c r="L3266" t="s">
        <v>27</v>
      </c>
      <c r="M3266" t="s">
        <v>27</v>
      </c>
      <c r="N3266" t="s">
        <v>27</v>
      </c>
      <c r="O3266" t="s">
        <v>27</v>
      </c>
      <c r="P3266" t="s">
        <v>27</v>
      </c>
      <c r="Q3266" t="s">
        <v>27</v>
      </c>
      <c r="R3266" t="s">
        <v>15097</v>
      </c>
      <c r="S3266" t="s">
        <v>15099</v>
      </c>
      <c r="T3266" t="s">
        <v>15100</v>
      </c>
      <c r="U3266" t="s">
        <v>15101</v>
      </c>
    </row>
    <row r="3267" spans="1:21" x14ac:dyDescent="0.25">
      <c r="A3267" t="s">
        <v>15102</v>
      </c>
      <c r="B3267" t="s">
        <v>38</v>
      </c>
      <c r="C3267" t="s">
        <v>15083</v>
      </c>
      <c r="D3267">
        <f t="shared" ref="D3267:D3298" si="84">7-8005007800</f>
        <v>-8005007793</v>
      </c>
      <c r="E3267" t="s">
        <v>15103</v>
      </c>
      <c r="F3267" t="s">
        <v>14963</v>
      </c>
      <c r="G3267" t="s">
        <v>14964</v>
      </c>
      <c r="H3267">
        <v>73.400000000000006</v>
      </c>
      <c r="I3267">
        <v>61.266666700000002</v>
      </c>
      <c r="J3267">
        <v>180</v>
      </c>
      <c r="K3267" t="s">
        <v>27</v>
      </c>
      <c r="L3267" t="s">
        <v>27</v>
      </c>
      <c r="M3267" t="s">
        <v>27</v>
      </c>
      <c r="N3267" t="s">
        <v>27</v>
      </c>
      <c r="O3267" t="s">
        <v>27</v>
      </c>
      <c r="P3267" t="s">
        <v>27</v>
      </c>
      <c r="Q3267" t="s">
        <v>27</v>
      </c>
      <c r="R3267" t="s">
        <v>15083</v>
      </c>
      <c r="S3267" t="s">
        <v>15104</v>
      </c>
      <c r="T3267" t="s">
        <v>15105</v>
      </c>
      <c r="U3267" t="s">
        <v>15106</v>
      </c>
    </row>
    <row r="3268" spans="1:21" x14ac:dyDescent="0.25">
      <c r="A3268" t="s">
        <v>15107</v>
      </c>
      <c r="B3268" t="s">
        <v>38</v>
      </c>
      <c r="C3268" t="s">
        <v>15108</v>
      </c>
      <c r="D3268">
        <f t="shared" si="84"/>
        <v>-8005007793</v>
      </c>
      <c r="E3268" t="s">
        <v>15109</v>
      </c>
      <c r="F3268" t="s">
        <v>14963</v>
      </c>
      <c r="G3268" t="s">
        <v>14964</v>
      </c>
      <c r="H3268">
        <v>50.303907394409102</v>
      </c>
      <c r="I3268">
        <v>53.324772905690097</v>
      </c>
      <c r="J3268">
        <v>170</v>
      </c>
      <c r="K3268" t="s">
        <v>27</v>
      </c>
      <c r="L3268" t="s">
        <v>27</v>
      </c>
      <c r="M3268" t="s">
        <v>27</v>
      </c>
      <c r="N3268" t="s">
        <v>27</v>
      </c>
      <c r="O3268" t="s">
        <v>27</v>
      </c>
      <c r="P3268" t="s">
        <v>27</v>
      </c>
      <c r="Q3268" t="s">
        <v>27</v>
      </c>
      <c r="R3268" t="s">
        <v>15108</v>
      </c>
      <c r="S3268" t="s">
        <v>15110</v>
      </c>
      <c r="T3268" t="s">
        <v>15064</v>
      </c>
      <c r="U3268" t="s">
        <v>15111</v>
      </c>
    </row>
    <row r="3269" spans="1:21" x14ac:dyDescent="0.25">
      <c r="A3269" t="s">
        <v>15112</v>
      </c>
      <c r="B3269" t="s">
        <v>22</v>
      </c>
      <c r="C3269" t="s">
        <v>15113</v>
      </c>
      <c r="D3269">
        <f t="shared" si="84"/>
        <v>-8005007793</v>
      </c>
      <c r="E3269" t="s">
        <v>14970</v>
      </c>
      <c r="F3269" t="s">
        <v>14963</v>
      </c>
      <c r="G3269" t="s">
        <v>14964</v>
      </c>
      <c r="H3269">
        <v>37.541956901550201</v>
      </c>
      <c r="I3269">
        <v>55.909663156529398</v>
      </c>
      <c r="J3269">
        <v>145</v>
      </c>
      <c r="K3269" t="s">
        <v>27</v>
      </c>
      <c r="L3269" t="s">
        <v>27</v>
      </c>
      <c r="M3269" t="s">
        <v>27</v>
      </c>
      <c r="N3269" t="s">
        <v>27</v>
      </c>
      <c r="O3269" t="s">
        <v>27</v>
      </c>
      <c r="P3269" t="s">
        <v>27</v>
      </c>
      <c r="Q3269" t="s">
        <v>27</v>
      </c>
      <c r="R3269" t="s">
        <v>15113</v>
      </c>
      <c r="S3269" t="s">
        <v>15114</v>
      </c>
      <c r="U3269" t="s">
        <v>15115</v>
      </c>
    </row>
    <row r="3270" spans="1:21" x14ac:dyDescent="0.25">
      <c r="A3270" t="s">
        <v>15116</v>
      </c>
      <c r="B3270" t="s">
        <v>38</v>
      </c>
      <c r="C3270" t="s">
        <v>15117</v>
      </c>
      <c r="D3270">
        <f t="shared" si="84"/>
        <v>-8005007793</v>
      </c>
      <c r="E3270" t="s">
        <v>14983</v>
      </c>
      <c r="F3270" t="s">
        <v>14963</v>
      </c>
      <c r="G3270" t="s">
        <v>14964</v>
      </c>
      <c r="H3270">
        <v>30.3581267</v>
      </c>
      <c r="I3270">
        <v>59.877333100000001</v>
      </c>
      <c r="J3270">
        <v>145</v>
      </c>
      <c r="K3270" t="s">
        <v>27</v>
      </c>
      <c r="L3270" t="s">
        <v>27</v>
      </c>
      <c r="M3270" t="s">
        <v>27</v>
      </c>
      <c r="N3270" t="s">
        <v>27</v>
      </c>
      <c r="O3270" t="s">
        <v>27</v>
      </c>
      <c r="P3270" t="s">
        <v>27</v>
      </c>
      <c r="Q3270" t="s">
        <v>27</v>
      </c>
      <c r="R3270" t="s">
        <v>15117</v>
      </c>
      <c r="S3270" t="s">
        <v>15118</v>
      </c>
      <c r="U3270" t="s">
        <v>15119</v>
      </c>
    </row>
    <row r="3271" spans="1:21" x14ac:dyDescent="0.25">
      <c r="A3271" t="s">
        <v>15120</v>
      </c>
      <c r="B3271" t="s">
        <v>38</v>
      </c>
      <c r="C3271" t="s">
        <v>15121</v>
      </c>
      <c r="D3271">
        <f t="shared" si="84"/>
        <v>-8005007793</v>
      </c>
      <c r="E3271" t="s">
        <v>15088</v>
      </c>
      <c r="F3271" t="s">
        <v>14963</v>
      </c>
      <c r="G3271" t="s">
        <v>14964</v>
      </c>
      <c r="H3271">
        <v>43.954937999999999</v>
      </c>
      <c r="I3271">
        <v>56.338825999999997</v>
      </c>
      <c r="J3271">
        <v>145</v>
      </c>
      <c r="K3271" t="s">
        <v>27</v>
      </c>
      <c r="L3271" t="s">
        <v>27</v>
      </c>
      <c r="M3271" t="s">
        <v>27</v>
      </c>
      <c r="N3271" t="s">
        <v>27</v>
      </c>
      <c r="O3271" t="s">
        <v>27</v>
      </c>
      <c r="P3271" t="s">
        <v>27</v>
      </c>
      <c r="Q3271" t="s">
        <v>27</v>
      </c>
      <c r="R3271" t="s">
        <v>15121</v>
      </c>
      <c r="S3271" t="s">
        <v>15122</v>
      </c>
      <c r="T3271" t="s">
        <v>15090</v>
      </c>
      <c r="U3271" t="s">
        <v>15123</v>
      </c>
    </row>
    <row r="3272" spans="1:21" x14ac:dyDescent="0.25">
      <c r="A3272" t="s">
        <v>15124</v>
      </c>
      <c r="B3272" t="s">
        <v>38</v>
      </c>
      <c r="C3272" t="s">
        <v>15125</v>
      </c>
      <c r="D3272">
        <f t="shared" si="84"/>
        <v>-8005007793</v>
      </c>
      <c r="E3272" t="s">
        <v>14983</v>
      </c>
      <c r="F3272" t="s">
        <v>14963</v>
      </c>
      <c r="G3272" t="s">
        <v>14964</v>
      </c>
      <c r="H3272">
        <v>30.262055397033599</v>
      </c>
      <c r="I3272">
        <v>59.983371501907101</v>
      </c>
      <c r="J3272">
        <v>145</v>
      </c>
      <c r="K3272" t="s">
        <v>27</v>
      </c>
      <c r="L3272" t="s">
        <v>27</v>
      </c>
      <c r="M3272" t="s">
        <v>27</v>
      </c>
      <c r="N3272" t="s">
        <v>27</v>
      </c>
      <c r="O3272" t="s">
        <v>27</v>
      </c>
      <c r="P3272" t="s">
        <v>27</v>
      </c>
      <c r="Q3272" t="s">
        <v>27</v>
      </c>
      <c r="R3272" t="s">
        <v>15125</v>
      </c>
      <c r="S3272" t="s">
        <v>15126</v>
      </c>
      <c r="U3272" t="s">
        <v>15127</v>
      </c>
    </row>
    <row r="3273" spans="1:21" x14ac:dyDescent="0.25">
      <c r="A3273" t="s">
        <v>15128</v>
      </c>
      <c r="B3273" t="s">
        <v>22</v>
      </c>
      <c r="C3273" t="s">
        <v>15129</v>
      </c>
      <c r="D3273">
        <f t="shared" si="84"/>
        <v>-8005007793</v>
      </c>
      <c r="E3273" t="s">
        <v>15130</v>
      </c>
      <c r="F3273" t="s">
        <v>14963</v>
      </c>
      <c r="G3273" t="s">
        <v>14964</v>
      </c>
      <c r="H3273">
        <v>39.732292999999999</v>
      </c>
      <c r="I3273">
        <v>43.607120000000002</v>
      </c>
      <c r="J3273">
        <v>145</v>
      </c>
      <c r="K3273" t="s">
        <v>27</v>
      </c>
      <c r="L3273" t="s">
        <v>27</v>
      </c>
      <c r="M3273" t="s">
        <v>27</v>
      </c>
      <c r="N3273" t="s">
        <v>27</v>
      </c>
      <c r="O3273" t="s">
        <v>27</v>
      </c>
      <c r="P3273" t="s">
        <v>27</v>
      </c>
      <c r="Q3273" t="s">
        <v>27</v>
      </c>
      <c r="R3273" t="s">
        <v>15129</v>
      </c>
      <c r="S3273" t="s">
        <v>15131</v>
      </c>
      <c r="T3273" t="s">
        <v>15044</v>
      </c>
      <c r="U3273" t="s">
        <v>15132</v>
      </c>
    </row>
    <row r="3274" spans="1:21" x14ac:dyDescent="0.25">
      <c r="A3274" t="s">
        <v>15133</v>
      </c>
      <c r="B3274" t="s">
        <v>38</v>
      </c>
      <c r="C3274" t="s">
        <v>15134</v>
      </c>
      <c r="D3274">
        <f t="shared" si="84"/>
        <v>-8005007793</v>
      </c>
      <c r="E3274" t="s">
        <v>15036</v>
      </c>
      <c r="F3274" t="s">
        <v>14963</v>
      </c>
      <c r="G3274" t="s">
        <v>14964</v>
      </c>
      <c r="H3274">
        <v>60.538241999999997</v>
      </c>
      <c r="I3274">
        <v>56.817092000000002</v>
      </c>
      <c r="J3274">
        <v>180</v>
      </c>
      <c r="K3274" t="s">
        <v>27</v>
      </c>
      <c r="L3274" t="s">
        <v>27</v>
      </c>
      <c r="M3274" t="s">
        <v>27</v>
      </c>
      <c r="N3274" t="s">
        <v>27</v>
      </c>
      <c r="O3274" t="s">
        <v>27</v>
      </c>
      <c r="P3274" t="s">
        <v>27</v>
      </c>
      <c r="Q3274" t="s">
        <v>27</v>
      </c>
      <c r="R3274" t="s">
        <v>15134</v>
      </c>
      <c r="S3274" t="s">
        <v>15135</v>
      </c>
      <c r="T3274" t="s">
        <v>15038</v>
      </c>
      <c r="U3274" t="s">
        <v>15136</v>
      </c>
    </row>
    <row r="3275" spans="1:21" x14ac:dyDescent="0.25">
      <c r="A3275" t="s">
        <v>15137</v>
      </c>
      <c r="B3275" t="s">
        <v>22</v>
      </c>
      <c r="C3275" t="s">
        <v>15138</v>
      </c>
      <c r="D3275">
        <f t="shared" si="84"/>
        <v>-8005007793</v>
      </c>
      <c r="E3275" t="s">
        <v>14970</v>
      </c>
      <c r="F3275" t="s">
        <v>14963</v>
      </c>
      <c r="G3275" t="s">
        <v>14964</v>
      </c>
      <c r="H3275">
        <v>37.523744999999998</v>
      </c>
      <c r="I3275">
        <v>55.777295000000002</v>
      </c>
      <c r="J3275">
        <v>145</v>
      </c>
      <c r="K3275" t="s">
        <v>27</v>
      </c>
      <c r="L3275" t="s">
        <v>27</v>
      </c>
      <c r="M3275" t="s">
        <v>27</v>
      </c>
      <c r="N3275" t="s">
        <v>27</v>
      </c>
      <c r="O3275" t="s">
        <v>27</v>
      </c>
      <c r="P3275" t="s">
        <v>27</v>
      </c>
      <c r="Q3275" t="s">
        <v>27</v>
      </c>
      <c r="R3275" t="s">
        <v>15138</v>
      </c>
      <c r="S3275" t="s">
        <v>15139</v>
      </c>
      <c r="U3275" t="s">
        <v>15140</v>
      </c>
    </row>
    <row r="3276" spans="1:21" x14ac:dyDescent="0.25">
      <c r="A3276" t="s">
        <v>15141</v>
      </c>
      <c r="B3276" t="s">
        <v>38</v>
      </c>
      <c r="C3276" t="s">
        <v>15142</v>
      </c>
      <c r="D3276">
        <f t="shared" si="84"/>
        <v>-8005007793</v>
      </c>
      <c r="E3276" t="s">
        <v>14970</v>
      </c>
      <c r="F3276" t="s">
        <v>14963</v>
      </c>
      <c r="G3276" t="s">
        <v>14964</v>
      </c>
      <c r="H3276">
        <v>37.333705000000002</v>
      </c>
      <c r="I3276">
        <v>55.875557999999998</v>
      </c>
      <c r="J3276">
        <v>145</v>
      </c>
      <c r="K3276" t="s">
        <v>27</v>
      </c>
      <c r="L3276" t="s">
        <v>27</v>
      </c>
      <c r="M3276" t="s">
        <v>27</v>
      </c>
      <c r="N3276" t="s">
        <v>27</v>
      </c>
      <c r="O3276" t="s">
        <v>27</v>
      </c>
      <c r="P3276" t="s">
        <v>27</v>
      </c>
      <c r="Q3276" t="s">
        <v>27</v>
      </c>
      <c r="R3276" t="s">
        <v>15142</v>
      </c>
      <c r="S3276" t="s">
        <v>15143</v>
      </c>
      <c r="T3276" t="s">
        <v>14993</v>
      </c>
      <c r="U3276" t="s">
        <v>15144</v>
      </c>
    </row>
    <row r="3277" spans="1:21" x14ac:dyDescent="0.25">
      <c r="A3277" t="s">
        <v>15145</v>
      </c>
      <c r="B3277" t="s">
        <v>38</v>
      </c>
      <c r="C3277" t="s">
        <v>15146</v>
      </c>
      <c r="D3277">
        <f t="shared" si="84"/>
        <v>-8005007793</v>
      </c>
      <c r="E3277" t="s">
        <v>15147</v>
      </c>
      <c r="F3277" t="s">
        <v>14963</v>
      </c>
      <c r="G3277" t="s">
        <v>14964</v>
      </c>
      <c r="H3277">
        <v>44.951163999999999</v>
      </c>
      <c r="I3277">
        <v>53.220542999999999</v>
      </c>
      <c r="J3277">
        <v>145</v>
      </c>
      <c r="K3277" t="s">
        <v>27</v>
      </c>
      <c r="L3277" t="s">
        <v>27</v>
      </c>
      <c r="M3277" t="s">
        <v>27</v>
      </c>
      <c r="N3277" t="s">
        <v>27</v>
      </c>
      <c r="O3277" t="s">
        <v>27</v>
      </c>
      <c r="P3277" t="s">
        <v>27</v>
      </c>
      <c r="Q3277" t="s">
        <v>27</v>
      </c>
      <c r="R3277" t="s">
        <v>15146</v>
      </c>
      <c r="S3277" t="s">
        <v>15148</v>
      </c>
      <c r="T3277" t="s">
        <v>15149</v>
      </c>
      <c r="U3277" t="s">
        <v>15150</v>
      </c>
    </row>
    <row r="3278" spans="1:21" x14ac:dyDescent="0.25">
      <c r="A3278" t="s">
        <v>15151</v>
      </c>
      <c r="B3278" t="s">
        <v>22</v>
      </c>
      <c r="C3278" t="s">
        <v>15152</v>
      </c>
      <c r="D3278">
        <f t="shared" si="84"/>
        <v>-8005007793</v>
      </c>
      <c r="E3278" t="s">
        <v>15103</v>
      </c>
      <c r="F3278" t="s">
        <v>14963</v>
      </c>
      <c r="G3278" t="s">
        <v>14964</v>
      </c>
      <c r="H3278">
        <v>73.365705000000005</v>
      </c>
      <c r="I3278">
        <v>61.277667000000001</v>
      </c>
      <c r="J3278">
        <v>180</v>
      </c>
      <c r="K3278" t="s">
        <v>27</v>
      </c>
      <c r="L3278" t="s">
        <v>27</v>
      </c>
      <c r="M3278" t="s">
        <v>27</v>
      </c>
      <c r="N3278" t="s">
        <v>27</v>
      </c>
      <c r="O3278" t="s">
        <v>27</v>
      </c>
      <c r="P3278" t="s">
        <v>27</v>
      </c>
      <c r="Q3278" t="s">
        <v>27</v>
      </c>
      <c r="R3278" t="s">
        <v>15152</v>
      </c>
      <c r="S3278" t="s">
        <v>15153</v>
      </c>
      <c r="T3278" t="s">
        <v>15105</v>
      </c>
      <c r="U3278" t="s">
        <v>15154</v>
      </c>
    </row>
    <row r="3279" spans="1:21" x14ac:dyDescent="0.25">
      <c r="A3279" t="s">
        <v>15155</v>
      </c>
      <c r="B3279" t="s">
        <v>38</v>
      </c>
      <c r="C3279" t="s">
        <v>15156</v>
      </c>
      <c r="D3279">
        <f t="shared" si="84"/>
        <v>-8005007793</v>
      </c>
      <c r="E3279" t="s">
        <v>15109</v>
      </c>
      <c r="F3279" t="s">
        <v>14963</v>
      </c>
      <c r="G3279" t="s">
        <v>14964</v>
      </c>
      <c r="H3279">
        <v>50.189044475555399</v>
      </c>
      <c r="I3279">
        <v>53.191057538932299</v>
      </c>
      <c r="J3279">
        <v>170</v>
      </c>
      <c r="K3279" t="s">
        <v>27</v>
      </c>
      <c r="L3279" t="s">
        <v>27</v>
      </c>
      <c r="M3279" t="s">
        <v>27</v>
      </c>
      <c r="N3279" t="s">
        <v>27</v>
      </c>
      <c r="O3279" t="s">
        <v>27</v>
      </c>
      <c r="P3279" t="s">
        <v>27</v>
      </c>
      <c r="Q3279" t="s">
        <v>27</v>
      </c>
      <c r="R3279" t="s">
        <v>15156</v>
      </c>
      <c r="S3279" t="s">
        <v>15157</v>
      </c>
      <c r="T3279" t="s">
        <v>15064</v>
      </c>
      <c r="U3279" t="s">
        <v>15158</v>
      </c>
    </row>
    <row r="3280" spans="1:21" x14ac:dyDescent="0.25">
      <c r="A3280" t="s">
        <v>15159</v>
      </c>
      <c r="B3280" t="s">
        <v>22</v>
      </c>
      <c r="C3280" t="s">
        <v>15160</v>
      </c>
      <c r="D3280">
        <f t="shared" si="84"/>
        <v>-8005007793</v>
      </c>
      <c r="E3280" t="s">
        <v>15074</v>
      </c>
      <c r="F3280" t="s">
        <v>14963</v>
      </c>
      <c r="G3280" t="s">
        <v>14964</v>
      </c>
      <c r="H3280">
        <v>56.034584000000002</v>
      </c>
      <c r="I3280">
        <v>54.756601000000003</v>
      </c>
      <c r="J3280">
        <v>180</v>
      </c>
      <c r="K3280" t="s">
        <v>27</v>
      </c>
      <c r="L3280" t="s">
        <v>27</v>
      </c>
      <c r="M3280" t="s">
        <v>27</v>
      </c>
      <c r="N3280" t="s">
        <v>27</v>
      </c>
      <c r="O3280" t="s">
        <v>27</v>
      </c>
      <c r="P3280" t="s">
        <v>27</v>
      </c>
      <c r="Q3280" t="s">
        <v>27</v>
      </c>
      <c r="R3280" t="s">
        <v>15160</v>
      </c>
      <c r="S3280" t="s">
        <v>15161</v>
      </c>
      <c r="T3280" t="s">
        <v>15076</v>
      </c>
      <c r="U3280" t="s">
        <v>15162</v>
      </c>
    </row>
    <row r="3281" spans="1:21" x14ac:dyDescent="0.25">
      <c r="A3281" t="s">
        <v>15163</v>
      </c>
      <c r="B3281" t="s">
        <v>22</v>
      </c>
      <c r="C3281" t="s">
        <v>15164</v>
      </c>
      <c r="D3281">
        <f t="shared" si="84"/>
        <v>-8005007793</v>
      </c>
      <c r="E3281" t="s">
        <v>15165</v>
      </c>
      <c r="F3281" t="s">
        <v>14963</v>
      </c>
      <c r="G3281" t="s">
        <v>14964</v>
      </c>
      <c r="H3281">
        <v>65.541931000000005</v>
      </c>
      <c r="I3281">
        <v>57.146039999999999</v>
      </c>
      <c r="J3281">
        <v>180</v>
      </c>
      <c r="K3281" t="s">
        <v>27</v>
      </c>
      <c r="L3281" t="s">
        <v>27</v>
      </c>
      <c r="M3281" t="s">
        <v>27</v>
      </c>
      <c r="N3281" t="s">
        <v>27</v>
      </c>
      <c r="O3281" t="s">
        <v>27</v>
      </c>
      <c r="P3281" t="s">
        <v>27</v>
      </c>
      <c r="Q3281" t="s">
        <v>27</v>
      </c>
      <c r="R3281" t="s">
        <v>15164</v>
      </c>
      <c r="S3281" t="s">
        <v>15166</v>
      </c>
      <c r="T3281" t="s">
        <v>15167</v>
      </c>
      <c r="U3281" t="s">
        <v>15168</v>
      </c>
    </row>
    <row r="3282" spans="1:21" x14ac:dyDescent="0.25">
      <c r="A3282" t="s">
        <v>15169</v>
      </c>
      <c r="B3282" t="s">
        <v>38</v>
      </c>
      <c r="C3282" t="s">
        <v>15170</v>
      </c>
      <c r="D3282">
        <f t="shared" si="84"/>
        <v>-8005007793</v>
      </c>
      <c r="E3282" t="s">
        <v>14970</v>
      </c>
      <c r="F3282" t="s">
        <v>14963</v>
      </c>
      <c r="G3282" t="s">
        <v>14964</v>
      </c>
      <c r="H3282">
        <v>37.646820545196498</v>
      </c>
      <c r="I3282">
        <v>55.653706014392</v>
      </c>
      <c r="J3282">
        <v>145</v>
      </c>
      <c r="K3282" t="s">
        <v>27</v>
      </c>
      <c r="L3282" t="s">
        <v>27</v>
      </c>
      <c r="M3282" t="s">
        <v>27</v>
      </c>
      <c r="N3282" t="s">
        <v>27</v>
      </c>
      <c r="O3282" t="s">
        <v>27</v>
      </c>
      <c r="P3282" t="s">
        <v>27</v>
      </c>
      <c r="Q3282" t="s">
        <v>27</v>
      </c>
      <c r="R3282" t="s">
        <v>15170</v>
      </c>
      <c r="S3282" t="s">
        <v>15171</v>
      </c>
      <c r="U3282" t="s">
        <v>15172</v>
      </c>
    </row>
    <row r="3283" spans="1:21" x14ac:dyDescent="0.25">
      <c r="A3283" t="s">
        <v>15173</v>
      </c>
      <c r="B3283" t="s">
        <v>38</v>
      </c>
      <c r="C3283" t="s">
        <v>15174</v>
      </c>
      <c r="D3283">
        <f t="shared" si="84"/>
        <v>-8005007793</v>
      </c>
      <c r="E3283" t="s">
        <v>15036</v>
      </c>
      <c r="F3283" t="s">
        <v>14963</v>
      </c>
      <c r="G3283" t="s">
        <v>14964</v>
      </c>
      <c r="H3283">
        <v>60.648844242095898</v>
      </c>
      <c r="I3283">
        <v>56.788856998114902</v>
      </c>
      <c r="J3283">
        <v>180</v>
      </c>
      <c r="K3283" t="s">
        <v>27</v>
      </c>
      <c r="L3283" t="s">
        <v>27</v>
      </c>
      <c r="M3283" t="s">
        <v>27</v>
      </c>
      <c r="N3283" t="s">
        <v>27</v>
      </c>
      <c r="O3283" t="s">
        <v>27</v>
      </c>
      <c r="P3283" t="s">
        <v>27</v>
      </c>
      <c r="Q3283" t="s">
        <v>27</v>
      </c>
      <c r="R3283" t="s">
        <v>15174</v>
      </c>
      <c r="S3283" t="s">
        <v>15175</v>
      </c>
      <c r="T3283" t="s">
        <v>15038</v>
      </c>
      <c r="U3283" t="s">
        <v>15176</v>
      </c>
    </row>
    <row r="3284" spans="1:21" x14ac:dyDescent="0.25">
      <c r="A3284" t="s">
        <v>15177</v>
      </c>
      <c r="B3284" t="s">
        <v>22</v>
      </c>
      <c r="C3284" t="s">
        <v>15178</v>
      </c>
      <c r="D3284">
        <f t="shared" si="84"/>
        <v>-8005007793</v>
      </c>
      <c r="E3284" t="s">
        <v>15179</v>
      </c>
      <c r="F3284" t="s">
        <v>14963</v>
      </c>
      <c r="G3284" t="s">
        <v>14964</v>
      </c>
      <c r="H3284">
        <v>37.758829593658398</v>
      </c>
      <c r="I3284">
        <v>55.9161090985382</v>
      </c>
      <c r="J3284">
        <v>145</v>
      </c>
      <c r="K3284" t="s">
        <v>27</v>
      </c>
      <c r="L3284" t="s">
        <v>27</v>
      </c>
      <c r="M3284" t="s">
        <v>27</v>
      </c>
      <c r="N3284" t="s">
        <v>27</v>
      </c>
      <c r="O3284" t="s">
        <v>34</v>
      </c>
      <c r="P3284" t="s">
        <v>34</v>
      </c>
      <c r="Q3284" t="s">
        <v>27</v>
      </c>
      <c r="R3284" t="s">
        <v>15178</v>
      </c>
      <c r="S3284" t="s">
        <v>15180</v>
      </c>
      <c r="T3284" t="s">
        <v>14993</v>
      </c>
      <c r="U3284" t="s">
        <v>15181</v>
      </c>
    </row>
    <row r="3285" spans="1:21" x14ac:dyDescent="0.25">
      <c r="A3285" t="s">
        <v>15182</v>
      </c>
      <c r="B3285" t="s">
        <v>22</v>
      </c>
      <c r="C3285" t="s">
        <v>15183</v>
      </c>
      <c r="D3285">
        <f t="shared" si="84"/>
        <v>-8005007793</v>
      </c>
      <c r="E3285" t="s">
        <v>14983</v>
      </c>
      <c r="F3285" t="s">
        <v>14963</v>
      </c>
      <c r="G3285" t="s">
        <v>14964</v>
      </c>
      <c r="H3285">
        <v>30.44679</v>
      </c>
      <c r="I3285">
        <v>59.912894999999999</v>
      </c>
      <c r="J3285">
        <v>145</v>
      </c>
      <c r="K3285" t="s">
        <v>27</v>
      </c>
      <c r="L3285" t="s">
        <v>27</v>
      </c>
      <c r="M3285" t="s">
        <v>27</v>
      </c>
      <c r="N3285" t="s">
        <v>27</v>
      </c>
      <c r="O3285" t="s">
        <v>27</v>
      </c>
      <c r="P3285" t="s">
        <v>27</v>
      </c>
      <c r="Q3285" t="s">
        <v>27</v>
      </c>
      <c r="R3285" t="s">
        <v>15183</v>
      </c>
      <c r="S3285" t="s">
        <v>15184</v>
      </c>
      <c r="U3285" t="s">
        <v>15185</v>
      </c>
    </row>
    <row r="3286" spans="1:21" x14ac:dyDescent="0.25">
      <c r="A3286" t="s">
        <v>15186</v>
      </c>
      <c r="B3286" t="s">
        <v>22</v>
      </c>
      <c r="C3286" t="s">
        <v>15187</v>
      </c>
      <c r="D3286">
        <f t="shared" si="84"/>
        <v>-8005007793</v>
      </c>
      <c r="E3286" t="s">
        <v>14983</v>
      </c>
      <c r="F3286" t="s">
        <v>14963</v>
      </c>
      <c r="G3286" t="s">
        <v>14964</v>
      </c>
      <c r="H3286">
        <v>30.144081115722599</v>
      </c>
      <c r="I3286">
        <v>59.848565784966198</v>
      </c>
      <c r="J3286">
        <v>145</v>
      </c>
      <c r="K3286" t="s">
        <v>27</v>
      </c>
      <c r="L3286" t="s">
        <v>27</v>
      </c>
      <c r="M3286" t="s">
        <v>27</v>
      </c>
      <c r="N3286" t="s">
        <v>27</v>
      </c>
      <c r="O3286" t="s">
        <v>27</v>
      </c>
      <c r="P3286" t="s">
        <v>27</v>
      </c>
      <c r="Q3286" t="s">
        <v>27</v>
      </c>
      <c r="R3286" t="s">
        <v>15187</v>
      </c>
      <c r="S3286" t="s">
        <v>15188</v>
      </c>
      <c r="U3286" t="s">
        <v>15189</v>
      </c>
    </row>
    <row r="3287" spans="1:21" x14ac:dyDescent="0.25">
      <c r="A3287" t="s">
        <v>15190</v>
      </c>
      <c r="B3287" t="s">
        <v>22</v>
      </c>
      <c r="C3287" t="s">
        <v>15191</v>
      </c>
      <c r="D3287">
        <f t="shared" si="84"/>
        <v>-8005007793</v>
      </c>
      <c r="E3287" t="s">
        <v>14970</v>
      </c>
      <c r="F3287" t="s">
        <v>14963</v>
      </c>
      <c r="G3287" t="s">
        <v>14964</v>
      </c>
      <c r="H3287">
        <v>37.511765956878598</v>
      </c>
      <c r="I3287">
        <v>55.664212851556201</v>
      </c>
      <c r="J3287">
        <v>145</v>
      </c>
      <c r="K3287" t="s">
        <v>27</v>
      </c>
      <c r="L3287" t="s">
        <v>27</v>
      </c>
      <c r="M3287" t="s">
        <v>27</v>
      </c>
      <c r="N3287" t="s">
        <v>27</v>
      </c>
      <c r="O3287" t="s">
        <v>27</v>
      </c>
      <c r="P3287" t="s">
        <v>27</v>
      </c>
      <c r="Q3287" t="s">
        <v>27</v>
      </c>
      <c r="R3287" t="s">
        <v>15191</v>
      </c>
      <c r="S3287" t="s">
        <v>15192</v>
      </c>
      <c r="T3287" t="s">
        <v>14993</v>
      </c>
      <c r="U3287" t="s">
        <v>15193</v>
      </c>
    </row>
    <row r="3288" spans="1:21" x14ac:dyDescent="0.25">
      <c r="A3288" t="s">
        <v>15194</v>
      </c>
      <c r="B3288" t="s">
        <v>38</v>
      </c>
      <c r="C3288" t="s">
        <v>15195</v>
      </c>
      <c r="D3288">
        <f t="shared" si="84"/>
        <v>-8005007793</v>
      </c>
      <c r="E3288" t="s">
        <v>15068</v>
      </c>
      <c r="F3288" t="s">
        <v>14963</v>
      </c>
      <c r="G3288" t="s">
        <v>14964</v>
      </c>
      <c r="H3288">
        <v>44.434890747070298</v>
      </c>
      <c r="I3288">
        <v>48.640523190008899</v>
      </c>
      <c r="J3288">
        <v>170</v>
      </c>
      <c r="K3288" t="s">
        <v>536</v>
      </c>
      <c r="L3288" t="s">
        <v>536</v>
      </c>
      <c r="M3288" t="s">
        <v>536</v>
      </c>
      <c r="N3288" t="s">
        <v>536</v>
      </c>
      <c r="O3288" t="s">
        <v>536</v>
      </c>
      <c r="P3288" t="s">
        <v>536</v>
      </c>
      <c r="Q3288" t="s">
        <v>536</v>
      </c>
      <c r="R3288" t="s">
        <v>15195</v>
      </c>
      <c r="S3288" t="s">
        <v>15196</v>
      </c>
      <c r="T3288" t="s">
        <v>15197</v>
      </c>
      <c r="U3288" t="s">
        <v>15198</v>
      </c>
    </row>
    <row r="3289" spans="1:21" x14ac:dyDescent="0.25">
      <c r="A3289" t="s">
        <v>15199</v>
      </c>
      <c r="B3289" t="s">
        <v>22</v>
      </c>
      <c r="C3289" t="s">
        <v>15200</v>
      </c>
      <c r="D3289">
        <f t="shared" si="84"/>
        <v>-8005007793</v>
      </c>
      <c r="E3289" t="s">
        <v>15014</v>
      </c>
      <c r="F3289" t="s">
        <v>14963</v>
      </c>
      <c r="G3289" t="s">
        <v>14964</v>
      </c>
      <c r="H3289">
        <v>39.8468112945556</v>
      </c>
      <c r="I3289">
        <v>47.289883978297901</v>
      </c>
      <c r="J3289">
        <v>145</v>
      </c>
      <c r="K3289" t="s">
        <v>27</v>
      </c>
      <c r="L3289" t="s">
        <v>27</v>
      </c>
      <c r="M3289" t="s">
        <v>27</v>
      </c>
      <c r="N3289" t="s">
        <v>27</v>
      </c>
      <c r="O3289" t="s">
        <v>27</v>
      </c>
      <c r="P3289" t="s">
        <v>27</v>
      </c>
      <c r="Q3289" t="s">
        <v>27</v>
      </c>
      <c r="R3289" t="s">
        <v>15200</v>
      </c>
      <c r="S3289" t="s">
        <v>15201</v>
      </c>
      <c r="T3289" t="s">
        <v>15016</v>
      </c>
      <c r="U3289" t="s">
        <v>15202</v>
      </c>
    </row>
    <row r="3290" spans="1:21" x14ac:dyDescent="0.25">
      <c r="A3290" t="s">
        <v>15203</v>
      </c>
      <c r="B3290" t="s">
        <v>38</v>
      </c>
      <c r="C3290" t="s">
        <v>15204</v>
      </c>
      <c r="D3290">
        <f t="shared" si="84"/>
        <v>-8005007793</v>
      </c>
      <c r="E3290" t="s">
        <v>15042</v>
      </c>
      <c r="F3290" t="s">
        <v>14963</v>
      </c>
      <c r="G3290" t="s">
        <v>14964</v>
      </c>
      <c r="H3290">
        <v>38.9296655284667</v>
      </c>
      <c r="I3290">
        <v>45.013695633875599</v>
      </c>
      <c r="J3290">
        <v>145</v>
      </c>
      <c r="K3290" t="s">
        <v>27</v>
      </c>
      <c r="L3290" t="s">
        <v>27</v>
      </c>
      <c r="M3290" t="s">
        <v>27</v>
      </c>
      <c r="N3290" t="s">
        <v>27</v>
      </c>
      <c r="O3290" t="s">
        <v>27</v>
      </c>
      <c r="P3290" t="s">
        <v>27</v>
      </c>
      <c r="Q3290" t="s">
        <v>27</v>
      </c>
      <c r="R3290" t="s">
        <v>15204</v>
      </c>
      <c r="S3290" t="s">
        <v>15205</v>
      </c>
      <c r="T3290" t="s">
        <v>15206</v>
      </c>
      <c r="U3290" t="s">
        <v>15207</v>
      </c>
    </row>
    <row r="3291" spans="1:21" x14ac:dyDescent="0.25">
      <c r="A3291" t="s">
        <v>15208</v>
      </c>
      <c r="B3291" t="s">
        <v>22</v>
      </c>
      <c r="C3291" t="s">
        <v>15209</v>
      </c>
      <c r="D3291">
        <f t="shared" si="84"/>
        <v>-8005007793</v>
      </c>
      <c r="E3291" t="s">
        <v>14970</v>
      </c>
      <c r="F3291" t="s">
        <v>14963</v>
      </c>
      <c r="G3291" t="s">
        <v>14964</v>
      </c>
      <c r="H3291">
        <v>37.616779804229701</v>
      </c>
      <c r="I3291">
        <v>55.7952622646403</v>
      </c>
      <c r="J3291">
        <v>145</v>
      </c>
      <c r="K3291" t="s">
        <v>27</v>
      </c>
      <c r="L3291" t="s">
        <v>27</v>
      </c>
      <c r="M3291" t="s">
        <v>27</v>
      </c>
      <c r="N3291" t="s">
        <v>27</v>
      </c>
      <c r="O3291" t="s">
        <v>27</v>
      </c>
      <c r="P3291" t="s">
        <v>27</v>
      </c>
      <c r="Q3291" t="s">
        <v>27</v>
      </c>
      <c r="R3291" t="s">
        <v>15209</v>
      </c>
      <c r="S3291" t="s">
        <v>15210</v>
      </c>
      <c r="T3291" t="s">
        <v>14993</v>
      </c>
      <c r="U3291" t="s">
        <v>15211</v>
      </c>
    </row>
    <row r="3292" spans="1:21" x14ac:dyDescent="0.25">
      <c r="A3292" t="s">
        <v>15212</v>
      </c>
      <c r="B3292" t="s">
        <v>38</v>
      </c>
      <c r="C3292" t="s">
        <v>15213</v>
      </c>
      <c r="D3292">
        <f t="shared" si="84"/>
        <v>-8005007793</v>
      </c>
      <c r="E3292" t="s">
        <v>15214</v>
      </c>
      <c r="F3292" t="s">
        <v>14963</v>
      </c>
      <c r="G3292" t="s">
        <v>14964</v>
      </c>
      <c r="H3292">
        <v>61.431169509887702</v>
      </c>
      <c r="I3292">
        <v>55.1651913235984</v>
      </c>
      <c r="J3292">
        <v>180</v>
      </c>
      <c r="K3292" t="s">
        <v>27</v>
      </c>
      <c r="L3292" t="s">
        <v>27</v>
      </c>
      <c r="M3292" t="s">
        <v>27</v>
      </c>
      <c r="N3292" t="s">
        <v>27</v>
      </c>
      <c r="O3292" t="s">
        <v>27</v>
      </c>
      <c r="P3292" t="s">
        <v>27</v>
      </c>
      <c r="Q3292" t="s">
        <v>27</v>
      </c>
      <c r="R3292" t="s">
        <v>15213</v>
      </c>
      <c r="S3292" t="s">
        <v>15215</v>
      </c>
      <c r="T3292" t="s">
        <v>15216</v>
      </c>
      <c r="U3292" t="s">
        <v>15217</v>
      </c>
    </row>
    <row r="3293" spans="1:21" x14ac:dyDescent="0.25">
      <c r="A3293" t="s">
        <v>15218</v>
      </c>
      <c r="B3293" t="s">
        <v>38</v>
      </c>
      <c r="C3293" t="s">
        <v>15219</v>
      </c>
      <c r="D3293">
        <f t="shared" si="84"/>
        <v>-8005007793</v>
      </c>
      <c r="E3293" t="s">
        <v>15220</v>
      </c>
      <c r="F3293" t="s">
        <v>14963</v>
      </c>
      <c r="G3293" t="s">
        <v>14964</v>
      </c>
      <c r="H3293">
        <v>38.899283409118603</v>
      </c>
      <c r="I3293">
        <v>47.217473079870402</v>
      </c>
      <c r="J3293">
        <v>145</v>
      </c>
      <c r="K3293" t="s">
        <v>27</v>
      </c>
      <c r="L3293" t="s">
        <v>27</v>
      </c>
      <c r="M3293" t="s">
        <v>27</v>
      </c>
      <c r="N3293" t="s">
        <v>27</v>
      </c>
      <c r="O3293" t="s">
        <v>27</v>
      </c>
      <c r="P3293" t="s">
        <v>27</v>
      </c>
      <c r="Q3293" t="s">
        <v>27</v>
      </c>
      <c r="R3293" t="s">
        <v>15219</v>
      </c>
      <c r="S3293" t="s">
        <v>15221</v>
      </c>
      <c r="T3293" t="s">
        <v>15016</v>
      </c>
      <c r="U3293" t="s">
        <v>15222</v>
      </c>
    </row>
    <row r="3294" spans="1:21" x14ac:dyDescent="0.25">
      <c r="A3294" t="s">
        <v>15223</v>
      </c>
      <c r="B3294" t="s">
        <v>22</v>
      </c>
      <c r="C3294" t="s">
        <v>15152</v>
      </c>
      <c r="D3294">
        <f t="shared" si="84"/>
        <v>-8005007793</v>
      </c>
      <c r="E3294" t="s">
        <v>15224</v>
      </c>
      <c r="F3294" t="s">
        <v>14963</v>
      </c>
      <c r="G3294" t="s">
        <v>14964</v>
      </c>
      <c r="H3294">
        <v>39.871369000000001</v>
      </c>
      <c r="I3294">
        <v>57.627853000000002</v>
      </c>
      <c r="J3294">
        <v>145</v>
      </c>
      <c r="K3294" t="s">
        <v>27</v>
      </c>
      <c r="L3294" t="s">
        <v>27</v>
      </c>
      <c r="M3294" t="s">
        <v>27</v>
      </c>
      <c r="N3294" t="s">
        <v>27</v>
      </c>
      <c r="O3294" t="s">
        <v>27</v>
      </c>
      <c r="P3294" t="s">
        <v>27</v>
      </c>
      <c r="Q3294" t="s">
        <v>27</v>
      </c>
      <c r="R3294" t="s">
        <v>15152</v>
      </c>
      <c r="S3294" t="s">
        <v>15225</v>
      </c>
      <c r="T3294" t="s">
        <v>15226</v>
      </c>
      <c r="U3294" t="s">
        <v>15227</v>
      </c>
    </row>
    <row r="3295" spans="1:21" x14ac:dyDescent="0.25">
      <c r="A3295" t="s">
        <v>15228</v>
      </c>
      <c r="B3295" t="s">
        <v>38</v>
      </c>
      <c r="C3295" t="s">
        <v>15229</v>
      </c>
      <c r="D3295">
        <f t="shared" si="84"/>
        <v>-8005007793</v>
      </c>
      <c r="E3295" t="s">
        <v>15109</v>
      </c>
      <c r="F3295" t="s">
        <v>14963</v>
      </c>
      <c r="G3295" t="s">
        <v>14964</v>
      </c>
      <c r="H3295">
        <v>50.174812989904602</v>
      </c>
      <c r="I3295">
        <v>53.141638525411203</v>
      </c>
      <c r="J3295">
        <v>170</v>
      </c>
      <c r="K3295" t="s">
        <v>27</v>
      </c>
      <c r="L3295" t="s">
        <v>27</v>
      </c>
      <c r="M3295" t="s">
        <v>27</v>
      </c>
      <c r="N3295" t="s">
        <v>27</v>
      </c>
      <c r="O3295" t="s">
        <v>27</v>
      </c>
      <c r="P3295" t="s">
        <v>27</v>
      </c>
      <c r="Q3295" t="s">
        <v>27</v>
      </c>
      <c r="R3295" t="s">
        <v>15229</v>
      </c>
      <c r="S3295" t="s">
        <v>15230</v>
      </c>
      <c r="T3295" t="s">
        <v>15064</v>
      </c>
      <c r="U3295" t="s">
        <v>15231</v>
      </c>
    </row>
    <row r="3296" spans="1:21" x14ac:dyDescent="0.25">
      <c r="A3296" t="s">
        <v>15232</v>
      </c>
      <c r="B3296" t="s">
        <v>22</v>
      </c>
      <c r="C3296" t="s">
        <v>15233</v>
      </c>
      <c r="D3296">
        <f t="shared" si="84"/>
        <v>-8005007793</v>
      </c>
      <c r="E3296" t="s">
        <v>15042</v>
      </c>
      <c r="F3296" t="s">
        <v>14963</v>
      </c>
      <c r="G3296" t="s">
        <v>14964</v>
      </c>
      <c r="H3296">
        <v>38.974589109420698</v>
      </c>
      <c r="I3296">
        <v>45.039779220229399</v>
      </c>
      <c r="J3296">
        <v>145</v>
      </c>
      <c r="K3296" t="s">
        <v>27</v>
      </c>
      <c r="L3296" t="s">
        <v>27</v>
      </c>
      <c r="M3296" t="s">
        <v>27</v>
      </c>
      <c r="N3296" t="s">
        <v>27</v>
      </c>
      <c r="O3296" t="s">
        <v>27</v>
      </c>
      <c r="P3296" t="s">
        <v>27</v>
      </c>
      <c r="Q3296" t="s">
        <v>27</v>
      </c>
      <c r="R3296" t="s">
        <v>15233</v>
      </c>
      <c r="S3296" t="s">
        <v>15234</v>
      </c>
      <c r="T3296" t="s">
        <v>15044</v>
      </c>
      <c r="U3296" t="s">
        <v>15235</v>
      </c>
    </row>
    <row r="3297" spans="1:21" x14ac:dyDescent="0.25">
      <c r="A3297" t="s">
        <v>15236</v>
      </c>
      <c r="B3297" t="s">
        <v>22</v>
      </c>
      <c r="C3297" t="s">
        <v>15237</v>
      </c>
      <c r="D3297">
        <f t="shared" si="84"/>
        <v>-8005007793</v>
      </c>
      <c r="E3297" t="s">
        <v>15030</v>
      </c>
      <c r="F3297" t="s">
        <v>14963</v>
      </c>
      <c r="G3297" t="s">
        <v>14964</v>
      </c>
      <c r="H3297">
        <v>49.213187999999903</v>
      </c>
      <c r="I3297">
        <v>55.780915</v>
      </c>
      <c r="J3297">
        <v>145</v>
      </c>
      <c r="K3297" t="s">
        <v>27</v>
      </c>
      <c r="L3297" t="s">
        <v>27</v>
      </c>
      <c r="M3297" t="s">
        <v>27</v>
      </c>
      <c r="N3297" t="s">
        <v>27</v>
      </c>
      <c r="O3297" t="s">
        <v>27</v>
      </c>
      <c r="P3297" t="s">
        <v>27</v>
      </c>
      <c r="Q3297" t="s">
        <v>27</v>
      </c>
      <c r="R3297" t="s">
        <v>15237</v>
      </c>
      <c r="S3297" t="s">
        <v>15238</v>
      </c>
      <c r="T3297" t="s">
        <v>15032</v>
      </c>
      <c r="U3297" t="s">
        <v>15239</v>
      </c>
    </row>
    <row r="3298" spans="1:21" x14ac:dyDescent="0.25">
      <c r="A3298" t="s">
        <v>15240</v>
      </c>
      <c r="B3298" t="s">
        <v>22</v>
      </c>
      <c r="C3298" t="s">
        <v>15241</v>
      </c>
      <c r="D3298">
        <f t="shared" si="84"/>
        <v>-8005007793</v>
      </c>
      <c r="E3298" t="s">
        <v>15242</v>
      </c>
      <c r="F3298" t="s">
        <v>14963</v>
      </c>
      <c r="G3298" t="s">
        <v>14964</v>
      </c>
      <c r="H3298">
        <v>37.887709236584399</v>
      </c>
      <c r="I3298">
        <v>55.752335087903298</v>
      </c>
      <c r="J3298">
        <v>145</v>
      </c>
      <c r="K3298" t="s">
        <v>27</v>
      </c>
      <c r="L3298" t="s">
        <v>27</v>
      </c>
      <c r="M3298" t="s">
        <v>27</v>
      </c>
      <c r="N3298" t="s">
        <v>27</v>
      </c>
      <c r="O3298" t="s">
        <v>27</v>
      </c>
      <c r="P3298" t="s">
        <v>27</v>
      </c>
      <c r="Q3298" t="s">
        <v>27</v>
      </c>
      <c r="R3298" t="s">
        <v>15241</v>
      </c>
      <c r="S3298" t="s">
        <v>15243</v>
      </c>
      <c r="T3298" t="s">
        <v>14993</v>
      </c>
      <c r="U3298" t="s">
        <v>15244</v>
      </c>
    </row>
    <row r="3299" spans="1:21" x14ac:dyDescent="0.25">
      <c r="A3299" t="s">
        <v>15245</v>
      </c>
      <c r="B3299" t="s">
        <v>22</v>
      </c>
      <c r="C3299" t="s">
        <v>15246</v>
      </c>
      <c r="D3299">
        <f t="shared" ref="D3299:D3330" si="85">7-8005007800</f>
        <v>-8005007793</v>
      </c>
      <c r="E3299" t="s">
        <v>14970</v>
      </c>
      <c r="F3299" t="s">
        <v>14963</v>
      </c>
      <c r="G3299" t="s">
        <v>14964</v>
      </c>
      <c r="H3299">
        <v>37.387453543060197</v>
      </c>
      <c r="I3299">
        <v>55.820806295119802</v>
      </c>
      <c r="J3299">
        <v>145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  <c r="Q3299" t="s">
        <v>34</v>
      </c>
      <c r="R3299" t="s">
        <v>15246</v>
      </c>
      <c r="S3299" t="s">
        <v>15247</v>
      </c>
      <c r="T3299" t="s">
        <v>14993</v>
      </c>
      <c r="U3299" t="s">
        <v>15248</v>
      </c>
    </row>
    <row r="3300" spans="1:21" x14ac:dyDescent="0.25">
      <c r="A3300" t="s">
        <v>15249</v>
      </c>
      <c r="B3300" t="s">
        <v>22</v>
      </c>
      <c r="C3300" t="s">
        <v>15250</v>
      </c>
      <c r="D3300">
        <f t="shared" si="85"/>
        <v>-8005007793</v>
      </c>
      <c r="E3300" t="s">
        <v>15251</v>
      </c>
      <c r="F3300" t="s">
        <v>14963</v>
      </c>
      <c r="G3300" t="s">
        <v>14964</v>
      </c>
      <c r="H3300">
        <v>104.290023182464</v>
      </c>
      <c r="I3300">
        <v>52.272999266165797</v>
      </c>
      <c r="J3300">
        <v>227</v>
      </c>
      <c r="K3300" t="s">
        <v>27</v>
      </c>
      <c r="L3300" t="s">
        <v>27</v>
      </c>
      <c r="M3300" t="s">
        <v>27</v>
      </c>
      <c r="N3300" t="s">
        <v>27</v>
      </c>
      <c r="O3300" t="s">
        <v>27</v>
      </c>
      <c r="P3300" t="s">
        <v>27</v>
      </c>
      <c r="Q3300" t="s">
        <v>27</v>
      </c>
      <c r="R3300" t="s">
        <v>15250</v>
      </c>
      <c r="S3300" t="s">
        <v>15252</v>
      </c>
      <c r="T3300" t="s">
        <v>15253</v>
      </c>
      <c r="U3300" t="s">
        <v>15254</v>
      </c>
    </row>
    <row r="3301" spans="1:21" x14ac:dyDescent="0.25">
      <c r="A3301" t="s">
        <v>15255</v>
      </c>
      <c r="B3301" t="s">
        <v>22</v>
      </c>
      <c r="C3301" t="s">
        <v>15256</v>
      </c>
      <c r="D3301">
        <f t="shared" si="85"/>
        <v>-8005007793</v>
      </c>
      <c r="E3301" t="s">
        <v>15257</v>
      </c>
      <c r="F3301" t="s">
        <v>14963</v>
      </c>
      <c r="G3301" t="s">
        <v>14964</v>
      </c>
      <c r="H3301">
        <v>84.978731547613506</v>
      </c>
      <c r="I3301">
        <v>56.488405933892999</v>
      </c>
      <c r="J3301">
        <v>207</v>
      </c>
      <c r="K3301" t="s">
        <v>1501</v>
      </c>
      <c r="L3301" t="s">
        <v>1501</v>
      </c>
      <c r="M3301" t="s">
        <v>1501</v>
      </c>
      <c r="N3301" t="s">
        <v>1501</v>
      </c>
      <c r="O3301" t="s">
        <v>1501</v>
      </c>
      <c r="P3301" t="s">
        <v>1501</v>
      </c>
      <c r="Q3301" t="s">
        <v>1501</v>
      </c>
      <c r="R3301" t="s">
        <v>15256</v>
      </c>
      <c r="S3301" t="s">
        <v>15258</v>
      </c>
      <c r="T3301" t="s">
        <v>15259</v>
      </c>
      <c r="U3301" t="s">
        <v>15260</v>
      </c>
    </row>
    <row r="3302" spans="1:21" x14ac:dyDescent="0.25">
      <c r="A3302" t="s">
        <v>15261</v>
      </c>
      <c r="B3302" t="s">
        <v>22</v>
      </c>
      <c r="C3302" t="s">
        <v>15262</v>
      </c>
      <c r="D3302">
        <f t="shared" si="85"/>
        <v>-8005007793</v>
      </c>
      <c r="E3302" t="s">
        <v>15263</v>
      </c>
      <c r="F3302" t="s">
        <v>14963</v>
      </c>
      <c r="G3302" t="s">
        <v>14964</v>
      </c>
      <c r="H3302">
        <v>73.284409699999998</v>
      </c>
      <c r="I3302">
        <v>54.971958800000003</v>
      </c>
      <c r="J3302">
        <v>201</v>
      </c>
      <c r="K3302" t="s">
        <v>27</v>
      </c>
      <c r="L3302" t="s">
        <v>27</v>
      </c>
      <c r="M3302" t="s">
        <v>27</v>
      </c>
      <c r="N3302" t="s">
        <v>27</v>
      </c>
      <c r="O3302" t="s">
        <v>27</v>
      </c>
      <c r="P3302" t="s">
        <v>27</v>
      </c>
      <c r="Q3302" t="s">
        <v>27</v>
      </c>
      <c r="R3302" t="s">
        <v>15262</v>
      </c>
      <c r="S3302" t="s">
        <v>15264</v>
      </c>
      <c r="T3302" t="s">
        <v>15265</v>
      </c>
      <c r="U3302" t="s">
        <v>15266</v>
      </c>
    </row>
    <row r="3303" spans="1:21" x14ac:dyDescent="0.25">
      <c r="A3303" t="s">
        <v>15267</v>
      </c>
      <c r="B3303" t="s">
        <v>22</v>
      </c>
      <c r="C3303" t="s">
        <v>15268</v>
      </c>
      <c r="D3303">
        <f t="shared" si="85"/>
        <v>-8005007793</v>
      </c>
      <c r="E3303" t="s">
        <v>14983</v>
      </c>
      <c r="F3303" t="s">
        <v>14963</v>
      </c>
      <c r="G3303" t="s">
        <v>14964</v>
      </c>
      <c r="H3303">
        <v>30.354097503985599</v>
      </c>
      <c r="I3303">
        <v>59.987495457266903</v>
      </c>
      <c r="J3303">
        <v>145</v>
      </c>
      <c r="K3303" t="s">
        <v>27</v>
      </c>
      <c r="L3303" t="s">
        <v>27</v>
      </c>
      <c r="M3303" t="s">
        <v>27</v>
      </c>
      <c r="N3303" t="s">
        <v>27</v>
      </c>
      <c r="O3303" t="s">
        <v>27</v>
      </c>
      <c r="P3303" t="s">
        <v>27</v>
      </c>
      <c r="Q3303" t="s">
        <v>27</v>
      </c>
      <c r="R3303" t="s">
        <v>15268</v>
      </c>
      <c r="S3303" t="s">
        <v>15269</v>
      </c>
      <c r="U3303" t="s">
        <v>15270</v>
      </c>
    </row>
    <row r="3304" spans="1:21" x14ac:dyDescent="0.25">
      <c r="A3304" t="s">
        <v>15271</v>
      </c>
      <c r="B3304" t="s">
        <v>22</v>
      </c>
      <c r="C3304" t="s">
        <v>15160</v>
      </c>
      <c r="D3304">
        <f t="shared" si="85"/>
        <v>-8005007793</v>
      </c>
      <c r="E3304" t="s">
        <v>15272</v>
      </c>
      <c r="F3304" t="s">
        <v>14963</v>
      </c>
      <c r="G3304" t="s">
        <v>14964</v>
      </c>
      <c r="H3304">
        <v>92.902520575366196</v>
      </c>
      <c r="I3304">
        <v>56.051033183700298</v>
      </c>
      <c r="J3304">
        <v>207</v>
      </c>
      <c r="K3304" t="s">
        <v>27</v>
      </c>
      <c r="L3304" t="s">
        <v>27</v>
      </c>
      <c r="M3304" t="s">
        <v>27</v>
      </c>
      <c r="N3304" t="s">
        <v>27</v>
      </c>
      <c r="O3304" t="s">
        <v>27</v>
      </c>
      <c r="P3304" t="s">
        <v>27</v>
      </c>
      <c r="Q3304" t="s">
        <v>27</v>
      </c>
      <c r="R3304" t="s">
        <v>15160</v>
      </c>
      <c r="S3304" t="s">
        <v>15273</v>
      </c>
      <c r="T3304" t="s">
        <v>15274</v>
      </c>
      <c r="U3304" t="s">
        <v>15275</v>
      </c>
    </row>
    <row r="3305" spans="1:21" x14ac:dyDescent="0.25">
      <c r="A3305" t="s">
        <v>15276</v>
      </c>
      <c r="B3305" t="s">
        <v>22</v>
      </c>
      <c r="C3305" t="s">
        <v>15277</v>
      </c>
      <c r="D3305">
        <f t="shared" si="85"/>
        <v>-8005007793</v>
      </c>
      <c r="E3305" t="s">
        <v>15088</v>
      </c>
      <c r="F3305" t="s">
        <v>14963</v>
      </c>
      <c r="G3305" t="s">
        <v>14964</v>
      </c>
      <c r="H3305">
        <v>43.992283</v>
      </c>
      <c r="I3305">
        <v>56.309430999999996</v>
      </c>
      <c r="J3305">
        <v>145</v>
      </c>
      <c r="K3305" t="s">
        <v>27</v>
      </c>
      <c r="L3305" t="s">
        <v>27</v>
      </c>
      <c r="M3305" t="s">
        <v>27</v>
      </c>
      <c r="N3305" t="s">
        <v>27</v>
      </c>
      <c r="O3305" t="s">
        <v>27</v>
      </c>
      <c r="P3305" t="s">
        <v>27</v>
      </c>
      <c r="Q3305" t="s">
        <v>27</v>
      </c>
      <c r="R3305" t="s">
        <v>15277</v>
      </c>
      <c r="S3305" t="s">
        <v>15278</v>
      </c>
      <c r="T3305" t="s">
        <v>15090</v>
      </c>
      <c r="U3305" t="s">
        <v>15279</v>
      </c>
    </row>
    <row r="3306" spans="1:21" x14ac:dyDescent="0.25">
      <c r="A3306" t="s">
        <v>15280</v>
      </c>
      <c r="B3306" t="s">
        <v>38</v>
      </c>
      <c r="C3306" t="s">
        <v>15281</v>
      </c>
      <c r="D3306">
        <f t="shared" si="85"/>
        <v>-8005007793</v>
      </c>
      <c r="E3306" t="s">
        <v>14970</v>
      </c>
      <c r="F3306" t="s">
        <v>14963</v>
      </c>
      <c r="G3306" t="s">
        <v>14964</v>
      </c>
      <c r="H3306">
        <v>37.492419439147902</v>
      </c>
      <c r="I3306">
        <v>55.840449499423599</v>
      </c>
      <c r="J3306">
        <v>145</v>
      </c>
      <c r="K3306" t="s">
        <v>27</v>
      </c>
      <c r="L3306" t="s">
        <v>27</v>
      </c>
      <c r="M3306" t="s">
        <v>27</v>
      </c>
      <c r="N3306" t="s">
        <v>27</v>
      </c>
      <c r="O3306" t="s">
        <v>27</v>
      </c>
      <c r="P3306" t="s">
        <v>27</v>
      </c>
      <c r="Q3306" t="s">
        <v>27</v>
      </c>
      <c r="R3306" t="s">
        <v>15281</v>
      </c>
      <c r="S3306" t="s">
        <v>15282</v>
      </c>
      <c r="T3306" t="s">
        <v>14993</v>
      </c>
      <c r="U3306" t="s">
        <v>15283</v>
      </c>
    </row>
    <row r="3307" spans="1:21" x14ac:dyDescent="0.25">
      <c r="A3307" t="s">
        <v>15284</v>
      </c>
      <c r="B3307" t="s">
        <v>38</v>
      </c>
      <c r="C3307" t="s">
        <v>15285</v>
      </c>
      <c r="D3307">
        <f t="shared" si="85"/>
        <v>-8005007793</v>
      </c>
      <c r="E3307" t="s">
        <v>14970</v>
      </c>
      <c r="F3307" t="s">
        <v>14963</v>
      </c>
      <c r="G3307" t="s">
        <v>14964</v>
      </c>
      <c r="H3307">
        <v>37.676050448657101</v>
      </c>
      <c r="I3307">
        <v>55.711252030197599</v>
      </c>
      <c r="J3307">
        <v>145</v>
      </c>
      <c r="K3307" t="s">
        <v>27</v>
      </c>
      <c r="L3307" t="s">
        <v>27</v>
      </c>
      <c r="M3307" t="s">
        <v>27</v>
      </c>
      <c r="N3307" t="s">
        <v>27</v>
      </c>
      <c r="O3307" t="s">
        <v>27</v>
      </c>
      <c r="P3307" t="s">
        <v>27</v>
      </c>
      <c r="Q3307" t="s">
        <v>27</v>
      </c>
      <c r="R3307" t="s">
        <v>15285</v>
      </c>
      <c r="S3307" t="s">
        <v>15286</v>
      </c>
      <c r="U3307" t="s">
        <v>15287</v>
      </c>
    </row>
    <row r="3308" spans="1:21" x14ac:dyDescent="0.25">
      <c r="A3308" t="s">
        <v>15288</v>
      </c>
      <c r="B3308" t="s">
        <v>38</v>
      </c>
      <c r="C3308" t="s">
        <v>15289</v>
      </c>
      <c r="D3308">
        <f t="shared" si="85"/>
        <v>-8005007793</v>
      </c>
      <c r="E3308" t="s">
        <v>15290</v>
      </c>
      <c r="F3308" t="s">
        <v>14963</v>
      </c>
      <c r="G3308" t="s">
        <v>14964</v>
      </c>
      <c r="H3308">
        <v>40.536178025730997</v>
      </c>
      <c r="I3308">
        <v>64.542643261997995</v>
      </c>
      <c r="J3308">
        <v>145</v>
      </c>
      <c r="K3308" t="s">
        <v>536</v>
      </c>
      <c r="L3308" t="s">
        <v>536</v>
      </c>
      <c r="M3308" t="s">
        <v>536</v>
      </c>
      <c r="N3308" t="s">
        <v>536</v>
      </c>
      <c r="O3308" t="s">
        <v>536</v>
      </c>
      <c r="P3308" t="s">
        <v>536</v>
      </c>
      <c r="Q3308" t="s">
        <v>536</v>
      </c>
      <c r="R3308" t="s">
        <v>15289</v>
      </c>
      <c r="S3308" t="s">
        <v>15291</v>
      </c>
      <c r="T3308" t="s">
        <v>15292</v>
      </c>
      <c r="U3308" t="s">
        <v>15293</v>
      </c>
    </row>
    <row r="3309" spans="1:21" x14ac:dyDescent="0.25">
      <c r="A3309" t="s">
        <v>15294</v>
      </c>
      <c r="B3309" t="s">
        <v>38</v>
      </c>
      <c r="C3309" t="s">
        <v>15295</v>
      </c>
      <c r="D3309">
        <f t="shared" si="85"/>
        <v>-8005007793</v>
      </c>
      <c r="E3309" t="s">
        <v>15296</v>
      </c>
      <c r="F3309" t="s">
        <v>14963</v>
      </c>
      <c r="G3309" t="s">
        <v>14964</v>
      </c>
      <c r="H3309">
        <v>28.289591999999999</v>
      </c>
      <c r="I3309">
        <v>57.823524999999997</v>
      </c>
      <c r="J3309">
        <v>145</v>
      </c>
      <c r="K3309" t="s">
        <v>536</v>
      </c>
      <c r="L3309" t="s">
        <v>536</v>
      </c>
      <c r="M3309" t="s">
        <v>536</v>
      </c>
      <c r="N3309" t="s">
        <v>536</v>
      </c>
      <c r="O3309" t="s">
        <v>536</v>
      </c>
      <c r="P3309" t="s">
        <v>536</v>
      </c>
      <c r="Q3309" t="s">
        <v>536</v>
      </c>
      <c r="R3309" t="s">
        <v>15295</v>
      </c>
      <c r="S3309" t="s">
        <v>15297</v>
      </c>
      <c r="T3309" t="s">
        <v>15298</v>
      </c>
      <c r="U3309" t="s">
        <v>15299</v>
      </c>
    </row>
    <row r="3310" spans="1:21" x14ac:dyDescent="0.25">
      <c r="A3310" t="s">
        <v>15300</v>
      </c>
      <c r="B3310" t="s">
        <v>38</v>
      </c>
      <c r="C3310" t="s">
        <v>15301</v>
      </c>
      <c r="D3310">
        <f t="shared" si="85"/>
        <v>-8005007793</v>
      </c>
      <c r="E3310" t="s">
        <v>15290</v>
      </c>
      <c r="F3310" t="s">
        <v>14963</v>
      </c>
      <c r="G3310" t="s">
        <v>14964</v>
      </c>
      <c r="H3310">
        <v>40.602825000000003</v>
      </c>
      <c r="I3310">
        <v>64.525065999999995</v>
      </c>
      <c r="J3310">
        <v>145</v>
      </c>
      <c r="K3310" t="s">
        <v>536</v>
      </c>
      <c r="L3310" t="s">
        <v>536</v>
      </c>
      <c r="M3310" t="s">
        <v>536</v>
      </c>
      <c r="N3310" t="s">
        <v>536</v>
      </c>
      <c r="O3310" t="s">
        <v>536</v>
      </c>
      <c r="P3310" t="s">
        <v>536</v>
      </c>
      <c r="Q3310" t="s">
        <v>536</v>
      </c>
      <c r="R3310" t="s">
        <v>15301</v>
      </c>
      <c r="S3310" t="s">
        <v>15302</v>
      </c>
      <c r="T3310" t="s">
        <v>15292</v>
      </c>
      <c r="U3310" t="s">
        <v>15303</v>
      </c>
    </row>
    <row r="3311" spans="1:21" x14ac:dyDescent="0.25">
      <c r="A3311" t="s">
        <v>15304</v>
      </c>
      <c r="B3311" t="s">
        <v>38</v>
      </c>
      <c r="C3311" t="s">
        <v>15305</v>
      </c>
      <c r="D3311">
        <f t="shared" si="85"/>
        <v>-8005007793</v>
      </c>
      <c r="E3311" t="s">
        <v>15306</v>
      </c>
      <c r="F3311" t="s">
        <v>14963</v>
      </c>
      <c r="G3311" t="s">
        <v>14964</v>
      </c>
      <c r="H3311">
        <v>39.504581999999999</v>
      </c>
      <c r="I3311">
        <v>52.593221</v>
      </c>
      <c r="J3311">
        <v>145</v>
      </c>
      <c r="K3311" t="s">
        <v>27</v>
      </c>
      <c r="L3311" t="s">
        <v>27</v>
      </c>
      <c r="M3311" t="s">
        <v>27</v>
      </c>
      <c r="N3311" t="s">
        <v>27</v>
      </c>
      <c r="O3311" t="s">
        <v>27</v>
      </c>
      <c r="P3311" t="s">
        <v>27</v>
      </c>
      <c r="Q3311" t="s">
        <v>27</v>
      </c>
      <c r="R3311" t="s">
        <v>15305</v>
      </c>
      <c r="S3311" t="s">
        <v>15307</v>
      </c>
      <c r="T3311" t="s">
        <v>15308</v>
      </c>
      <c r="U3311" t="s">
        <v>15309</v>
      </c>
    </row>
    <row r="3312" spans="1:21" x14ac:dyDescent="0.25">
      <c r="A3312" t="s">
        <v>15310</v>
      </c>
      <c r="B3312" t="s">
        <v>38</v>
      </c>
      <c r="C3312" t="s">
        <v>15160</v>
      </c>
      <c r="D3312">
        <f t="shared" si="85"/>
        <v>-8005007793</v>
      </c>
      <c r="E3312" t="s">
        <v>15311</v>
      </c>
      <c r="F3312" t="s">
        <v>14963</v>
      </c>
      <c r="G3312" t="s">
        <v>14964</v>
      </c>
      <c r="H3312">
        <v>87.138208000000006</v>
      </c>
      <c r="I3312">
        <v>53.759137000000003</v>
      </c>
      <c r="J3312">
        <v>207</v>
      </c>
      <c r="K3312" t="s">
        <v>27</v>
      </c>
      <c r="L3312" t="s">
        <v>27</v>
      </c>
      <c r="M3312" t="s">
        <v>27</v>
      </c>
      <c r="N3312" t="s">
        <v>27</v>
      </c>
      <c r="O3312" t="s">
        <v>27</v>
      </c>
      <c r="P3312" t="s">
        <v>27</v>
      </c>
      <c r="Q3312" t="s">
        <v>27</v>
      </c>
      <c r="R3312" t="s">
        <v>15160</v>
      </c>
      <c r="S3312" t="s">
        <v>15312</v>
      </c>
      <c r="T3312" t="s">
        <v>15313</v>
      </c>
      <c r="U3312" t="s">
        <v>15314</v>
      </c>
    </row>
    <row r="3313" spans="1:21" x14ac:dyDescent="0.25">
      <c r="A3313" t="s">
        <v>15315</v>
      </c>
      <c r="B3313" t="s">
        <v>22</v>
      </c>
      <c r="C3313" t="s">
        <v>15152</v>
      </c>
      <c r="D3313">
        <f t="shared" si="85"/>
        <v>-8005007793</v>
      </c>
      <c r="E3313" t="s">
        <v>15316</v>
      </c>
      <c r="F3313" t="s">
        <v>14963</v>
      </c>
      <c r="G3313" t="s">
        <v>14964</v>
      </c>
      <c r="H3313">
        <v>82.936413374560502</v>
      </c>
      <c r="I3313">
        <v>55.028688724282297</v>
      </c>
      <c r="J3313">
        <v>207</v>
      </c>
      <c r="K3313" t="s">
        <v>27</v>
      </c>
      <c r="L3313" t="s">
        <v>27</v>
      </c>
      <c r="M3313" t="s">
        <v>27</v>
      </c>
      <c r="N3313" t="s">
        <v>27</v>
      </c>
      <c r="O3313" t="s">
        <v>27</v>
      </c>
      <c r="P3313" t="s">
        <v>27</v>
      </c>
      <c r="Q3313" t="s">
        <v>27</v>
      </c>
      <c r="R3313" t="s">
        <v>15152</v>
      </c>
      <c r="S3313" t="s">
        <v>15317</v>
      </c>
      <c r="T3313" t="s">
        <v>15318</v>
      </c>
      <c r="U3313" t="s">
        <v>15319</v>
      </c>
    </row>
    <row r="3314" spans="1:21" x14ac:dyDescent="0.25">
      <c r="A3314" t="s">
        <v>15320</v>
      </c>
      <c r="B3314" t="s">
        <v>38</v>
      </c>
      <c r="C3314" t="s">
        <v>15301</v>
      </c>
      <c r="D3314">
        <f t="shared" si="85"/>
        <v>-8005007793</v>
      </c>
      <c r="E3314" t="s">
        <v>15321</v>
      </c>
      <c r="F3314" t="s">
        <v>14963</v>
      </c>
      <c r="G3314" t="s">
        <v>14964</v>
      </c>
      <c r="H3314">
        <v>32.080218693542498</v>
      </c>
      <c r="I3314">
        <v>54.768466250557402</v>
      </c>
      <c r="J3314">
        <v>145</v>
      </c>
      <c r="K3314" t="s">
        <v>536</v>
      </c>
      <c r="L3314" t="s">
        <v>536</v>
      </c>
      <c r="M3314" t="s">
        <v>536</v>
      </c>
      <c r="N3314" t="s">
        <v>536</v>
      </c>
      <c r="O3314" t="s">
        <v>536</v>
      </c>
      <c r="P3314" t="s">
        <v>536</v>
      </c>
      <c r="Q3314" t="s">
        <v>536</v>
      </c>
      <c r="R3314" t="s">
        <v>15301</v>
      </c>
      <c r="S3314" t="s">
        <v>15322</v>
      </c>
      <c r="T3314" t="s">
        <v>15323</v>
      </c>
      <c r="U3314" t="s">
        <v>15324</v>
      </c>
    </row>
    <row r="3315" spans="1:21" x14ac:dyDescent="0.25">
      <c r="A3315" t="s">
        <v>15325</v>
      </c>
      <c r="B3315" t="s">
        <v>38</v>
      </c>
      <c r="C3315" t="s">
        <v>15326</v>
      </c>
      <c r="D3315">
        <f t="shared" si="85"/>
        <v>-8005007793</v>
      </c>
      <c r="E3315" t="s">
        <v>14970</v>
      </c>
      <c r="F3315" t="s">
        <v>14963</v>
      </c>
      <c r="G3315" t="s">
        <v>14964</v>
      </c>
      <c r="H3315">
        <v>37.517761</v>
      </c>
      <c r="I3315">
        <v>55.524681000000001</v>
      </c>
      <c r="J3315">
        <v>145</v>
      </c>
      <c r="K3315" t="s">
        <v>27</v>
      </c>
      <c r="L3315" t="s">
        <v>27</v>
      </c>
      <c r="M3315" t="s">
        <v>27</v>
      </c>
      <c r="N3315" t="s">
        <v>27</v>
      </c>
      <c r="O3315" t="s">
        <v>27</v>
      </c>
      <c r="P3315" t="s">
        <v>27</v>
      </c>
      <c r="Q3315" t="s">
        <v>27</v>
      </c>
      <c r="R3315" t="s">
        <v>15327</v>
      </c>
      <c r="S3315" t="s">
        <v>15328</v>
      </c>
      <c r="U3315" t="s">
        <v>15329</v>
      </c>
    </row>
    <row r="3316" spans="1:21" x14ac:dyDescent="0.25">
      <c r="A3316" t="s">
        <v>15330</v>
      </c>
      <c r="B3316" t="s">
        <v>2322</v>
      </c>
      <c r="C3316" t="s">
        <v>15331</v>
      </c>
      <c r="D3316">
        <f t="shared" si="85"/>
        <v>-8005007793</v>
      </c>
      <c r="E3316" t="s">
        <v>14970</v>
      </c>
      <c r="F3316" t="s">
        <v>14963</v>
      </c>
      <c r="G3316" t="s">
        <v>14964</v>
      </c>
      <c r="H3316">
        <v>37.531168904113699</v>
      </c>
      <c r="I3316">
        <v>55.790368427020702</v>
      </c>
      <c r="J3316">
        <v>145</v>
      </c>
      <c r="K3316" t="s">
        <v>27</v>
      </c>
      <c r="L3316" t="s">
        <v>27</v>
      </c>
      <c r="M3316" t="s">
        <v>27</v>
      </c>
      <c r="N3316" t="s">
        <v>27</v>
      </c>
      <c r="O3316" t="s">
        <v>34</v>
      </c>
      <c r="P3316" t="s">
        <v>34</v>
      </c>
      <c r="Q3316" t="s">
        <v>27</v>
      </c>
      <c r="R3316" t="s">
        <v>15331</v>
      </c>
      <c r="S3316" t="s">
        <v>15332</v>
      </c>
      <c r="U3316" t="s">
        <v>15333</v>
      </c>
    </row>
    <row r="3317" spans="1:21" x14ac:dyDescent="0.25">
      <c r="A3317" t="s">
        <v>15334</v>
      </c>
      <c r="B3317" t="s">
        <v>38</v>
      </c>
      <c r="C3317" t="s">
        <v>15335</v>
      </c>
      <c r="D3317">
        <f t="shared" si="85"/>
        <v>-8005007793</v>
      </c>
      <c r="E3317" t="s">
        <v>15336</v>
      </c>
      <c r="F3317" t="s">
        <v>14963</v>
      </c>
      <c r="G3317" t="s">
        <v>14964</v>
      </c>
      <c r="H3317">
        <v>53.278188</v>
      </c>
      <c r="I3317">
        <v>56.869373000000003</v>
      </c>
      <c r="J3317">
        <v>170</v>
      </c>
      <c r="K3317" t="s">
        <v>536</v>
      </c>
      <c r="L3317" t="s">
        <v>536</v>
      </c>
      <c r="M3317" t="s">
        <v>536</v>
      </c>
      <c r="N3317" t="s">
        <v>536</v>
      </c>
      <c r="O3317" t="s">
        <v>536</v>
      </c>
      <c r="P3317" t="s">
        <v>536</v>
      </c>
      <c r="Q3317" t="s">
        <v>536</v>
      </c>
      <c r="R3317" t="s">
        <v>15335</v>
      </c>
      <c r="S3317" t="s">
        <v>15337</v>
      </c>
      <c r="T3317" t="s">
        <v>15338</v>
      </c>
      <c r="U3317" t="s">
        <v>15339</v>
      </c>
    </row>
    <row r="3318" spans="1:21" x14ac:dyDescent="0.25">
      <c r="A3318" t="s">
        <v>15340</v>
      </c>
      <c r="B3318" t="s">
        <v>38</v>
      </c>
      <c r="C3318" t="s">
        <v>15341</v>
      </c>
      <c r="D3318">
        <f t="shared" si="85"/>
        <v>-8005007793</v>
      </c>
      <c r="E3318" t="s">
        <v>15342</v>
      </c>
      <c r="F3318" t="s">
        <v>14963</v>
      </c>
      <c r="G3318" t="s">
        <v>14964</v>
      </c>
      <c r="H3318">
        <v>34.307735999999998</v>
      </c>
      <c r="I3318">
        <v>61.775512999999997</v>
      </c>
      <c r="J3318">
        <v>145</v>
      </c>
      <c r="K3318" t="s">
        <v>27</v>
      </c>
      <c r="L3318" t="s">
        <v>27</v>
      </c>
      <c r="M3318" t="s">
        <v>27</v>
      </c>
      <c r="N3318" t="s">
        <v>27</v>
      </c>
      <c r="O3318" t="s">
        <v>27</v>
      </c>
      <c r="P3318" t="s">
        <v>27</v>
      </c>
      <c r="Q3318" t="s">
        <v>27</v>
      </c>
      <c r="R3318" t="s">
        <v>15341</v>
      </c>
      <c r="S3318" t="s">
        <v>15343</v>
      </c>
      <c r="T3318" t="s">
        <v>15344</v>
      </c>
      <c r="U3318" t="s">
        <v>15345</v>
      </c>
    </row>
    <row r="3319" spans="1:21" x14ac:dyDescent="0.25">
      <c r="A3319" t="s">
        <v>15346</v>
      </c>
      <c r="B3319" t="s">
        <v>38</v>
      </c>
      <c r="C3319" t="s">
        <v>15347</v>
      </c>
      <c r="D3319">
        <f t="shared" si="85"/>
        <v>-8005007793</v>
      </c>
      <c r="E3319" t="s">
        <v>15348</v>
      </c>
      <c r="F3319" t="s">
        <v>14963</v>
      </c>
      <c r="G3319" t="s">
        <v>14964</v>
      </c>
      <c r="H3319">
        <v>83.637206000000006</v>
      </c>
      <c r="I3319">
        <v>53.349662000000002</v>
      </c>
      <c r="J3319">
        <v>207</v>
      </c>
      <c r="K3319" t="s">
        <v>27</v>
      </c>
      <c r="L3319" t="s">
        <v>27</v>
      </c>
      <c r="M3319" t="s">
        <v>27</v>
      </c>
      <c r="N3319" t="s">
        <v>27</v>
      </c>
      <c r="O3319" t="s">
        <v>27</v>
      </c>
      <c r="P3319" t="s">
        <v>27</v>
      </c>
      <c r="Q3319" t="s">
        <v>27</v>
      </c>
      <c r="R3319" t="s">
        <v>15347</v>
      </c>
      <c r="S3319" t="s">
        <v>15349</v>
      </c>
      <c r="T3319" t="s">
        <v>15350</v>
      </c>
      <c r="U3319" t="s">
        <v>15351</v>
      </c>
    </row>
    <row r="3320" spans="1:21" x14ac:dyDescent="0.25">
      <c r="A3320" t="s">
        <v>15352</v>
      </c>
      <c r="B3320" t="s">
        <v>38</v>
      </c>
      <c r="C3320" t="s">
        <v>15353</v>
      </c>
      <c r="D3320">
        <f t="shared" si="85"/>
        <v>-8005007793</v>
      </c>
      <c r="E3320" t="s">
        <v>15354</v>
      </c>
      <c r="F3320" t="s">
        <v>14963</v>
      </c>
      <c r="G3320" t="s">
        <v>14964</v>
      </c>
      <c r="H3320">
        <v>45.971783356658896</v>
      </c>
      <c r="I3320">
        <v>51.620531028942601</v>
      </c>
      <c r="J3320">
        <v>170</v>
      </c>
      <c r="K3320" t="s">
        <v>27</v>
      </c>
      <c r="L3320" t="s">
        <v>27</v>
      </c>
      <c r="M3320" t="s">
        <v>27</v>
      </c>
      <c r="N3320" t="s">
        <v>27</v>
      </c>
      <c r="O3320" t="s">
        <v>27</v>
      </c>
      <c r="P3320" t="s">
        <v>27</v>
      </c>
      <c r="Q3320" t="s">
        <v>27</v>
      </c>
      <c r="R3320" t="s">
        <v>15353</v>
      </c>
      <c r="S3320" t="s">
        <v>15355</v>
      </c>
      <c r="T3320" t="s">
        <v>15356</v>
      </c>
      <c r="U3320" t="s">
        <v>15357</v>
      </c>
    </row>
    <row r="3321" spans="1:21" x14ac:dyDescent="0.25">
      <c r="A3321" t="s">
        <v>15358</v>
      </c>
      <c r="B3321" t="s">
        <v>22</v>
      </c>
      <c r="C3321" t="s">
        <v>15359</v>
      </c>
      <c r="D3321">
        <f t="shared" si="85"/>
        <v>-8005007793</v>
      </c>
      <c r="E3321" t="s">
        <v>14970</v>
      </c>
      <c r="F3321" t="s">
        <v>14963</v>
      </c>
      <c r="G3321" t="s">
        <v>14964</v>
      </c>
      <c r="H3321">
        <v>37.606774999999999</v>
      </c>
      <c r="I3321">
        <v>55.611148999999997</v>
      </c>
      <c r="J3321">
        <v>145</v>
      </c>
      <c r="K3321" t="s">
        <v>27</v>
      </c>
      <c r="L3321" t="s">
        <v>27</v>
      </c>
      <c r="M3321" t="s">
        <v>27</v>
      </c>
      <c r="N3321" t="s">
        <v>27</v>
      </c>
      <c r="O3321" t="s">
        <v>27</v>
      </c>
      <c r="P3321" t="s">
        <v>27</v>
      </c>
      <c r="Q3321" t="s">
        <v>27</v>
      </c>
      <c r="R3321" t="s">
        <v>15359</v>
      </c>
      <c r="S3321" t="s">
        <v>15360</v>
      </c>
      <c r="U3321" t="s">
        <v>15361</v>
      </c>
    </row>
    <row r="3322" spans="1:21" x14ac:dyDescent="0.25">
      <c r="A3322" t="s">
        <v>15362</v>
      </c>
      <c r="B3322" t="s">
        <v>22</v>
      </c>
      <c r="C3322" t="s">
        <v>15363</v>
      </c>
      <c r="D3322">
        <f t="shared" si="85"/>
        <v>-8005007793</v>
      </c>
      <c r="E3322" t="s">
        <v>15214</v>
      </c>
      <c r="F3322" t="s">
        <v>14963</v>
      </c>
      <c r="G3322" t="s">
        <v>14964</v>
      </c>
      <c r="H3322">
        <v>61.452123</v>
      </c>
      <c r="I3322">
        <v>55.145539999999997</v>
      </c>
      <c r="J3322">
        <v>180</v>
      </c>
      <c r="K3322" t="s">
        <v>27</v>
      </c>
      <c r="L3322" t="s">
        <v>27</v>
      </c>
      <c r="M3322" t="s">
        <v>27</v>
      </c>
      <c r="N3322" t="s">
        <v>27</v>
      </c>
      <c r="O3322" t="s">
        <v>27</v>
      </c>
      <c r="P3322" t="s">
        <v>27</v>
      </c>
      <c r="Q3322" t="s">
        <v>27</v>
      </c>
      <c r="R3322" t="s">
        <v>15363</v>
      </c>
      <c r="S3322" t="s">
        <v>15364</v>
      </c>
      <c r="T3322" t="s">
        <v>15216</v>
      </c>
      <c r="U3322" t="s">
        <v>15365</v>
      </c>
    </row>
    <row r="3323" spans="1:21" x14ac:dyDescent="0.25">
      <c r="A3323" t="s">
        <v>15366</v>
      </c>
      <c r="B3323" t="s">
        <v>22</v>
      </c>
      <c r="C3323" t="s">
        <v>15367</v>
      </c>
      <c r="D3323">
        <f t="shared" si="85"/>
        <v>-8005007793</v>
      </c>
      <c r="E3323" t="s">
        <v>14970</v>
      </c>
      <c r="F3323" t="s">
        <v>14963</v>
      </c>
      <c r="G3323" t="s">
        <v>14964</v>
      </c>
      <c r="H3323">
        <v>37.257437000000003</v>
      </c>
      <c r="I3323">
        <v>55.997427999999999</v>
      </c>
      <c r="J3323">
        <v>145</v>
      </c>
      <c r="K3323" t="s">
        <v>27</v>
      </c>
      <c r="L3323" t="s">
        <v>27</v>
      </c>
      <c r="M3323" t="s">
        <v>27</v>
      </c>
      <c r="N3323" t="s">
        <v>27</v>
      </c>
      <c r="O3323" t="s">
        <v>27</v>
      </c>
      <c r="P3323" t="s">
        <v>27</v>
      </c>
      <c r="Q3323" t="s">
        <v>27</v>
      </c>
      <c r="R3323" t="s">
        <v>15367</v>
      </c>
      <c r="S3323" t="s">
        <v>15368</v>
      </c>
      <c r="T3323" t="s">
        <v>14993</v>
      </c>
      <c r="U3323" t="s">
        <v>15369</v>
      </c>
    </row>
    <row r="3324" spans="1:21" x14ac:dyDescent="0.25">
      <c r="A3324" t="s">
        <v>15370</v>
      </c>
      <c r="B3324" t="s">
        <v>22</v>
      </c>
      <c r="C3324" t="s">
        <v>15371</v>
      </c>
      <c r="D3324">
        <f t="shared" si="85"/>
        <v>-8005007793</v>
      </c>
      <c r="E3324" t="s">
        <v>15316</v>
      </c>
      <c r="F3324" t="s">
        <v>14963</v>
      </c>
      <c r="G3324" t="s">
        <v>14964</v>
      </c>
      <c r="H3324">
        <v>82.921942000000001</v>
      </c>
      <c r="I3324">
        <v>55.043796999999998</v>
      </c>
      <c r="J3324">
        <v>207</v>
      </c>
      <c r="K3324" t="s">
        <v>27</v>
      </c>
      <c r="L3324" t="s">
        <v>27</v>
      </c>
      <c r="M3324" t="s">
        <v>27</v>
      </c>
      <c r="N3324" t="s">
        <v>27</v>
      </c>
      <c r="O3324" t="s">
        <v>27</v>
      </c>
      <c r="P3324" t="s">
        <v>27</v>
      </c>
      <c r="Q3324" t="s">
        <v>27</v>
      </c>
      <c r="R3324" t="s">
        <v>15371</v>
      </c>
      <c r="S3324" t="s">
        <v>15372</v>
      </c>
      <c r="T3324" t="s">
        <v>15318</v>
      </c>
      <c r="U3324" t="s">
        <v>15373</v>
      </c>
    </row>
    <row r="3325" spans="1:21" x14ac:dyDescent="0.25">
      <c r="A3325" t="s">
        <v>15374</v>
      </c>
      <c r="B3325" t="s">
        <v>22</v>
      </c>
      <c r="C3325" t="s">
        <v>15375</v>
      </c>
      <c r="D3325">
        <f t="shared" si="85"/>
        <v>-8005007793</v>
      </c>
      <c r="E3325" t="s">
        <v>14970</v>
      </c>
      <c r="F3325" t="s">
        <v>14963</v>
      </c>
      <c r="G3325" t="s">
        <v>14964</v>
      </c>
      <c r="H3325">
        <v>37.769702190087798</v>
      </c>
      <c r="I3325">
        <v>55.650197774060203</v>
      </c>
      <c r="J3325">
        <v>145</v>
      </c>
      <c r="K3325" t="s">
        <v>27</v>
      </c>
      <c r="L3325" t="s">
        <v>27</v>
      </c>
      <c r="M3325" t="s">
        <v>27</v>
      </c>
      <c r="N3325" t="s">
        <v>27</v>
      </c>
      <c r="O3325" t="s">
        <v>27</v>
      </c>
      <c r="P3325" t="s">
        <v>27</v>
      </c>
      <c r="Q3325" t="s">
        <v>27</v>
      </c>
      <c r="R3325" t="s">
        <v>15375</v>
      </c>
      <c r="S3325" t="s">
        <v>15376</v>
      </c>
      <c r="T3325" t="s">
        <v>14993</v>
      </c>
      <c r="U3325" t="s">
        <v>15377</v>
      </c>
    </row>
    <row r="3326" spans="1:21" x14ac:dyDescent="0.25">
      <c r="A3326" t="s">
        <v>15378</v>
      </c>
      <c r="B3326" t="s">
        <v>2322</v>
      </c>
      <c r="C3326" t="s">
        <v>15379</v>
      </c>
      <c r="D3326">
        <f t="shared" si="85"/>
        <v>-8005007793</v>
      </c>
      <c r="E3326" t="s">
        <v>14970</v>
      </c>
      <c r="F3326" t="s">
        <v>14963</v>
      </c>
      <c r="G3326" t="s">
        <v>14964</v>
      </c>
      <c r="H3326">
        <v>37.624611899999898</v>
      </c>
      <c r="I3326">
        <v>55.760156700000003</v>
      </c>
      <c r="J3326">
        <v>145</v>
      </c>
      <c r="K3326" t="s">
        <v>27</v>
      </c>
      <c r="L3326" t="s">
        <v>27</v>
      </c>
      <c r="M3326" t="s">
        <v>27</v>
      </c>
      <c r="N3326" t="s">
        <v>27</v>
      </c>
      <c r="O3326" t="s">
        <v>27</v>
      </c>
      <c r="P3326" t="s">
        <v>27</v>
      </c>
      <c r="Q3326" t="s">
        <v>27</v>
      </c>
      <c r="R3326" t="s">
        <v>15379</v>
      </c>
      <c r="S3326" t="s">
        <v>15380</v>
      </c>
      <c r="T3326" t="s">
        <v>14993</v>
      </c>
      <c r="U3326" t="s">
        <v>15381</v>
      </c>
    </row>
    <row r="3327" spans="1:21" x14ac:dyDescent="0.25">
      <c r="A3327" t="s">
        <v>15382</v>
      </c>
      <c r="B3327" t="s">
        <v>38</v>
      </c>
      <c r="C3327" t="s">
        <v>15383</v>
      </c>
      <c r="D3327">
        <f t="shared" si="85"/>
        <v>-8005007793</v>
      </c>
      <c r="E3327" t="s">
        <v>15384</v>
      </c>
      <c r="F3327" t="s">
        <v>14963</v>
      </c>
      <c r="G3327" t="s">
        <v>14964</v>
      </c>
      <c r="H3327">
        <v>37.757295608520501</v>
      </c>
      <c r="I3327">
        <v>44.729366949199402</v>
      </c>
      <c r="J3327">
        <v>145</v>
      </c>
      <c r="K3327" t="s">
        <v>27</v>
      </c>
      <c r="L3327" t="s">
        <v>27</v>
      </c>
      <c r="M3327" t="s">
        <v>27</v>
      </c>
      <c r="N3327" t="s">
        <v>27</v>
      </c>
      <c r="O3327" t="s">
        <v>27</v>
      </c>
      <c r="P3327" t="s">
        <v>27</v>
      </c>
      <c r="Q3327" t="s">
        <v>27</v>
      </c>
      <c r="R3327" t="s">
        <v>15383</v>
      </c>
      <c r="S3327" t="s">
        <v>15385</v>
      </c>
      <c r="T3327" t="s">
        <v>15044</v>
      </c>
      <c r="U3327" t="s">
        <v>15386</v>
      </c>
    </row>
    <row r="3328" spans="1:21" x14ac:dyDescent="0.25">
      <c r="A3328" t="s">
        <v>15387</v>
      </c>
      <c r="B3328" t="s">
        <v>38</v>
      </c>
      <c r="C3328" t="s">
        <v>15388</v>
      </c>
      <c r="D3328">
        <f t="shared" si="85"/>
        <v>-8005007793</v>
      </c>
      <c r="E3328" t="s">
        <v>15389</v>
      </c>
      <c r="F3328" t="s">
        <v>14963</v>
      </c>
      <c r="G3328" t="s">
        <v>14964</v>
      </c>
      <c r="H3328">
        <v>107.57297699999999</v>
      </c>
      <c r="I3328">
        <v>51.834890999999999</v>
      </c>
      <c r="J3328">
        <v>227</v>
      </c>
      <c r="K3328" t="s">
        <v>27</v>
      </c>
      <c r="L3328" t="s">
        <v>27</v>
      </c>
      <c r="M3328" t="s">
        <v>27</v>
      </c>
      <c r="N3328" t="s">
        <v>27</v>
      </c>
      <c r="O3328" t="s">
        <v>27</v>
      </c>
      <c r="P3328" t="s">
        <v>27</v>
      </c>
      <c r="Q3328" t="s">
        <v>27</v>
      </c>
      <c r="R3328" t="s">
        <v>15390</v>
      </c>
      <c r="S3328" t="s">
        <v>15390</v>
      </c>
      <c r="T3328" t="s">
        <v>15391</v>
      </c>
      <c r="U3328" t="s">
        <v>15392</v>
      </c>
    </row>
    <row r="3329" spans="1:21" x14ac:dyDescent="0.25">
      <c r="A3329" t="s">
        <v>15393</v>
      </c>
      <c r="B3329" t="s">
        <v>22</v>
      </c>
      <c r="C3329" t="s">
        <v>15394</v>
      </c>
      <c r="D3329">
        <f t="shared" si="85"/>
        <v>-8005007793</v>
      </c>
      <c r="E3329" t="s">
        <v>15251</v>
      </c>
      <c r="F3329" t="s">
        <v>14963</v>
      </c>
      <c r="G3329" t="s">
        <v>14964</v>
      </c>
      <c r="H3329">
        <v>104.22640486301199</v>
      </c>
      <c r="I3329">
        <v>52.265337871850697</v>
      </c>
      <c r="J3329">
        <v>227</v>
      </c>
      <c r="K3329" t="s">
        <v>27</v>
      </c>
      <c r="L3329" t="s">
        <v>27</v>
      </c>
      <c r="M3329" t="s">
        <v>27</v>
      </c>
      <c r="N3329" t="s">
        <v>27</v>
      </c>
      <c r="O3329" t="s">
        <v>27</v>
      </c>
      <c r="P3329" t="s">
        <v>27</v>
      </c>
      <c r="Q3329" t="s">
        <v>27</v>
      </c>
      <c r="R3329" t="s">
        <v>15394</v>
      </c>
      <c r="S3329" t="s">
        <v>15395</v>
      </c>
      <c r="T3329" t="s">
        <v>15253</v>
      </c>
      <c r="U3329" t="s">
        <v>15396</v>
      </c>
    </row>
    <row r="3330" spans="1:21" x14ac:dyDescent="0.25">
      <c r="A3330" t="s">
        <v>15397</v>
      </c>
      <c r="B3330" t="s">
        <v>38</v>
      </c>
      <c r="C3330" t="s">
        <v>15398</v>
      </c>
      <c r="D3330">
        <f t="shared" si="85"/>
        <v>-8005007793</v>
      </c>
      <c r="E3330" t="s">
        <v>15399</v>
      </c>
      <c r="F3330" t="s">
        <v>14963</v>
      </c>
      <c r="G3330" t="s">
        <v>14964</v>
      </c>
      <c r="H3330">
        <v>36.012194999999998</v>
      </c>
      <c r="I3330">
        <v>52.921585999999998</v>
      </c>
      <c r="J3330">
        <v>145</v>
      </c>
      <c r="K3330" t="s">
        <v>27</v>
      </c>
      <c r="L3330" t="s">
        <v>27</v>
      </c>
      <c r="M3330" t="s">
        <v>27</v>
      </c>
      <c r="N3330" t="s">
        <v>27</v>
      </c>
      <c r="O3330" t="s">
        <v>27</v>
      </c>
      <c r="P3330" t="s">
        <v>27</v>
      </c>
      <c r="Q3330" t="s">
        <v>27</v>
      </c>
      <c r="R3330" t="s">
        <v>15398</v>
      </c>
      <c r="S3330" t="s">
        <v>15400</v>
      </c>
      <c r="T3330" t="s">
        <v>15401</v>
      </c>
      <c r="U3330" t="s">
        <v>15402</v>
      </c>
    </row>
    <row r="3331" spans="1:21" x14ac:dyDescent="0.25">
      <c r="A3331" t="s">
        <v>15403</v>
      </c>
      <c r="B3331" t="s">
        <v>22</v>
      </c>
      <c r="C3331" t="s">
        <v>15404</v>
      </c>
      <c r="D3331">
        <f t="shared" ref="D3331:D3362" si="86">7-8005007800</f>
        <v>-8005007793</v>
      </c>
      <c r="E3331" t="s">
        <v>15405</v>
      </c>
      <c r="F3331" t="s">
        <v>14963</v>
      </c>
      <c r="G3331" t="s">
        <v>14964</v>
      </c>
      <c r="H3331">
        <v>37.633554785827599</v>
      </c>
      <c r="I3331">
        <v>54.1954096037394</v>
      </c>
      <c r="J3331">
        <v>145</v>
      </c>
      <c r="K3331" t="s">
        <v>536</v>
      </c>
      <c r="L3331" t="s">
        <v>536</v>
      </c>
      <c r="M3331" t="s">
        <v>536</v>
      </c>
      <c r="N3331" t="s">
        <v>536</v>
      </c>
      <c r="O3331" t="s">
        <v>536</v>
      </c>
      <c r="P3331" t="s">
        <v>536</v>
      </c>
      <c r="Q3331" t="s">
        <v>536</v>
      </c>
      <c r="R3331" t="s">
        <v>15404</v>
      </c>
      <c r="S3331" t="s">
        <v>15406</v>
      </c>
      <c r="T3331" t="s">
        <v>15407</v>
      </c>
      <c r="U3331" t="s">
        <v>15408</v>
      </c>
    </row>
    <row r="3332" spans="1:21" x14ac:dyDescent="0.25">
      <c r="A3332" t="s">
        <v>15409</v>
      </c>
      <c r="B3332" t="s">
        <v>38</v>
      </c>
      <c r="C3332" t="s">
        <v>15410</v>
      </c>
      <c r="D3332">
        <f t="shared" si="86"/>
        <v>-8005007793</v>
      </c>
      <c r="E3332" t="s">
        <v>14970</v>
      </c>
      <c r="F3332" t="s">
        <v>14963</v>
      </c>
      <c r="G3332" t="s">
        <v>14964</v>
      </c>
      <c r="H3332">
        <v>37.423667999999999</v>
      </c>
      <c r="I3332">
        <v>55.629950000000001</v>
      </c>
      <c r="J3332">
        <v>145</v>
      </c>
      <c r="K3332" t="s">
        <v>27</v>
      </c>
      <c r="L3332" t="s">
        <v>27</v>
      </c>
      <c r="M3332" t="s">
        <v>27</v>
      </c>
      <c r="N3332" t="s">
        <v>27</v>
      </c>
      <c r="O3332" t="s">
        <v>27</v>
      </c>
      <c r="P3332" t="s">
        <v>27</v>
      </c>
      <c r="Q3332" t="s">
        <v>27</v>
      </c>
      <c r="R3332" t="s">
        <v>15410</v>
      </c>
      <c r="S3332" t="s">
        <v>15411</v>
      </c>
      <c r="T3332" t="s">
        <v>14993</v>
      </c>
      <c r="U3332" t="s">
        <v>15412</v>
      </c>
    </row>
    <row r="3333" spans="1:21" x14ac:dyDescent="0.25">
      <c r="A3333" t="s">
        <v>15413</v>
      </c>
      <c r="B3333" t="s">
        <v>38</v>
      </c>
      <c r="C3333" t="s">
        <v>15414</v>
      </c>
      <c r="D3333">
        <f t="shared" si="86"/>
        <v>-8005007793</v>
      </c>
      <c r="E3333" t="s">
        <v>15348</v>
      </c>
      <c r="F3333" t="s">
        <v>14963</v>
      </c>
      <c r="G3333" t="s">
        <v>14964</v>
      </c>
      <c r="H3333">
        <v>83.763368</v>
      </c>
      <c r="I3333">
        <v>53.361631000000003</v>
      </c>
      <c r="J3333">
        <v>207</v>
      </c>
      <c r="K3333" t="s">
        <v>27</v>
      </c>
      <c r="L3333" t="s">
        <v>27</v>
      </c>
      <c r="M3333" t="s">
        <v>27</v>
      </c>
      <c r="N3333" t="s">
        <v>27</v>
      </c>
      <c r="O3333" t="s">
        <v>27</v>
      </c>
      <c r="P3333" t="s">
        <v>27</v>
      </c>
      <c r="Q3333" t="s">
        <v>27</v>
      </c>
      <c r="R3333" t="s">
        <v>15414</v>
      </c>
      <c r="S3333" t="s">
        <v>15415</v>
      </c>
      <c r="T3333" t="s">
        <v>15350</v>
      </c>
      <c r="U3333" t="s">
        <v>15416</v>
      </c>
    </row>
    <row r="3334" spans="1:21" x14ac:dyDescent="0.25">
      <c r="A3334" t="s">
        <v>15417</v>
      </c>
      <c r="B3334" t="s">
        <v>22</v>
      </c>
      <c r="C3334" t="s">
        <v>15418</v>
      </c>
      <c r="D3334">
        <f t="shared" si="86"/>
        <v>-8005007793</v>
      </c>
      <c r="E3334" t="s">
        <v>15354</v>
      </c>
      <c r="F3334" t="s">
        <v>14963</v>
      </c>
      <c r="G3334" t="s">
        <v>14964</v>
      </c>
      <c r="H3334">
        <v>45.973270999999997</v>
      </c>
      <c r="I3334">
        <v>51.576196000000003</v>
      </c>
      <c r="J3334">
        <v>170</v>
      </c>
      <c r="K3334" t="s">
        <v>27</v>
      </c>
      <c r="L3334" t="s">
        <v>27</v>
      </c>
      <c r="M3334" t="s">
        <v>27</v>
      </c>
      <c r="N3334" t="s">
        <v>27</v>
      </c>
      <c r="O3334" t="s">
        <v>27</v>
      </c>
      <c r="P3334" t="s">
        <v>27</v>
      </c>
      <c r="Q3334" t="s">
        <v>27</v>
      </c>
      <c r="R3334" t="s">
        <v>15418</v>
      </c>
      <c r="S3334" t="s">
        <v>15419</v>
      </c>
      <c r="T3334" t="s">
        <v>15356</v>
      </c>
      <c r="U3334" t="s">
        <v>15420</v>
      </c>
    </row>
    <row r="3335" spans="1:21" x14ac:dyDescent="0.25">
      <c r="A3335" t="s">
        <v>15421</v>
      </c>
      <c r="B3335" t="s">
        <v>22</v>
      </c>
      <c r="C3335" t="s">
        <v>15422</v>
      </c>
      <c r="D3335">
        <f t="shared" si="86"/>
        <v>-8005007793</v>
      </c>
      <c r="E3335" t="s">
        <v>15423</v>
      </c>
      <c r="F3335" t="s">
        <v>14963</v>
      </c>
      <c r="G3335" t="s">
        <v>14964</v>
      </c>
      <c r="H3335">
        <v>40.984282</v>
      </c>
      <c r="I3335">
        <v>57.005578</v>
      </c>
      <c r="J3335">
        <v>145</v>
      </c>
      <c r="K3335" t="s">
        <v>27</v>
      </c>
      <c r="L3335" t="s">
        <v>27</v>
      </c>
      <c r="M3335" t="s">
        <v>27</v>
      </c>
      <c r="N3335" t="s">
        <v>27</v>
      </c>
      <c r="O3335" t="s">
        <v>27</v>
      </c>
      <c r="P3335" t="s">
        <v>27</v>
      </c>
      <c r="Q3335" t="s">
        <v>27</v>
      </c>
      <c r="R3335" t="s">
        <v>15422</v>
      </c>
      <c r="S3335" t="s">
        <v>15424</v>
      </c>
      <c r="T3335" t="s">
        <v>15425</v>
      </c>
      <c r="U3335" t="s">
        <v>15426</v>
      </c>
    </row>
    <row r="3336" spans="1:21" x14ac:dyDescent="0.25">
      <c r="A3336" t="s">
        <v>15427</v>
      </c>
      <c r="B3336" t="s">
        <v>38</v>
      </c>
      <c r="C3336" t="s">
        <v>15428</v>
      </c>
      <c r="D3336">
        <f t="shared" si="86"/>
        <v>-8005007793</v>
      </c>
      <c r="E3336" t="s">
        <v>15348</v>
      </c>
      <c r="F3336" t="s">
        <v>14963</v>
      </c>
      <c r="G3336" t="s">
        <v>14964</v>
      </c>
      <c r="H3336">
        <v>83.752250000000004</v>
      </c>
      <c r="I3336">
        <v>53.342759999999998</v>
      </c>
      <c r="J3336">
        <v>207</v>
      </c>
      <c r="K3336" t="s">
        <v>27</v>
      </c>
      <c r="L3336" t="s">
        <v>27</v>
      </c>
      <c r="M3336" t="s">
        <v>27</v>
      </c>
      <c r="N3336" t="s">
        <v>27</v>
      </c>
      <c r="O3336" t="s">
        <v>27</v>
      </c>
      <c r="P3336" t="s">
        <v>27</v>
      </c>
      <c r="Q3336" t="s">
        <v>27</v>
      </c>
      <c r="R3336" t="s">
        <v>15428</v>
      </c>
      <c r="S3336" t="s">
        <v>15429</v>
      </c>
      <c r="T3336" t="s">
        <v>15350</v>
      </c>
      <c r="U3336" t="s">
        <v>15430</v>
      </c>
    </row>
    <row r="3337" spans="1:21" x14ac:dyDescent="0.25">
      <c r="A3337" t="s">
        <v>15431</v>
      </c>
      <c r="B3337" t="s">
        <v>22</v>
      </c>
      <c r="C3337" t="s">
        <v>15432</v>
      </c>
      <c r="D3337">
        <f t="shared" si="86"/>
        <v>-8005007793</v>
      </c>
      <c r="E3337" t="s">
        <v>14970</v>
      </c>
      <c r="F3337" t="s">
        <v>14963</v>
      </c>
      <c r="G3337" t="s">
        <v>14964</v>
      </c>
      <c r="H3337">
        <v>37.368135000000002</v>
      </c>
      <c r="I3337">
        <v>55.735844</v>
      </c>
      <c r="J3337">
        <v>145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  <c r="Q3337" t="s">
        <v>34</v>
      </c>
      <c r="R3337" t="s">
        <v>15432</v>
      </c>
      <c r="S3337" t="s">
        <v>15433</v>
      </c>
      <c r="T3337" t="s">
        <v>14966</v>
      </c>
      <c r="U3337" t="s">
        <v>15434</v>
      </c>
    </row>
    <row r="3338" spans="1:21" x14ac:dyDescent="0.25">
      <c r="A3338" t="s">
        <v>15435</v>
      </c>
      <c r="B3338" t="s">
        <v>38</v>
      </c>
      <c r="C3338" t="s">
        <v>15436</v>
      </c>
      <c r="D3338">
        <f t="shared" si="86"/>
        <v>-8005007793</v>
      </c>
      <c r="E3338" t="s">
        <v>14983</v>
      </c>
      <c r="F3338" t="s">
        <v>14963</v>
      </c>
      <c r="G3338" t="s">
        <v>14964</v>
      </c>
      <c r="H3338">
        <v>30.419029999999999</v>
      </c>
      <c r="I3338">
        <v>59.940506999999997</v>
      </c>
      <c r="J3338">
        <v>145</v>
      </c>
      <c r="K3338" t="s">
        <v>27</v>
      </c>
      <c r="L3338" t="s">
        <v>27</v>
      </c>
      <c r="M3338" t="s">
        <v>27</v>
      </c>
      <c r="N3338" t="s">
        <v>27</v>
      </c>
      <c r="O3338" t="s">
        <v>27</v>
      </c>
      <c r="P3338" t="s">
        <v>27</v>
      </c>
      <c r="Q3338" t="s">
        <v>27</v>
      </c>
      <c r="R3338" t="s">
        <v>15436</v>
      </c>
      <c r="S3338" t="s">
        <v>15437</v>
      </c>
      <c r="T3338" t="s">
        <v>15010</v>
      </c>
      <c r="U3338" t="s">
        <v>15438</v>
      </c>
    </row>
    <row r="3339" spans="1:21" x14ac:dyDescent="0.25">
      <c r="A3339" t="s">
        <v>15439</v>
      </c>
      <c r="B3339" t="s">
        <v>22</v>
      </c>
      <c r="C3339" t="s">
        <v>15440</v>
      </c>
      <c r="D3339">
        <f t="shared" si="86"/>
        <v>-8005007793</v>
      </c>
      <c r="E3339" t="s">
        <v>15024</v>
      </c>
      <c r="F3339" t="s">
        <v>14963</v>
      </c>
      <c r="G3339" t="s">
        <v>14964</v>
      </c>
      <c r="H3339">
        <v>39.159680999999999</v>
      </c>
      <c r="I3339">
        <v>51.710875999999999</v>
      </c>
      <c r="J3339">
        <v>145</v>
      </c>
      <c r="K3339" t="s">
        <v>27</v>
      </c>
      <c r="L3339" t="s">
        <v>27</v>
      </c>
      <c r="M3339" t="s">
        <v>27</v>
      </c>
      <c r="N3339" t="s">
        <v>27</v>
      </c>
      <c r="O3339" t="s">
        <v>27</v>
      </c>
      <c r="P3339" t="s">
        <v>27</v>
      </c>
      <c r="Q3339" t="s">
        <v>27</v>
      </c>
      <c r="R3339" t="s">
        <v>15440</v>
      </c>
      <c r="S3339" t="s">
        <v>15441</v>
      </c>
      <c r="T3339" t="s">
        <v>15026</v>
      </c>
      <c r="U3339" t="s">
        <v>15442</v>
      </c>
    </row>
    <row r="3340" spans="1:21" x14ac:dyDescent="0.25">
      <c r="A3340" t="s">
        <v>15443</v>
      </c>
      <c r="B3340" t="s">
        <v>38</v>
      </c>
      <c r="C3340" t="s">
        <v>15444</v>
      </c>
      <c r="D3340">
        <f t="shared" si="86"/>
        <v>-8005007793</v>
      </c>
      <c r="E3340" t="s">
        <v>15109</v>
      </c>
      <c r="F3340" t="s">
        <v>14963</v>
      </c>
      <c r="G3340" t="s">
        <v>14964</v>
      </c>
      <c r="H3340">
        <v>50.125905987548698</v>
      </c>
      <c r="I3340">
        <v>53.1851188053339</v>
      </c>
      <c r="J3340">
        <v>170</v>
      </c>
      <c r="K3340" t="s">
        <v>27</v>
      </c>
      <c r="L3340" t="s">
        <v>27</v>
      </c>
      <c r="M3340" t="s">
        <v>27</v>
      </c>
      <c r="N3340" t="s">
        <v>27</v>
      </c>
      <c r="O3340" t="s">
        <v>27</v>
      </c>
      <c r="P3340" t="s">
        <v>27</v>
      </c>
      <c r="Q3340" t="s">
        <v>27</v>
      </c>
      <c r="R3340" t="s">
        <v>15444</v>
      </c>
      <c r="S3340" t="s">
        <v>15445</v>
      </c>
      <c r="T3340" t="s">
        <v>15064</v>
      </c>
      <c r="U3340" t="s">
        <v>15446</v>
      </c>
    </row>
    <row r="3341" spans="1:21" x14ac:dyDescent="0.25">
      <c r="A3341" t="s">
        <v>15447</v>
      </c>
      <c r="B3341" t="s">
        <v>38</v>
      </c>
      <c r="C3341" t="s">
        <v>15448</v>
      </c>
      <c r="D3341">
        <f t="shared" si="86"/>
        <v>-8005007793</v>
      </c>
      <c r="E3341" t="s">
        <v>15449</v>
      </c>
      <c r="F3341" t="s">
        <v>14963</v>
      </c>
      <c r="G3341" t="s">
        <v>14964</v>
      </c>
      <c r="H3341">
        <v>36.191969</v>
      </c>
      <c r="I3341">
        <v>51.748956</v>
      </c>
      <c r="J3341">
        <v>145</v>
      </c>
      <c r="K3341" t="s">
        <v>27</v>
      </c>
      <c r="L3341" t="s">
        <v>27</v>
      </c>
      <c r="M3341" t="s">
        <v>27</v>
      </c>
      <c r="N3341" t="s">
        <v>27</v>
      </c>
      <c r="O3341" t="s">
        <v>27</v>
      </c>
      <c r="P3341" t="s">
        <v>27</v>
      </c>
      <c r="Q3341" t="s">
        <v>27</v>
      </c>
      <c r="R3341" t="s">
        <v>15448</v>
      </c>
      <c r="S3341" t="s">
        <v>15450</v>
      </c>
      <c r="T3341" t="s">
        <v>15451</v>
      </c>
      <c r="U3341" t="s">
        <v>15452</v>
      </c>
    </row>
    <row r="3342" spans="1:21" x14ac:dyDescent="0.25">
      <c r="A3342" t="s">
        <v>15453</v>
      </c>
      <c r="B3342" t="s">
        <v>2322</v>
      </c>
      <c r="C3342" t="s">
        <v>15454</v>
      </c>
      <c r="D3342">
        <f t="shared" si="86"/>
        <v>-8005007793</v>
      </c>
      <c r="E3342" t="s">
        <v>14970</v>
      </c>
      <c r="F3342" t="s">
        <v>14963</v>
      </c>
      <c r="G3342" t="s">
        <v>14964</v>
      </c>
      <c r="H3342">
        <v>37.606161999999998</v>
      </c>
      <c r="I3342">
        <v>55.764513000000001</v>
      </c>
      <c r="J3342">
        <v>145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  <c r="Q3342" t="s">
        <v>34</v>
      </c>
      <c r="R3342" t="s">
        <v>15454</v>
      </c>
      <c r="S3342" t="s">
        <v>15454</v>
      </c>
      <c r="U3342" t="s">
        <v>15455</v>
      </c>
    </row>
    <row r="3343" spans="1:21" x14ac:dyDescent="0.25">
      <c r="A3343" t="s">
        <v>15456</v>
      </c>
      <c r="B3343" t="s">
        <v>22</v>
      </c>
      <c r="C3343" t="s">
        <v>15457</v>
      </c>
      <c r="D3343">
        <f t="shared" si="86"/>
        <v>-8005007793</v>
      </c>
      <c r="E3343" t="s">
        <v>15458</v>
      </c>
      <c r="F3343" t="s">
        <v>14963</v>
      </c>
      <c r="G3343" t="s">
        <v>14964</v>
      </c>
      <c r="H3343">
        <v>33.067595999999902</v>
      </c>
      <c r="I3343">
        <v>68.956944999999905</v>
      </c>
      <c r="J3343">
        <v>145</v>
      </c>
      <c r="K3343" t="s">
        <v>27</v>
      </c>
      <c r="L3343" t="s">
        <v>27</v>
      </c>
      <c r="M3343" t="s">
        <v>27</v>
      </c>
      <c r="N3343" t="s">
        <v>27</v>
      </c>
      <c r="O3343" t="s">
        <v>27</v>
      </c>
      <c r="P3343" t="s">
        <v>27</v>
      </c>
      <c r="Q3343" t="s">
        <v>27</v>
      </c>
      <c r="R3343" t="s">
        <v>15457</v>
      </c>
      <c r="S3343" t="s">
        <v>15459</v>
      </c>
      <c r="T3343" t="s">
        <v>15460</v>
      </c>
      <c r="U3343" t="s">
        <v>15461</v>
      </c>
    </row>
    <row r="3344" spans="1:21" x14ac:dyDescent="0.25">
      <c r="A3344" t="s">
        <v>15462</v>
      </c>
      <c r="B3344" t="s">
        <v>38</v>
      </c>
      <c r="C3344" t="s">
        <v>15463</v>
      </c>
      <c r="D3344">
        <f t="shared" si="86"/>
        <v>-8005007793</v>
      </c>
      <c r="E3344" t="s">
        <v>15165</v>
      </c>
      <c r="F3344" t="s">
        <v>14963</v>
      </c>
      <c r="G3344" t="s">
        <v>14964</v>
      </c>
      <c r="H3344">
        <v>65.655970999999994</v>
      </c>
      <c r="I3344">
        <v>57.176017000000002</v>
      </c>
      <c r="J3344">
        <v>180</v>
      </c>
      <c r="K3344" t="s">
        <v>27</v>
      </c>
      <c r="L3344" t="s">
        <v>27</v>
      </c>
      <c r="M3344" t="s">
        <v>27</v>
      </c>
      <c r="N3344" t="s">
        <v>27</v>
      </c>
      <c r="O3344" t="s">
        <v>27</v>
      </c>
      <c r="P3344" t="s">
        <v>27</v>
      </c>
      <c r="Q3344" t="s">
        <v>27</v>
      </c>
      <c r="R3344" t="s">
        <v>15463</v>
      </c>
      <c r="S3344" t="s">
        <v>15464</v>
      </c>
      <c r="T3344" t="s">
        <v>15167</v>
      </c>
      <c r="U3344" t="s">
        <v>15465</v>
      </c>
    </row>
    <row r="3345" spans="1:21" x14ac:dyDescent="0.25">
      <c r="A3345" t="s">
        <v>15466</v>
      </c>
      <c r="B3345" t="s">
        <v>22</v>
      </c>
      <c r="C3345" t="s">
        <v>15467</v>
      </c>
      <c r="D3345">
        <f t="shared" si="86"/>
        <v>-8005007793</v>
      </c>
      <c r="E3345" t="s">
        <v>14983</v>
      </c>
      <c r="F3345" t="s">
        <v>14963</v>
      </c>
      <c r="G3345" t="s">
        <v>14964</v>
      </c>
      <c r="H3345">
        <v>30.3520010560669</v>
      </c>
      <c r="I3345">
        <v>59.866977461348299</v>
      </c>
      <c r="J3345">
        <v>145</v>
      </c>
      <c r="K3345" t="s">
        <v>27</v>
      </c>
      <c r="L3345" t="s">
        <v>27</v>
      </c>
      <c r="M3345" t="s">
        <v>27</v>
      </c>
      <c r="N3345" t="s">
        <v>27</v>
      </c>
      <c r="O3345" t="s">
        <v>27</v>
      </c>
      <c r="P3345" t="s">
        <v>27</v>
      </c>
      <c r="Q3345" t="s">
        <v>27</v>
      </c>
      <c r="R3345" t="s">
        <v>15467</v>
      </c>
      <c r="S3345" t="s">
        <v>15468</v>
      </c>
      <c r="U3345" t="s">
        <v>15469</v>
      </c>
    </row>
    <row r="3346" spans="1:21" x14ac:dyDescent="0.25">
      <c r="A3346" t="s">
        <v>15470</v>
      </c>
      <c r="B3346" t="s">
        <v>38</v>
      </c>
      <c r="C3346" t="s">
        <v>15471</v>
      </c>
      <c r="D3346">
        <f t="shared" si="86"/>
        <v>-8005007793</v>
      </c>
      <c r="E3346" t="s">
        <v>15472</v>
      </c>
      <c r="F3346" t="s">
        <v>14963</v>
      </c>
      <c r="G3346" t="s">
        <v>14964</v>
      </c>
      <c r="H3346">
        <v>45.216692999999999</v>
      </c>
      <c r="I3346">
        <v>54.185777000000002</v>
      </c>
      <c r="J3346">
        <v>145</v>
      </c>
      <c r="K3346" t="s">
        <v>27</v>
      </c>
      <c r="L3346" t="s">
        <v>27</v>
      </c>
      <c r="M3346" t="s">
        <v>27</v>
      </c>
      <c r="N3346" t="s">
        <v>27</v>
      </c>
      <c r="O3346" t="s">
        <v>27</v>
      </c>
      <c r="P3346" t="s">
        <v>27</v>
      </c>
      <c r="Q3346" t="s">
        <v>27</v>
      </c>
      <c r="R3346" t="s">
        <v>15471</v>
      </c>
      <c r="S3346" t="s">
        <v>15473</v>
      </c>
      <c r="T3346" t="s">
        <v>15474</v>
      </c>
      <c r="U3346" t="s">
        <v>15475</v>
      </c>
    </row>
    <row r="3347" spans="1:21" x14ac:dyDescent="0.25">
      <c r="A3347" t="s">
        <v>15476</v>
      </c>
      <c r="B3347" t="s">
        <v>22</v>
      </c>
      <c r="C3347" t="s">
        <v>15477</v>
      </c>
      <c r="D3347">
        <f t="shared" si="86"/>
        <v>-8005007793</v>
      </c>
      <c r="E3347" t="s">
        <v>15478</v>
      </c>
      <c r="F3347" t="s">
        <v>14963</v>
      </c>
      <c r="G3347" t="s">
        <v>14964</v>
      </c>
      <c r="H3347">
        <v>36.571793999999997</v>
      </c>
      <c r="I3347">
        <v>50.632905000000001</v>
      </c>
      <c r="J3347">
        <v>145</v>
      </c>
      <c r="K3347" t="s">
        <v>27</v>
      </c>
      <c r="L3347" t="s">
        <v>27</v>
      </c>
      <c r="M3347" t="s">
        <v>27</v>
      </c>
      <c r="N3347" t="s">
        <v>27</v>
      </c>
      <c r="O3347" t="s">
        <v>27</v>
      </c>
      <c r="P3347" t="s">
        <v>27</v>
      </c>
      <c r="Q3347" t="s">
        <v>27</v>
      </c>
      <c r="R3347" t="s">
        <v>15477</v>
      </c>
      <c r="S3347" t="s">
        <v>15479</v>
      </c>
      <c r="T3347" t="s">
        <v>15480</v>
      </c>
      <c r="U3347" t="s">
        <v>15481</v>
      </c>
    </row>
    <row r="3348" spans="1:21" x14ac:dyDescent="0.25">
      <c r="A3348" t="s">
        <v>15482</v>
      </c>
      <c r="B3348" t="s">
        <v>22</v>
      </c>
      <c r="C3348" t="s">
        <v>15483</v>
      </c>
      <c r="D3348">
        <f t="shared" si="86"/>
        <v>-8005007793</v>
      </c>
      <c r="E3348" t="s">
        <v>14970</v>
      </c>
      <c r="F3348" t="s">
        <v>14963</v>
      </c>
      <c r="G3348" t="s">
        <v>14964</v>
      </c>
      <c r="H3348">
        <v>37.472868408966001</v>
      </c>
      <c r="I3348">
        <v>55.727548929702202</v>
      </c>
      <c r="J3348">
        <v>145</v>
      </c>
      <c r="K3348" t="s">
        <v>27</v>
      </c>
      <c r="L3348" t="s">
        <v>27</v>
      </c>
      <c r="M3348" t="s">
        <v>27</v>
      </c>
      <c r="N3348" t="s">
        <v>27</v>
      </c>
      <c r="O3348" t="s">
        <v>34</v>
      </c>
      <c r="P3348" t="s">
        <v>34</v>
      </c>
      <c r="Q3348" t="s">
        <v>27</v>
      </c>
      <c r="R3348" t="s">
        <v>15483</v>
      </c>
      <c r="S3348" t="s">
        <v>15484</v>
      </c>
      <c r="T3348" t="s">
        <v>14993</v>
      </c>
      <c r="U3348" t="s">
        <v>15485</v>
      </c>
    </row>
    <row r="3349" spans="1:21" x14ac:dyDescent="0.25">
      <c r="A3349" t="s">
        <v>15486</v>
      </c>
      <c r="B3349" t="s">
        <v>22</v>
      </c>
      <c r="C3349" t="s">
        <v>15487</v>
      </c>
      <c r="D3349">
        <f t="shared" si="86"/>
        <v>-8005007793</v>
      </c>
      <c r="E3349" t="s">
        <v>15488</v>
      </c>
      <c r="F3349" t="s">
        <v>14963</v>
      </c>
      <c r="G3349" t="s">
        <v>14964</v>
      </c>
      <c r="H3349">
        <v>37.275942952392597</v>
      </c>
      <c r="I3349">
        <v>55.798784124981097</v>
      </c>
      <c r="J3349">
        <v>145</v>
      </c>
      <c r="K3349" t="s">
        <v>27</v>
      </c>
      <c r="L3349" t="s">
        <v>27</v>
      </c>
      <c r="M3349" t="s">
        <v>27</v>
      </c>
      <c r="N3349" t="s">
        <v>27</v>
      </c>
      <c r="O3349" t="s">
        <v>27</v>
      </c>
      <c r="P3349" t="s">
        <v>27</v>
      </c>
      <c r="Q3349" t="s">
        <v>27</v>
      </c>
      <c r="R3349" t="s">
        <v>15487</v>
      </c>
      <c r="S3349" t="s">
        <v>15489</v>
      </c>
      <c r="T3349" t="s">
        <v>14993</v>
      </c>
      <c r="U3349" t="s">
        <v>15490</v>
      </c>
    </row>
    <row r="3350" spans="1:21" x14ac:dyDescent="0.25">
      <c r="A3350" t="s">
        <v>15491</v>
      </c>
      <c r="B3350" t="s">
        <v>22</v>
      </c>
      <c r="C3350" t="s">
        <v>15492</v>
      </c>
      <c r="D3350">
        <f t="shared" si="86"/>
        <v>-8005007793</v>
      </c>
      <c r="E3350" t="s">
        <v>15493</v>
      </c>
      <c r="F3350" t="s">
        <v>14963</v>
      </c>
      <c r="G3350" t="s">
        <v>14964</v>
      </c>
      <c r="H3350">
        <v>56.191746000000002</v>
      </c>
      <c r="I3350">
        <v>58.039157000000003</v>
      </c>
      <c r="J3350">
        <v>180</v>
      </c>
      <c r="K3350" t="s">
        <v>27</v>
      </c>
      <c r="L3350" t="s">
        <v>27</v>
      </c>
      <c r="M3350" t="s">
        <v>27</v>
      </c>
      <c r="N3350" t="s">
        <v>27</v>
      </c>
      <c r="O3350" t="s">
        <v>27</v>
      </c>
      <c r="P3350" t="s">
        <v>27</v>
      </c>
      <c r="Q3350" t="s">
        <v>27</v>
      </c>
      <c r="R3350" t="s">
        <v>15492</v>
      </c>
      <c r="S3350" t="s">
        <v>15494</v>
      </c>
      <c r="T3350" t="s">
        <v>15495</v>
      </c>
      <c r="U3350" t="s">
        <v>15496</v>
      </c>
    </row>
    <row r="3351" spans="1:21" x14ac:dyDescent="0.25">
      <c r="A3351" t="s">
        <v>15497</v>
      </c>
      <c r="B3351" t="s">
        <v>22</v>
      </c>
      <c r="C3351" t="s">
        <v>15305</v>
      </c>
      <c r="D3351">
        <f t="shared" si="86"/>
        <v>-8005007793</v>
      </c>
      <c r="E3351" t="s">
        <v>14970</v>
      </c>
      <c r="F3351" t="s">
        <v>14963</v>
      </c>
      <c r="G3351" t="s">
        <v>14964</v>
      </c>
      <c r="H3351">
        <v>37.640613000000002</v>
      </c>
      <c r="I3351">
        <v>55.705461</v>
      </c>
      <c r="J3351">
        <v>145</v>
      </c>
      <c r="K3351" t="s">
        <v>27</v>
      </c>
      <c r="L3351" t="s">
        <v>27</v>
      </c>
      <c r="M3351" t="s">
        <v>27</v>
      </c>
      <c r="N3351" t="s">
        <v>27</v>
      </c>
      <c r="O3351" t="s">
        <v>27</v>
      </c>
      <c r="P3351" t="s">
        <v>27</v>
      </c>
      <c r="Q3351" t="s">
        <v>27</v>
      </c>
      <c r="R3351" t="s">
        <v>15305</v>
      </c>
      <c r="S3351" t="s">
        <v>15498</v>
      </c>
      <c r="T3351" t="s">
        <v>14993</v>
      </c>
      <c r="U3351" t="s">
        <v>15499</v>
      </c>
    </row>
    <row r="3352" spans="1:21" x14ac:dyDescent="0.25">
      <c r="A3352" t="s">
        <v>15500</v>
      </c>
      <c r="B3352" t="s">
        <v>38</v>
      </c>
      <c r="C3352" t="s">
        <v>15501</v>
      </c>
      <c r="D3352">
        <f t="shared" si="86"/>
        <v>-8005007793</v>
      </c>
      <c r="E3352" t="s">
        <v>15502</v>
      </c>
      <c r="F3352" t="s">
        <v>14963</v>
      </c>
      <c r="G3352" t="s">
        <v>14964</v>
      </c>
      <c r="H3352">
        <v>34.316288</v>
      </c>
      <c r="I3352">
        <v>53.279675339999997</v>
      </c>
      <c r="J3352">
        <v>145</v>
      </c>
      <c r="K3352" t="s">
        <v>27</v>
      </c>
      <c r="L3352" t="s">
        <v>27</v>
      </c>
      <c r="M3352" t="s">
        <v>27</v>
      </c>
      <c r="N3352" t="s">
        <v>27</v>
      </c>
      <c r="O3352" t="s">
        <v>27</v>
      </c>
      <c r="P3352" t="s">
        <v>27</v>
      </c>
      <c r="Q3352" t="s">
        <v>27</v>
      </c>
      <c r="R3352" t="s">
        <v>15501</v>
      </c>
      <c r="S3352" t="s">
        <v>15503</v>
      </c>
      <c r="T3352" t="s">
        <v>15504</v>
      </c>
      <c r="U3352" t="s">
        <v>15505</v>
      </c>
    </row>
    <row r="3353" spans="1:21" x14ac:dyDescent="0.25">
      <c r="A3353" t="s">
        <v>15506</v>
      </c>
      <c r="B3353" t="s">
        <v>38</v>
      </c>
      <c r="C3353" t="s">
        <v>15507</v>
      </c>
      <c r="D3353">
        <f t="shared" si="86"/>
        <v>-8005007793</v>
      </c>
      <c r="E3353" t="s">
        <v>15508</v>
      </c>
      <c r="F3353" t="s">
        <v>14963</v>
      </c>
      <c r="G3353" t="s">
        <v>14964</v>
      </c>
      <c r="H3353">
        <v>60.018314760000003</v>
      </c>
      <c r="I3353">
        <v>57.877600000000001</v>
      </c>
      <c r="J3353">
        <v>180</v>
      </c>
      <c r="K3353" t="s">
        <v>27</v>
      </c>
      <c r="L3353" t="s">
        <v>27</v>
      </c>
      <c r="M3353" t="s">
        <v>27</v>
      </c>
      <c r="N3353" t="s">
        <v>27</v>
      </c>
      <c r="O3353" t="s">
        <v>27</v>
      </c>
      <c r="P3353" t="s">
        <v>27</v>
      </c>
      <c r="Q3353" t="s">
        <v>27</v>
      </c>
      <c r="R3353" t="s">
        <v>15507</v>
      </c>
      <c r="S3353" t="s">
        <v>15509</v>
      </c>
      <c r="T3353" t="s">
        <v>15038</v>
      </c>
      <c r="U3353" t="s">
        <v>15510</v>
      </c>
    </row>
    <row r="3354" spans="1:21" x14ac:dyDescent="0.25">
      <c r="A3354" t="s">
        <v>15511</v>
      </c>
      <c r="B3354" t="s">
        <v>38</v>
      </c>
      <c r="C3354" t="s">
        <v>15512</v>
      </c>
      <c r="D3354">
        <f t="shared" si="86"/>
        <v>-8005007793</v>
      </c>
      <c r="E3354" t="s">
        <v>15513</v>
      </c>
      <c r="F3354" t="s">
        <v>14963</v>
      </c>
      <c r="G3354" t="s">
        <v>14964</v>
      </c>
      <c r="H3354">
        <v>52.409525980175701</v>
      </c>
      <c r="I3354">
        <v>55.751559332663298</v>
      </c>
      <c r="J3354">
        <v>145</v>
      </c>
      <c r="K3354" t="s">
        <v>27</v>
      </c>
      <c r="L3354" t="s">
        <v>27</v>
      </c>
      <c r="M3354" t="s">
        <v>27</v>
      </c>
      <c r="N3354" t="s">
        <v>27</v>
      </c>
      <c r="O3354" t="s">
        <v>27</v>
      </c>
      <c r="P3354" t="s">
        <v>27</v>
      </c>
      <c r="Q3354" t="s">
        <v>27</v>
      </c>
      <c r="R3354" t="s">
        <v>15512</v>
      </c>
      <c r="S3354" t="s">
        <v>15514</v>
      </c>
      <c r="T3354" t="s">
        <v>15032</v>
      </c>
      <c r="U3354" t="s">
        <v>15515</v>
      </c>
    </row>
    <row r="3355" spans="1:21" x14ac:dyDescent="0.25">
      <c r="A3355" t="s">
        <v>15516</v>
      </c>
      <c r="B3355" t="s">
        <v>22</v>
      </c>
      <c r="C3355" t="s">
        <v>15517</v>
      </c>
      <c r="D3355">
        <f t="shared" si="86"/>
        <v>-8005007793</v>
      </c>
      <c r="E3355" t="s">
        <v>15518</v>
      </c>
      <c r="F3355" t="s">
        <v>14963</v>
      </c>
      <c r="G3355" t="s">
        <v>14964</v>
      </c>
      <c r="H3355">
        <v>41.923746999999999</v>
      </c>
      <c r="I3355">
        <v>44.996259000000002</v>
      </c>
      <c r="J3355">
        <v>145</v>
      </c>
      <c r="K3355" t="s">
        <v>27</v>
      </c>
      <c r="L3355" t="s">
        <v>27</v>
      </c>
      <c r="M3355" t="s">
        <v>27</v>
      </c>
      <c r="N3355" t="s">
        <v>27</v>
      </c>
      <c r="O3355" t="s">
        <v>27</v>
      </c>
      <c r="P3355" t="s">
        <v>27</v>
      </c>
      <c r="Q3355" t="s">
        <v>27</v>
      </c>
      <c r="R3355" t="s">
        <v>15517</v>
      </c>
      <c r="S3355" t="s">
        <v>15519</v>
      </c>
      <c r="T3355" t="s">
        <v>15520</v>
      </c>
      <c r="U3355" t="s">
        <v>15521</v>
      </c>
    </row>
    <row r="3356" spans="1:21" x14ac:dyDescent="0.25">
      <c r="A3356" t="s">
        <v>15522</v>
      </c>
      <c r="B3356" t="s">
        <v>22</v>
      </c>
      <c r="C3356" t="s">
        <v>15523</v>
      </c>
      <c r="D3356">
        <f t="shared" si="86"/>
        <v>-8005007793</v>
      </c>
      <c r="E3356" t="s">
        <v>14970</v>
      </c>
      <c r="F3356" t="s">
        <v>14963</v>
      </c>
      <c r="G3356" t="s">
        <v>14964</v>
      </c>
      <c r="H3356">
        <v>37.529066052246002</v>
      </c>
      <c r="I3356">
        <v>55.692213077889797</v>
      </c>
      <c r="J3356">
        <v>145</v>
      </c>
      <c r="K3356" t="s">
        <v>27</v>
      </c>
      <c r="L3356" t="s">
        <v>27</v>
      </c>
      <c r="M3356" t="s">
        <v>27</v>
      </c>
      <c r="N3356" t="s">
        <v>27</v>
      </c>
      <c r="O3356" t="s">
        <v>27</v>
      </c>
      <c r="P3356" t="s">
        <v>27</v>
      </c>
      <c r="Q3356" t="s">
        <v>27</v>
      </c>
      <c r="R3356" t="s">
        <v>15523</v>
      </c>
      <c r="S3356" t="s">
        <v>15524</v>
      </c>
      <c r="T3356" t="s">
        <v>14993</v>
      </c>
      <c r="U3356" t="s">
        <v>15525</v>
      </c>
    </row>
    <row r="3357" spans="1:21" x14ac:dyDescent="0.25">
      <c r="A3357" t="s">
        <v>15526</v>
      </c>
      <c r="B3357" t="s">
        <v>38</v>
      </c>
      <c r="C3357" t="s">
        <v>15527</v>
      </c>
      <c r="D3357">
        <f t="shared" si="86"/>
        <v>-8005007793</v>
      </c>
      <c r="E3357" t="s">
        <v>15528</v>
      </c>
      <c r="F3357" t="s">
        <v>14963</v>
      </c>
      <c r="G3357" t="s">
        <v>14964</v>
      </c>
      <c r="H3357">
        <v>76.546158000000005</v>
      </c>
      <c r="I3357">
        <v>60.940342999999999</v>
      </c>
      <c r="J3357">
        <v>180</v>
      </c>
      <c r="K3357" t="s">
        <v>3543</v>
      </c>
      <c r="L3357" t="s">
        <v>3543</v>
      </c>
      <c r="M3357" t="s">
        <v>3543</v>
      </c>
      <c r="N3357" t="s">
        <v>3543</v>
      </c>
      <c r="O3357" t="s">
        <v>3543</v>
      </c>
      <c r="P3357" t="s">
        <v>3543</v>
      </c>
      <c r="Q3357" t="s">
        <v>3543</v>
      </c>
      <c r="R3357" t="s">
        <v>15527</v>
      </c>
      <c r="S3357" t="s">
        <v>15529</v>
      </c>
      <c r="T3357" t="s">
        <v>15530</v>
      </c>
      <c r="U3357" t="s">
        <v>15531</v>
      </c>
    </row>
    <row r="3358" spans="1:21" x14ac:dyDescent="0.25">
      <c r="A3358" t="s">
        <v>15532</v>
      </c>
      <c r="B3358" t="s">
        <v>38</v>
      </c>
      <c r="C3358" t="s">
        <v>15533</v>
      </c>
      <c r="D3358">
        <f t="shared" si="86"/>
        <v>-8005007793</v>
      </c>
      <c r="E3358" t="s">
        <v>15074</v>
      </c>
      <c r="F3358" t="s">
        <v>14963</v>
      </c>
      <c r="G3358" t="s">
        <v>14964</v>
      </c>
      <c r="H3358">
        <v>55.984625000000001</v>
      </c>
      <c r="I3358">
        <v>54.717326999999997</v>
      </c>
      <c r="J3358">
        <v>180</v>
      </c>
      <c r="K3358" t="s">
        <v>27</v>
      </c>
      <c r="L3358" t="s">
        <v>27</v>
      </c>
      <c r="M3358" t="s">
        <v>27</v>
      </c>
      <c r="N3358" t="s">
        <v>27</v>
      </c>
      <c r="O3358" t="s">
        <v>27</v>
      </c>
      <c r="P3358" t="s">
        <v>27</v>
      </c>
      <c r="Q3358" t="s">
        <v>27</v>
      </c>
      <c r="R3358" t="s">
        <v>15533</v>
      </c>
      <c r="S3358" t="s">
        <v>15534</v>
      </c>
      <c r="T3358" t="s">
        <v>15076</v>
      </c>
      <c r="U3358" t="s">
        <v>15535</v>
      </c>
    </row>
    <row r="3359" spans="1:21" x14ac:dyDescent="0.25">
      <c r="A3359" t="s">
        <v>15536</v>
      </c>
      <c r="B3359" t="s">
        <v>38</v>
      </c>
      <c r="C3359" t="s">
        <v>15537</v>
      </c>
      <c r="D3359">
        <f t="shared" si="86"/>
        <v>-8005007793</v>
      </c>
      <c r="E3359" t="s">
        <v>15538</v>
      </c>
      <c r="F3359" t="s">
        <v>14963</v>
      </c>
      <c r="G3359" t="s">
        <v>14964</v>
      </c>
      <c r="H3359">
        <v>37.880000000000003</v>
      </c>
      <c r="I3359">
        <v>56</v>
      </c>
      <c r="J3359">
        <v>145</v>
      </c>
      <c r="K3359" t="s">
        <v>27</v>
      </c>
      <c r="L3359" t="s">
        <v>27</v>
      </c>
      <c r="M3359" t="s">
        <v>27</v>
      </c>
      <c r="N3359" t="s">
        <v>27</v>
      </c>
      <c r="O3359" t="s">
        <v>27</v>
      </c>
      <c r="P3359" t="s">
        <v>27</v>
      </c>
      <c r="Q3359" t="s">
        <v>27</v>
      </c>
      <c r="R3359" t="s">
        <v>15537</v>
      </c>
      <c r="S3359" t="s">
        <v>15539</v>
      </c>
      <c r="T3359" t="s">
        <v>14966</v>
      </c>
      <c r="U3359" t="s">
        <v>15540</v>
      </c>
    </row>
    <row r="3360" spans="1:21" x14ac:dyDescent="0.25">
      <c r="A3360" t="s">
        <v>15541</v>
      </c>
      <c r="B3360" t="s">
        <v>38</v>
      </c>
      <c r="C3360" t="s">
        <v>15542</v>
      </c>
      <c r="D3360">
        <f t="shared" si="86"/>
        <v>-8005007793</v>
      </c>
      <c r="E3360" t="s">
        <v>15336</v>
      </c>
      <c r="F3360" t="s">
        <v>14963</v>
      </c>
      <c r="G3360" t="s">
        <v>14964</v>
      </c>
      <c r="H3360">
        <v>53.126127192321697</v>
      </c>
      <c r="I3360">
        <v>56.833192633818101</v>
      </c>
      <c r="J3360">
        <v>145</v>
      </c>
      <c r="K3360" t="s">
        <v>27</v>
      </c>
      <c r="L3360" t="s">
        <v>27</v>
      </c>
      <c r="M3360" t="s">
        <v>27</v>
      </c>
      <c r="N3360" t="s">
        <v>27</v>
      </c>
      <c r="O3360" t="s">
        <v>27</v>
      </c>
      <c r="P3360" t="s">
        <v>27</v>
      </c>
      <c r="Q3360" t="s">
        <v>27</v>
      </c>
      <c r="R3360" t="s">
        <v>15542</v>
      </c>
      <c r="S3360" t="s">
        <v>15543</v>
      </c>
      <c r="T3360" t="s">
        <v>15338</v>
      </c>
      <c r="U3360" t="s">
        <v>15544</v>
      </c>
    </row>
    <row r="3361" spans="1:21" x14ac:dyDescent="0.25">
      <c r="A3361" t="s">
        <v>15545</v>
      </c>
      <c r="B3361" t="s">
        <v>38</v>
      </c>
      <c r="C3361" t="s">
        <v>15546</v>
      </c>
      <c r="D3361">
        <f t="shared" si="86"/>
        <v>-8005007793</v>
      </c>
      <c r="E3361" t="s">
        <v>15014</v>
      </c>
      <c r="F3361" t="s">
        <v>14963</v>
      </c>
      <c r="G3361" t="s">
        <v>14964</v>
      </c>
      <c r="H3361">
        <v>39.723674000000003</v>
      </c>
      <c r="I3361">
        <v>47.203971000000003</v>
      </c>
      <c r="J3361">
        <v>145</v>
      </c>
      <c r="K3361" t="s">
        <v>27</v>
      </c>
      <c r="L3361" t="s">
        <v>27</v>
      </c>
      <c r="M3361" t="s">
        <v>27</v>
      </c>
      <c r="N3361" t="s">
        <v>27</v>
      </c>
      <c r="O3361" t="s">
        <v>27</v>
      </c>
      <c r="P3361" t="s">
        <v>27</v>
      </c>
      <c r="Q3361" t="s">
        <v>27</v>
      </c>
      <c r="R3361" t="s">
        <v>15546</v>
      </c>
      <c r="S3361" t="s">
        <v>15547</v>
      </c>
      <c r="T3361" t="s">
        <v>15548</v>
      </c>
      <c r="U3361" t="s">
        <v>15549</v>
      </c>
    </row>
    <row r="3362" spans="1:21" x14ac:dyDescent="0.25">
      <c r="A3362" t="s">
        <v>15550</v>
      </c>
      <c r="B3362" t="s">
        <v>38</v>
      </c>
      <c r="C3362" t="s">
        <v>15551</v>
      </c>
      <c r="D3362">
        <f t="shared" si="86"/>
        <v>-8005007793</v>
      </c>
      <c r="E3362" t="s">
        <v>15552</v>
      </c>
      <c r="F3362" t="s">
        <v>14963</v>
      </c>
      <c r="G3362" t="s">
        <v>14964</v>
      </c>
      <c r="H3362">
        <v>131.94999999999999</v>
      </c>
      <c r="I3362">
        <v>43.21</v>
      </c>
      <c r="J3362">
        <v>270</v>
      </c>
      <c r="K3362" t="s">
        <v>536</v>
      </c>
      <c r="L3362" t="s">
        <v>536</v>
      </c>
      <c r="M3362" t="s">
        <v>536</v>
      </c>
      <c r="N3362" t="s">
        <v>536</v>
      </c>
      <c r="O3362" t="s">
        <v>27</v>
      </c>
      <c r="P3362" t="s">
        <v>27</v>
      </c>
      <c r="Q3362" t="s">
        <v>536</v>
      </c>
      <c r="R3362" t="s">
        <v>15551</v>
      </c>
      <c r="S3362" t="s">
        <v>15553</v>
      </c>
      <c r="T3362" t="s">
        <v>15554</v>
      </c>
      <c r="U3362" t="s">
        <v>15555</v>
      </c>
    </row>
    <row r="3363" spans="1:21" x14ac:dyDescent="0.25">
      <c r="A3363" t="s">
        <v>15556</v>
      </c>
      <c r="B3363" t="s">
        <v>22</v>
      </c>
      <c r="C3363" t="s">
        <v>15557</v>
      </c>
      <c r="D3363">
        <f t="shared" ref="D3363:D3369" si="87">7-8005007800</f>
        <v>-8005007793</v>
      </c>
      <c r="E3363" t="s">
        <v>15552</v>
      </c>
      <c r="F3363" t="s">
        <v>14963</v>
      </c>
      <c r="G3363" t="s">
        <v>14964</v>
      </c>
      <c r="H3363">
        <v>131.9</v>
      </c>
      <c r="I3363">
        <v>43.1</v>
      </c>
      <c r="J3363">
        <v>270</v>
      </c>
      <c r="K3363" t="s">
        <v>27</v>
      </c>
      <c r="L3363" t="s">
        <v>27</v>
      </c>
      <c r="M3363" t="s">
        <v>27</v>
      </c>
      <c r="N3363" t="s">
        <v>27</v>
      </c>
      <c r="O3363" t="s">
        <v>27</v>
      </c>
      <c r="P3363" t="s">
        <v>27</v>
      </c>
      <c r="Q3363" t="s">
        <v>27</v>
      </c>
      <c r="R3363" t="s">
        <v>15557</v>
      </c>
      <c r="S3363" t="s">
        <v>15558</v>
      </c>
      <c r="T3363" t="s">
        <v>15559</v>
      </c>
      <c r="U3363" t="s">
        <v>15560</v>
      </c>
    </row>
    <row r="3364" spans="1:21" x14ac:dyDescent="0.25">
      <c r="A3364" t="s">
        <v>15561</v>
      </c>
      <c r="B3364" t="s">
        <v>38</v>
      </c>
      <c r="C3364" t="s">
        <v>15562</v>
      </c>
      <c r="D3364">
        <f t="shared" si="87"/>
        <v>-8005007793</v>
      </c>
      <c r="E3364" t="s">
        <v>15563</v>
      </c>
      <c r="F3364" t="s">
        <v>14963</v>
      </c>
      <c r="G3364" t="s">
        <v>14964</v>
      </c>
      <c r="H3364">
        <v>65.2835502051269</v>
      </c>
      <c r="I3364">
        <v>55.4276213866275</v>
      </c>
      <c r="J3364">
        <v>180</v>
      </c>
      <c r="K3364" t="s">
        <v>27</v>
      </c>
      <c r="L3364" t="s">
        <v>27</v>
      </c>
      <c r="M3364" t="s">
        <v>27</v>
      </c>
      <c r="N3364" t="s">
        <v>27</v>
      </c>
      <c r="O3364" t="s">
        <v>27</v>
      </c>
      <c r="P3364" t="s">
        <v>27</v>
      </c>
      <c r="Q3364" t="s">
        <v>27</v>
      </c>
      <c r="R3364" t="s">
        <v>15562</v>
      </c>
      <c r="S3364" t="s">
        <v>15564</v>
      </c>
      <c r="T3364" t="s">
        <v>15565</v>
      </c>
      <c r="U3364" t="s">
        <v>15566</v>
      </c>
    </row>
    <row r="3365" spans="1:21" x14ac:dyDescent="0.25">
      <c r="A3365" t="s">
        <v>15567</v>
      </c>
      <c r="B3365" t="s">
        <v>22</v>
      </c>
      <c r="C3365" t="s">
        <v>15568</v>
      </c>
      <c r="D3365">
        <f t="shared" si="87"/>
        <v>-8005007793</v>
      </c>
      <c r="E3365" t="s">
        <v>14970</v>
      </c>
      <c r="F3365" t="s">
        <v>14963</v>
      </c>
      <c r="G3365" t="s">
        <v>14964</v>
      </c>
      <c r="H3365">
        <v>37.716348614501797</v>
      </c>
      <c r="I3365">
        <v>55.616186655220503</v>
      </c>
      <c r="J3365">
        <v>145</v>
      </c>
      <c r="K3365" t="s">
        <v>27</v>
      </c>
      <c r="L3365" t="s">
        <v>27</v>
      </c>
      <c r="M3365" t="s">
        <v>27</v>
      </c>
      <c r="N3365" t="s">
        <v>27</v>
      </c>
      <c r="O3365" t="s">
        <v>27</v>
      </c>
      <c r="P3365" t="s">
        <v>27</v>
      </c>
      <c r="Q3365" t="s">
        <v>27</v>
      </c>
      <c r="R3365" t="s">
        <v>15568</v>
      </c>
      <c r="S3365" t="s">
        <v>15569</v>
      </c>
      <c r="U3365" t="s">
        <v>15570</v>
      </c>
    </row>
    <row r="3366" spans="1:21" x14ac:dyDescent="0.25">
      <c r="A3366" t="s">
        <v>15571</v>
      </c>
      <c r="B3366" t="s">
        <v>38</v>
      </c>
      <c r="C3366" t="s">
        <v>15572</v>
      </c>
      <c r="D3366">
        <f t="shared" si="87"/>
        <v>-8005007793</v>
      </c>
      <c r="E3366" t="s">
        <v>15573</v>
      </c>
      <c r="F3366" t="s">
        <v>14963</v>
      </c>
      <c r="G3366" t="s">
        <v>14964</v>
      </c>
      <c r="H3366">
        <v>55.199392548706101</v>
      </c>
      <c r="I3366">
        <v>51.775724032329997</v>
      </c>
      <c r="J3366">
        <v>180</v>
      </c>
      <c r="K3366" t="s">
        <v>27</v>
      </c>
      <c r="L3366" t="s">
        <v>27</v>
      </c>
      <c r="M3366" t="s">
        <v>27</v>
      </c>
      <c r="N3366" t="s">
        <v>27</v>
      </c>
      <c r="O3366" t="s">
        <v>27</v>
      </c>
      <c r="P3366" t="s">
        <v>27</v>
      </c>
      <c r="Q3366" t="s">
        <v>27</v>
      </c>
      <c r="R3366" t="s">
        <v>15574</v>
      </c>
      <c r="T3366" t="s">
        <v>15575</v>
      </c>
      <c r="U3366" t="s">
        <v>15576</v>
      </c>
    </row>
    <row r="3367" spans="1:21" x14ac:dyDescent="0.25">
      <c r="A3367" t="s">
        <v>15577</v>
      </c>
      <c r="B3367" t="s">
        <v>22</v>
      </c>
      <c r="C3367" t="s">
        <v>15578</v>
      </c>
      <c r="D3367">
        <f t="shared" si="87"/>
        <v>-8005007793</v>
      </c>
      <c r="E3367" t="s">
        <v>14970</v>
      </c>
      <c r="F3367" t="s">
        <v>14963</v>
      </c>
      <c r="G3367" t="s">
        <v>14964</v>
      </c>
      <c r="H3367">
        <v>37.677100000000003</v>
      </c>
      <c r="I3367">
        <v>55.694099999999999</v>
      </c>
      <c r="J3367">
        <v>145</v>
      </c>
      <c r="K3367" t="s">
        <v>27</v>
      </c>
      <c r="L3367" t="s">
        <v>27</v>
      </c>
      <c r="M3367" t="s">
        <v>27</v>
      </c>
      <c r="N3367" t="s">
        <v>27</v>
      </c>
      <c r="O3367" t="s">
        <v>27</v>
      </c>
      <c r="P3367" t="s">
        <v>27</v>
      </c>
      <c r="Q3367" t="s">
        <v>27</v>
      </c>
      <c r="R3367" t="s">
        <v>15578</v>
      </c>
      <c r="S3367" t="s">
        <v>15579</v>
      </c>
      <c r="U3367" t="s">
        <v>15580</v>
      </c>
    </row>
    <row r="3368" spans="1:21" x14ac:dyDescent="0.25">
      <c r="A3368" t="s">
        <v>15581</v>
      </c>
      <c r="B3368" t="s">
        <v>38</v>
      </c>
      <c r="C3368" t="s">
        <v>15582</v>
      </c>
      <c r="D3368">
        <f t="shared" si="87"/>
        <v>-8005007793</v>
      </c>
      <c r="E3368" t="s">
        <v>15583</v>
      </c>
      <c r="F3368" t="s">
        <v>14963</v>
      </c>
      <c r="G3368" t="s">
        <v>14964</v>
      </c>
      <c r="H3368">
        <v>47.883857999999996</v>
      </c>
      <c r="I3368">
        <v>56.6402225</v>
      </c>
      <c r="J3368">
        <v>145</v>
      </c>
      <c r="K3368" t="s">
        <v>27</v>
      </c>
      <c r="L3368" t="s">
        <v>27</v>
      </c>
      <c r="M3368" t="s">
        <v>27</v>
      </c>
      <c r="N3368" t="s">
        <v>27</v>
      </c>
      <c r="O3368" t="s">
        <v>27</v>
      </c>
      <c r="P3368" t="s">
        <v>27</v>
      </c>
      <c r="Q3368" t="s">
        <v>27</v>
      </c>
      <c r="R3368" t="s">
        <v>15582</v>
      </c>
      <c r="S3368" t="s">
        <v>15584</v>
      </c>
      <c r="T3368" t="s">
        <v>15585</v>
      </c>
      <c r="U3368" t="s">
        <v>15586</v>
      </c>
    </row>
    <row r="3369" spans="1:21" x14ac:dyDescent="0.25">
      <c r="A3369" t="s">
        <v>15587</v>
      </c>
      <c r="B3369" t="s">
        <v>38</v>
      </c>
      <c r="C3369" t="s">
        <v>15588</v>
      </c>
      <c r="D3369">
        <f t="shared" si="87"/>
        <v>-8005007793</v>
      </c>
      <c r="E3369" t="s">
        <v>15589</v>
      </c>
      <c r="F3369" t="s">
        <v>14963</v>
      </c>
      <c r="G3369" t="s">
        <v>14964</v>
      </c>
      <c r="H3369">
        <v>20.548929999999999</v>
      </c>
      <c r="I3369">
        <v>54.769423000000003</v>
      </c>
      <c r="J3369">
        <v>130</v>
      </c>
      <c r="K3369" t="s">
        <v>536</v>
      </c>
      <c r="L3369" t="s">
        <v>536</v>
      </c>
      <c r="M3369" t="s">
        <v>536</v>
      </c>
      <c r="N3369" t="s">
        <v>536</v>
      </c>
      <c r="O3369" t="s">
        <v>27</v>
      </c>
      <c r="P3369" t="s">
        <v>27</v>
      </c>
      <c r="Q3369" t="s">
        <v>536</v>
      </c>
      <c r="R3369" t="s">
        <v>15588</v>
      </c>
      <c r="S3369" t="s">
        <v>15590</v>
      </c>
      <c r="T3369" t="s">
        <v>15591</v>
      </c>
      <c r="U3369" t="s">
        <v>15592</v>
      </c>
    </row>
    <row r="3370" spans="1:21" x14ac:dyDescent="0.25">
      <c r="A3370" t="s">
        <v>15593</v>
      </c>
      <c r="B3370" t="s">
        <v>38</v>
      </c>
      <c r="C3370" t="s">
        <v>15594</v>
      </c>
      <c r="E3370" t="s">
        <v>15595</v>
      </c>
      <c r="F3370" t="s">
        <v>14963</v>
      </c>
      <c r="G3370" t="s">
        <v>14964</v>
      </c>
      <c r="H3370">
        <v>51.806735939182502</v>
      </c>
      <c r="I3370">
        <v>55.646850478582202</v>
      </c>
      <c r="J3370">
        <v>145</v>
      </c>
      <c r="K3370" t="s">
        <v>312</v>
      </c>
      <c r="L3370" t="s">
        <v>312</v>
      </c>
      <c r="M3370" t="s">
        <v>312</v>
      </c>
      <c r="N3370" t="s">
        <v>312</v>
      </c>
      <c r="O3370" t="s">
        <v>312</v>
      </c>
      <c r="P3370" t="s">
        <v>312</v>
      </c>
      <c r="Q3370" t="s">
        <v>312</v>
      </c>
      <c r="R3370" t="s">
        <v>15594</v>
      </c>
      <c r="S3370" t="s">
        <v>15596</v>
      </c>
      <c r="T3370" t="s">
        <v>15597</v>
      </c>
      <c r="U3370" t="s">
        <v>15598</v>
      </c>
    </row>
    <row r="3371" spans="1:21" x14ac:dyDescent="0.25">
      <c r="A3371" t="s">
        <v>15599</v>
      </c>
      <c r="B3371" t="s">
        <v>38</v>
      </c>
      <c r="C3371" t="s">
        <v>15117</v>
      </c>
      <c r="D3371">
        <f>7-8005007800</f>
        <v>-8005007793</v>
      </c>
      <c r="E3371" t="s">
        <v>15600</v>
      </c>
      <c r="F3371" t="s">
        <v>14963</v>
      </c>
      <c r="G3371" t="s">
        <v>14964</v>
      </c>
      <c r="H3371">
        <v>35.944313000000001</v>
      </c>
      <c r="I3371">
        <v>56.846746000000003</v>
      </c>
      <c r="J3371">
        <v>145</v>
      </c>
      <c r="K3371" t="s">
        <v>27</v>
      </c>
      <c r="L3371" t="s">
        <v>27</v>
      </c>
      <c r="M3371" t="s">
        <v>27</v>
      </c>
      <c r="N3371" t="s">
        <v>27</v>
      </c>
      <c r="O3371" t="s">
        <v>27</v>
      </c>
      <c r="P3371" t="s">
        <v>27</v>
      </c>
      <c r="Q3371" t="s">
        <v>27</v>
      </c>
      <c r="R3371" t="s">
        <v>15117</v>
      </c>
      <c r="S3371" t="s">
        <v>15601</v>
      </c>
      <c r="T3371" t="s">
        <v>15602</v>
      </c>
      <c r="U3371" t="s">
        <v>15603</v>
      </c>
    </row>
    <row r="3372" spans="1:21" x14ac:dyDescent="0.25">
      <c r="A3372" t="s">
        <v>15604</v>
      </c>
      <c r="B3372" t="s">
        <v>38</v>
      </c>
      <c r="C3372" t="s">
        <v>15605</v>
      </c>
      <c r="D3372">
        <f>7-8005007800</f>
        <v>-8005007793</v>
      </c>
      <c r="E3372" t="s">
        <v>14970</v>
      </c>
      <c r="F3372" t="s">
        <v>14963</v>
      </c>
      <c r="G3372" t="s">
        <v>14964</v>
      </c>
      <c r="H3372">
        <v>37.457037</v>
      </c>
      <c r="I3372">
        <v>55.707039999999999</v>
      </c>
      <c r="J3372">
        <v>145</v>
      </c>
      <c r="K3372" t="s">
        <v>27</v>
      </c>
      <c r="L3372" t="s">
        <v>27</v>
      </c>
      <c r="M3372" t="s">
        <v>27</v>
      </c>
      <c r="N3372" t="s">
        <v>27</v>
      </c>
      <c r="O3372" t="s">
        <v>27</v>
      </c>
      <c r="P3372" t="s">
        <v>27</v>
      </c>
      <c r="Q3372" t="s">
        <v>27</v>
      </c>
      <c r="R3372" t="s">
        <v>15605</v>
      </c>
      <c r="S3372" t="s">
        <v>15606</v>
      </c>
      <c r="U3372" t="s">
        <v>15607</v>
      </c>
    </row>
    <row r="3373" spans="1:21" x14ac:dyDescent="0.25">
      <c r="A3373" t="s">
        <v>15608</v>
      </c>
      <c r="B3373" t="s">
        <v>38</v>
      </c>
      <c r="C3373" t="s">
        <v>15117</v>
      </c>
      <c r="D3373">
        <f>7-8005007800</f>
        <v>-8005007793</v>
      </c>
      <c r="E3373" t="s">
        <v>15609</v>
      </c>
      <c r="F3373" t="s">
        <v>14963</v>
      </c>
      <c r="G3373" t="s">
        <v>14964</v>
      </c>
      <c r="H3373">
        <v>39.8123</v>
      </c>
      <c r="I3373">
        <v>59.202500000000001</v>
      </c>
      <c r="J3373">
        <v>145</v>
      </c>
      <c r="K3373" t="s">
        <v>536</v>
      </c>
      <c r="L3373" t="s">
        <v>536</v>
      </c>
      <c r="M3373" t="s">
        <v>536</v>
      </c>
      <c r="N3373" t="s">
        <v>536</v>
      </c>
      <c r="O3373" t="s">
        <v>536</v>
      </c>
      <c r="P3373" t="s">
        <v>536</v>
      </c>
      <c r="Q3373" t="s">
        <v>536</v>
      </c>
      <c r="R3373" t="s">
        <v>15117</v>
      </c>
      <c r="S3373" t="s">
        <v>15610</v>
      </c>
      <c r="T3373" t="s">
        <v>15611</v>
      </c>
      <c r="U3373" t="s">
        <v>15612</v>
      </c>
    </row>
    <row r="3374" spans="1:21" x14ac:dyDescent="0.25">
      <c r="A3374" t="s">
        <v>15613</v>
      </c>
      <c r="B3374" t="s">
        <v>22</v>
      </c>
      <c r="C3374" t="s">
        <v>15614</v>
      </c>
      <c r="D3374">
        <f>7-8005007800</f>
        <v>-8005007793</v>
      </c>
      <c r="E3374" t="s">
        <v>14983</v>
      </c>
      <c r="F3374" t="s">
        <v>14963</v>
      </c>
      <c r="G3374" t="s">
        <v>14964</v>
      </c>
      <c r="H3374">
        <v>30.514174000000001</v>
      </c>
      <c r="I3374">
        <v>59.892950999999996</v>
      </c>
      <c r="J3374">
        <v>145</v>
      </c>
      <c r="K3374" t="s">
        <v>536</v>
      </c>
      <c r="L3374" t="s">
        <v>536</v>
      </c>
      <c r="M3374" t="s">
        <v>536</v>
      </c>
      <c r="N3374" t="s">
        <v>536</v>
      </c>
      <c r="O3374" t="s">
        <v>536</v>
      </c>
      <c r="P3374" t="s">
        <v>536</v>
      </c>
      <c r="Q3374" t="s">
        <v>536</v>
      </c>
      <c r="R3374" t="s">
        <v>15614</v>
      </c>
      <c r="S3374" t="s">
        <v>15615</v>
      </c>
      <c r="T3374" t="s">
        <v>15010</v>
      </c>
      <c r="U3374" t="s">
        <v>15616</v>
      </c>
    </row>
    <row r="3375" spans="1:21" x14ac:dyDescent="0.25">
      <c r="A3375" t="s">
        <v>15617</v>
      </c>
      <c r="B3375" t="s">
        <v>38</v>
      </c>
      <c r="C3375" t="s">
        <v>15618</v>
      </c>
      <c r="E3375" t="s">
        <v>15619</v>
      </c>
      <c r="F3375" t="s">
        <v>14963</v>
      </c>
      <c r="G3375" t="s">
        <v>14964</v>
      </c>
      <c r="H3375">
        <v>49.595025999999997</v>
      </c>
      <c r="I3375">
        <v>58.616641000000001</v>
      </c>
      <c r="J3375">
        <v>145</v>
      </c>
      <c r="K3375" t="s">
        <v>536</v>
      </c>
      <c r="L3375" t="s">
        <v>536</v>
      </c>
      <c r="M3375" t="s">
        <v>536</v>
      </c>
      <c r="N3375" t="s">
        <v>536</v>
      </c>
      <c r="O3375" t="s">
        <v>536</v>
      </c>
      <c r="P3375" t="s">
        <v>536</v>
      </c>
      <c r="Q3375" t="s">
        <v>536</v>
      </c>
      <c r="R3375" t="s">
        <v>15620</v>
      </c>
      <c r="S3375" t="s">
        <v>15621</v>
      </c>
      <c r="T3375" t="s">
        <v>15622</v>
      </c>
      <c r="U3375" t="s">
        <v>15623</v>
      </c>
    </row>
    <row r="3376" spans="1:21" x14ac:dyDescent="0.25">
      <c r="A3376" t="s">
        <v>15624</v>
      </c>
      <c r="B3376" t="s">
        <v>22</v>
      </c>
      <c r="C3376" t="s">
        <v>15625</v>
      </c>
      <c r="E3376" t="s">
        <v>15493</v>
      </c>
      <c r="F3376" t="s">
        <v>14963</v>
      </c>
      <c r="G3376" t="s">
        <v>14964</v>
      </c>
      <c r="H3376">
        <v>56.146751999999999</v>
      </c>
      <c r="I3376">
        <v>57.969712999999999</v>
      </c>
      <c r="J3376">
        <v>185</v>
      </c>
      <c r="R3376" t="s">
        <v>15625</v>
      </c>
      <c r="S3376" t="s">
        <v>15626</v>
      </c>
      <c r="T3376" t="s">
        <v>15627</v>
      </c>
      <c r="U3376" t="s">
        <v>15628</v>
      </c>
    </row>
    <row r="3377" spans="1:21" x14ac:dyDescent="0.25">
      <c r="A3377" t="s">
        <v>15629</v>
      </c>
      <c r="B3377" t="s">
        <v>38</v>
      </c>
      <c r="C3377" t="s">
        <v>15630</v>
      </c>
      <c r="D3377">
        <f>7-8005007800</f>
        <v>-8005007793</v>
      </c>
      <c r="E3377" t="s">
        <v>14970</v>
      </c>
      <c r="F3377" t="s">
        <v>14963</v>
      </c>
      <c r="G3377" t="s">
        <v>14964</v>
      </c>
      <c r="H3377">
        <v>37.602032000000001</v>
      </c>
      <c r="I3377">
        <v>55.863239</v>
      </c>
      <c r="J3377">
        <v>145</v>
      </c>
      <c r="K3377" t="s">
        <v>27</v>
      </c>
      <c r="L3377" t="s">
        <v>27</v>
      </c>
      <c r="M3377" t="s">
        <v>27</v>
      </c>
      <c r="N3377" t="s">
        <v>27</v>
      </c>
      <c r="O3377" t="s">
        <v>27</v>
      </c>
      <c r="P3377" t="s">
        <v>27</v>
      </c>
      <c r="Q3377" t="s">
        <v>27</v>
      </c>
      <c r="R3377" t="s">
        <v>15630</v>
      </c>
      <c r="S3377" t="s">
        <v>15631</v>
      </c>
      <c r="U3377" t="s">
        <v>15632</v>
      </c>
    </row>
    <row r="3378" spans="1:21" x14ac:dyDescent="0.25">
      <c r="A3378" t="s">
        <v>15633</v>
      </c>
      <c r="B3378" t="s">
        <v>38</v>
      </c>
      <c r="C3378" t="s">
        <v>15634</v>
      </c>
      <c r="D3378">
        <f>7-8005007800</f>
        <v>-8005007793</v>
      </c>
      <c r="E3378" t="s">
        <v>15088</v>
      </c>
      <c r="F3378" t="s">
        <v>14963</v>
      </c>
      <c r="G3378" t="s">
        <v>14964</v>
      </c>
      <c r="H3378">
        <v>44.074691999999999</v>
      </c>
      <c r="I3378">
        <v>56.306925999999997</v>
      </c>
      <c r="J3378">
        <v>145</v>
      </c>
      <c r="K3378" t="s">
        <v>27</v>
      </c>
      <c r="L3378" t="s">
        <v>27</v>
      </c>
      <c r="M3378" t="s">
        <v>27</v>
      </c>
      <c r="N3378" t="s">
        <v>27</v>
      </c>
      <c r="O3378" t="s">
        <v>27</v>
      </c>
      <c r="P3378" t="s">
        <v>27</v>
      </c>
      <c r="Q3378" t="s">
        <v>27</v>
      </c>
      <c r="R3378" t="s">
        <v>15634</v>
      </c>
      <c r="S3378" t="s">
        <v>15635</v>
      </c>
      <c r="T3378" t="s">
        <v>15636</v>
      </c>
      <c r="U3378" t="s">
        <v>15637</v>
      </c>
    </row>
    <row r="3379" spans="1:21" x14ac:dyDescent="0.25">
      <c r="A3379" t="s">
        <v>15638</v>
      </c>
      <c r="B3379" t="s">
        <v>22</v>
      </c>
      <c r="C3379" t="s">
        <v>15639</v>
      </c>
      <c r="D3379">
        <f>7-8005007800</f>
        <v>-8005007793</v>
      </c>
      <c r="E3379" t="s">
        <v>15640</v>
      </c>
      <c r="F3379" t="s">
        <v>14963</v>
      </c>
      <c r="G3379" t="s">
        <v>14964</v>
      </c>
      <c r="H3379">
        <v>135.09580800000001</v>
      </c>
      <c r="I3379">
        <v>48.477193999999997</v>
      </c>
      <c r="J3379">
        <v>270</v>
      </c>
      <c r="K3379" t="s">
        <v>27</v>
      </c>
      <c r="L3379" t="s">
        <v>27</v>
      </c>
      <c r="M3379" t="s">
        <v>27</v>
      </c>
      <c r="N3379" t="s">
        <v>27</v>
      </c>
      <c r="O3379" t="s">
        <v>27</v>
      </c>
      <c r="P3379" t="s">
        <v>27</v>
      </c>
      <c r="Q3379" t="s">
        <v>27</v>
      </c>
      <c r="R3379" t="s">
        <v>15639</v>
      </c>
      <c r="S3379" t="s">
        <v>15641</v>
      </c>
      <c r="T3379" t="s">
        <v>15642</v>
      </c>
      <c r="U3379" t="s">
        <v>15643</v>
      </c>
    </row>
    <row r="3380" spans="1:21" x14ac:dyDescent="0.25">
      <c r="A3380" t="s">
        <v>15644</v>
      </c>
      <c r="B3380" t="s">
        <v>38</v>
      </c>
      <c r="C3380" t="s">
        <v>15645</v>
      </c>
      <c r="E3380" t="s">
        <v>15036</v>
      </c>
      <c r="F3380" t="s">
        <v>14963</v>
      </c>
      <c r="G3380" t="s">
        <v>14964</v>
      </c>
      <c r="H3380">
        <v>60.613258000000002</v>
      </c>
      <c r="I3380">
        <v>56.916708999999997</v>
      </c>
      <c r="J3380">
        <v>185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  <c r="Q3380" t="s">
        <v>34</v>
      </c>
      <c r="R3380" t="s">
        <v>15645</v>
      </c>
      <c r="S3380" t="s">
        <v>15646</v>
      </c>
      <c r="T3380" t="s">
        <v>15647</v>
      </c>
      <c r="U3380" t="s">
        <v>15648</v>
      </c>
    </row>
    <row r="3381" spans="1:21" x14ac:dyDescent="0.25">
      <c r="A3381" t="s">
        <v>15649</v>
      </c>
      <c r="B3381" t="s">
        <v>2322</v>
      </c>
      <c r="C3381" t="s">
        <v>15650</v>
      </c>
      <c r="D3381">
        <f>7-8005007800</f>
        <v>-8005007793</v>
      </c>
      <c r="E3381" t="s">
        <v>14970</v>
      </c>
      <c r="F3381" t="s">
        <v>14963</v>
      </c>
      <c r="G3381" t="s">
        <v>14964</v>
      </c>
      <c r="H3381">
        <v>37.529756999999996</v>
      </c>
      <c r="I3381">
        <v>55.790855999999998</v>
      </c>
      <c r="J3381">
        <v>145</v>
      </c>
      <c r="K3381" t="s">
        <v>27</v>
      </c>
      <c r="L3381" t="s">
        <v>27</v>
      </c>
      <c r="M3381" t="s">
        <v>27</v>
      </c>
      <c r="N3381" t="s">
        <v>27</v>
      </c>
      <c r="O3381" t="s">
        <v>34</v>
      </c>
      <c r="P3381" t="s">
        <v>34</v>
      </c>
      <c r="Q3381" t="s">
        <v>27</v>
      </c>
      <c r="R3381" t="s">
        <v>15650</v>
      </c>
      <c r="S3381" t="s">
        <v>15651</v>
      </c>
      <c r="U3381" t="s">
        <v>15652</v>
      </c>
    </row>
    <row r="3382" spans="1:21" x14ac:dyDescent="0.25">
      <c r="A3382" t="s">
        <v>15653</v>
      </c>
      <c r="B3382" t="s">
        <v>2322</v>
      </c>
      <c r="C3382" t="s">
        <v>15654</v>
      </c>
      <c r="D3382">
        <f>7-8005007800</f>
        <v>-8005007793</v>
      </c>
      <c r="E3382" t="s">
        <v>14970</v>
      </c>
      <c r="F3382" t="s">
        <v>14963</v>
      </c>
      <c r="G3382" t="s">
        <v>14964</v>
      </c>
      <c r="H3382">
        <v>37.685173399999996</v>
      </c>
      <c r="I3382">
        <v>55.5606583</v>
      </c>
      <c r="J3382">
        <v>145</v>
      </c>
      <c r="K3382" t="s">
        <v>27</v>
      </c>
      <c r="L3382" t="s">
        <v>27</v>
      </c>
      <c r="M3382" t="s">
        <v>27</v>
      </c>
      <c r="N3382" t="s">
        <v>27</v>
      </c>
      <c r="O3382" t="s">
        <v>27</v>
      </c>
      <c r="P3382" t="s">
        <v>27</v>
      </c>
      <c r="Q3382" t="s">
        <v>27</v>
      </c>
      <c r="R3382" t="s">
        <v>15654</v>
      </c>
      <c r="S3382" t="s">
        <v>15655</v>
      </c>
      <c r="U3382" t="s">
        <v>15656</v>
      </c>
    </row>
    <row r="3383" spans="1:21" x14ac:dyDescent="0.25">
      <c r="A3383" t="s">
        <v>15657</v>
      </c>
      <c r="B3383" t="s">
        <v>2322</v>
      </c>
      <c r="C3383" t="s">
        <v>15658</v>
      </c>
      <c r="D3383">
        <f>7-8005007800</f>
        <v>-8005007793</v>
      </c>
      <c r="E3383" t="s">
        <v>14983</v>
      </c>
      <c r="F3383" t="s">
        <v>14963</v>
      </c>
      <c r="G3383" t="s">
        <v>14964</v>
      </c>
      <c r="H3383">
        <v>30.307845</v>
      </c>
      <c r="I3383">
        <v>59.963048999999998</v>
      </c>
      <c r="J3383">
        <v>145</v>
      </c>
      <c r="K3383" t="s">
        <v>27</v>
      </c>
      <c r="L3383" t="s">
        <v>27</v>
      </c>
      <c r="M3383" t="s">
        <v>27</v>
      </c>
      <c r="N3383" t="s">
        <v>27</v>
      </c>
      <c r="O3383" t="s">
        <v>27</v>
      </c>
      <c r="P3383" t="s">
        <v>27</v>
      </c>
      <c r="Q3383" t="s">
        <v>27</v>
      </c>
      <c r="R3383" t="s">
        <v>15658</v>
      </c>
      <c r="S3383" t="s">
        <v>15659</v>
      </c>
      <c r="U3383" t="s">
        <v>15660</v>
      </c>
    </row>
    <row r="3384" spans="1:21" x14ac:dyDescent="0.25">
      <c r="A3384" t="s">
        <v>15661</v>
      </c>
      <c r="B3384" t="s">
        <v>22</v>
      </c>
      <c r="C3384" t="s">
        <v>15662</v>
      </c>
      <c r="D3384">
        <f>966-135334673</f>
        <v>-135333707</v>
      </c>
      <c r="E3384" t="s">
        <v>15663</v>
      </c>
      <c r="F3384" t="s">
        <v>15664</v>
      </c>
      <c r="G3384" t="s">
        <v>15665</v>
      </c>
      <c r="H3384">
        <v>46.822519</v>
      </c>
      <c r="I3384">
        <v>24.750340999999999</v>
      </c>
      <c r="J3384">
        <v>158</v>
      </c>
      <c r="K3384" t="s">
        <v>3140</v>
      </c>
      <c r="L3384" t="s">
        <v>3140</v>
      </c>
      <c r="M3384" t="s">
        <v>3140</v>
      </c>
      <c r="N3384" t="s">
        <v>15666</v>
      </c>
      <c r="O3384" t="s">
        <v>15667</v>
      </c>
      <c r="P3384" t="s">
        <v>3140</v>
      </c>
      <c r="Q3384" t="s">
        <v>3140</v>
      </c>
      <c r="R3384" t="s">
        <v>15662</v>
      </c>
      <c r="U3384" t="s">
        <v>15668</v>
      </c>
    </row>
    <row r="3385" spans="1:21" x14ac:dyDescent="0.25">
      <c r="A3385" t="s">
        <v>15669</v>
      </c>
      <c r="B3385" t="s">
        <v>38</v>
      </c>
      <c r="C3385" t="s">
        <v>15670</v>
      </c>
      <c r="D3385">
        <f>966-582414838</f>
        <v>-582413872</v>
      </c>
      <c r="E3385" t="s">
        <v>15671</v>
      </c>
      <c r="F3385" t="s">
        <v>15664</v>
      </c>
      <c r="G3385" t="s">
        <v>15665</v>
      </c>
      <c r="H3385">
        <v>39.800327000000003</v>
      </c>
      <c r="I3385">
        <v>21.441507999999999</v>
      </c>
      <c r="J3385">
        <v>158</v>
      </c>
      <c r="K3385" t="s">
        <v>3140</v>
      </c>
      <c r="L3385" t="s">
        <v>3140</v>
      </c>
      <c r="M3385" t="s">
        <v>3140</v>
      </c>
      <c r="N3385" t="s">
        <v>3140</v>
      </c>
      <c r="O3385" t="s">
        <v>15672</v>
      </c>
      <c r="P3385" t="s">
        <v>3140</v>
      </c>
      <c r="Q3385" t="s">
        <v>3140</v>
      </c>
      <c r="R3385" t="s">
        <v>15670</v>
      </c>
      <c r="S3385" t="s">
        <v>15673</v>
      </c>
      <c r="U3385" t="s">
        <v>15674</v>
      </c>
    </row>
    <row r="3386" spans="1:21" x14ac:dyDescent="0.25">
      <c r="A3386" t="s">
        <v>15675</v>
      </c>
      <c r="B3386" t="s">
        <v>22</v>
      </c>
      <c r="C3386" t="s">
        <v>15676</v>
      </c>
      <c r="D3386">
        <f>966-48278961</f>
        <v>-48277995</v>
      </c>
      <c r="E3386" t="s">
        <v>15677</v>
      </c>
      <c r="F3386" t="s">
        <v>15664</v>
      </c>
      <c r="G3386" t="s">
        <v>15665</v>
      </c>
      <c r="H3386">
        <v>39.613402000000001</v>
      </c>
      <c r="I3386">
        <v>24.471347999999999</v>
      </c>
      <c r="J3386">
        <v>158</v>
      </c>
      <c r="K3386" t="s">
        <v>15678</v>
      </c>
      <c r="L3386" t="s">
        <v>15678</v>
      </c>
      <c r="M3386" t="s">
        <v>15678</v>
      </c>
      <c r="N3386" t="s">
        <v>15678</v>
      </c>
      <c r="O3386" t="s">
        <v>15678</v>
      </c>
      <c r="P3386" t="s">
        <v>15678</v>
      </c>
      <c r="Q3386" t="s">
        <v>15678</v>
      </c>
      <c r="R3386" t="s">
        <v>15676</v>
      </c>
      <c r="S3386" t="s">
        <v>15679</v>
      </c>
      <c r="U3386" t="s">
        <v>15680</v>
      </c>
    </row>
    <row r="3387" spans="1:21" x14ac:dyDescent="0.25">
      <c r="A3387" t="s">
        <v>15681</v>
      </c>
      <c r="B3387" t="s">
        <v>38</v>
      </c>
      <c r="C3387" t="s">
        <v>15682</v>
      </c>
      <c r="D3387">
        <f>966-126120379</f>
        <v>-126119413</v>
      </c>
      <c r="E3387" t="s">
        <v>15683</v>
      </c>
      <c r="F3387" t="s">
        <v>15664</v>
      </c>
      <c r="G3387" t="s">
        <v>15665</v>
      </c>
      <c r="H3387">
        <v>39.153350000000003</v>
      </c>
      <c r="I3387">
        <v>21.615563999999999</v>
      </c>
      <c r="J3387">
        <v>158</v>
      </c>
      <c r="K3387" t="s">
        <v>3140</v>
      </c>
      <c r="L3387" t="s">
        <v>3140</v>
      </c>
      <c r="M3387" t="s">
        <v>3140</v>
      </c>
      <c r="N3387" t="s">
        <v>3140</v>
      </c>
      <c r="O3387" t="s">
        <v>15684</v>
      </c>
      <c r="P3387" t="s">
        <v>3140</v>
      </c>
      <c r="Q3387" t="s">
        <v>3140</v>
      </c>
      <c r="R3387" t="s">
        <v>15682</v>
      </c>
      <c r="S3387" t="s">
        <v>15685</v>
      </c>
      <c r="U3387" t="s">
        <v>15686</v>
      </c>
    </row>
    <row r="3388" spans="1:21" x14ac:dyDescent="0.25">
      <c r="A3388" t="s">
        <v>15687</v>
      </c>
      <c r="B3388" t="s">
        <v>22</v>
      </c>
      <c r="C3388" t="s">
        <v>15688</v>
      </c>
      <c r="D3388">
        <f>966-26305084</f>
        <v>-26304118</v>
      </c>
      <c r="E3388" t="s">
        <v>15683</v>
      </c>
      <c r="F3388" t="s">
        <v>15664</v>
      </c>
      <c r="G3388" t="s">
        <v>15665</v>
      </c>
      <c r="H3388">
        <v>39.218423000000001</v>
      </c>
      <c r="I3388">
        <v>21.507334</v>
      </c>
      <c r="J3388">
        <v>158</v>
      </c>
      <c r="K3388" t="s">
        <v>3140</v>
      </c>
      <c r="L3388" t="s">
        <v>3140</v>
      </c>
      <c r="M3388" t="s">
        <v>3140</v>
      </c>
      <c r="N3388" t="s">
        <v>3140</v>
      </c>
      <c r="O3388" t="s">
        <v>15689</v>
      </c>
      <c r="P3388" t="s">
        <v>3140</v>
      </c>
      <c r="Q3388" t="s">
        <v>3140</v>
      </c>
      <c r="R3388" t="s">
        <v>15688</v>
      </c>
      <c r="S3388" t="s">
        <v>15690</v>
      </c>
      <c r="U3388" t="s">
        <v>15691</v>
      </c>
    </row>
    <row r="3389" spans="1:21" x14ac:dyDescent="0.25">
      <c r="A3389" t="s">
        <v>15692</v>
      </c>
      <c r="B3389" t="s">
        <v>22</v>
      </c>
      <c r="C3389" t="s">
        <v>15693</v>
      </c>
      <c r="D3389">
        <f>966-122327878</f>
        <v>-122326912</v>
      </c>
      <c r="E3389" t="s">
        <v>15671</v>
      </c>
      <c r="F3389" t="s">
        <v>15664</v>
      </c>
      <c r="G3389" t="s">
        <v>15665</v>
      </c>
      <c r="H3389">
        <v>39.822620000000001</v>
      </c>
      <c r="I3389">
        <v>21.411570000000001</v>
      </c>
      <c r="J3389">
        <v>158</v>
      </c>
      <c r="K3389" t="s">
        <v>15694</v>
      </c>
      <c r="L3389" t="s">
        <v>15694</v>
      </c>
      <c r="M3389" t="s">
        <v>15694</v>
      </c>
      <c r="N3389" t="s">
        <v>15695</v>
      </c>
      <c r="O3389" t="s">
        <v>15695</v>
      </c>
      <c r="P3389" t="s">
        <v>15695</v>
      </c>
      <c r="Q3389" t="s">
        <v>15694</v>
      </c>
      <c r="R3389" t="s">
        <v>15693</v>
      </c>
      <c r="U3389" t="s">
        <v>15696</v>
      </c>
    </row>
    <row r="3390" spans="1:21" x14ac:dyDescent="0.25">
      <c r="A3390" t="s">
        <v>15697</v>
      </c>
      <c r="B3390" t="s">
        <v>22</v>
      </c>
      <c r="C3390" t="s">
        <v>15698</v>
      </c>
      <c r="D3390">
        <f>966-122617525</f>
        <v>-122616559</v>
      </c>
      <c r="E3390" t="s">
        <v>15683</v>
      </c>
      <c r="F3390" t="s">
        <v>15664</v>
      </c>
      <c r="G3390" t="s">
        <v>15665</v>
      </c>
      <c r="H3390">
        <v>39.146960999999997</v>
      </c>
      <c r="I3390">
        <v>21.549177</v>
      </c>
      <c r="J3390">
        <v>158</v>
      </c>
      <c r="K3390" t="s">
        <v>3140</v>
      </c>
      <c r="L3390" t="s">
        <v>3140</v>
      </c>
      <c r="M3390" t="s">
        <v>3140</v>
      </c>
      <c r="N3390" t="s">
        <v>3140</v>
      </c>
      <c r="O3390" t="s">
        <v>15699</v>
      </c>
      <c r="P3390" t="s">
        <v>3140</v>
      </c>
      <c r="Q3390" t="s">
        <v>3140</v>
      </c>
      <c r="R3390" t="s">
        <v>15698</v>
      </c>
      <c r="S3390" t="s">
        <v>15700</v>
      </c>
      <c r="U3390" t="s">
        <v>15701</v>
      </c>
    </row>
    <row r="3391" spans="1:21" x14ac:dyDescent="0.25">
      <c r="A3391" t="s">
        <v>15702</v>
      </c>
      <c r="B3391" t="s">
        <v>22</v>
      </c>
      <c r="C3391" t="s">
        <v>15703</v>
      </c>
      <c r="D3391">
        <f>966-542844814</f>
        <v>-542843848</v>
      </c>
      <c r="E3391" t="s">
        <v>15663</v>
      </c>
      <c r="F3391" t="s">
        <v>15664</v>
      </c>
      <c r="G3391" t="s">
        <v>15665</v>
      </c>
      <c r="H3391">
        <v>46.683340999999999</v>
      </c>
      <c r="I3391">
        <v>24.737583999999998</v>
      </c>
      <c r="J3391">
        <v>158</v>
      </c>
      <c r="K3391" t="s">
        <v>3140</v>
      </c>
      <c r="L3391" t="s">
        <v>3140</v>
      </c>
      <c r="M3391" t="s">
        <v>3140</v>
      </c>
      <c r="N3391" t="s">
        <v>3140</v>
      </c>
      <c r="O3391" t="s">
        <v>15689</v>
      </c>
      <c r="P3391" t="s">
        <v>3140</v>
      </c>
      <c r="Q3391" t="s">
        <v>3140</v>
      </c>
      <c r="R3391" t="s">
        <v>15703</v>
      </c>
      <c r="S3391" t="s">
        <v>15704</v>
      </c>
      <c r="U3391" t="s">
        <v>15705</v>
      </c>
    </row>
    <row r="3392" spans="1:21" x14ac:dyDescent="0.25">
      <c r="A3392" t="s">
        <v>15706</v>
      </c>
      <c r="B3392" t="s">
        <v>38</v>
      </c>
      <c r="C3392" t="s">
        <v>15707</v>
      </c>
      <c r="D3392">
        <f>966-115101207</f>
        <v>-115100241</v>
      </c>
      <c r="E3392" t="s">
        <v>15663</v>
      </c>
      <c r="F3392" t="s">
        <v>15664</v>
      </c>
      <c r="G3392" t="s">
        <v>15665</v>
      </c>
      <c r="H3392">
        <v>46.697873999999999</v>
      </c>
      <c r="I3392">
        <v>24.600404999999999</v>
      </c>
      <c r="J3392">
        <v>158</v>
      </c>
      <c r="K3392" t="s">
        <v>3140</v>
      </c>
      <c r="L3392" t="s">
        <v>3140</v>
      </c>
      <c r="M3392" t="s">
        <v>3140</v>
      </c>
      <c r="N3392" t="s">
        <v>3140</v>
      </c>
      <c r="O3392" t="s">
        <v>15699</v>
      </c>
      <c r="P3392" t="s">
        <v>3140</v>
      </c>
      <c r="Q3392" t="s">
        <v>3140</v>
      </c>
      <c r="R3392" t="s">
        <v>15707</v>
      </c>
      <c r="U3392" t="s">
        <v>15708</v>
      </c>
    </row>
    <row r="3393" spans="1:21" x14ac:dyDescent="0.25">
      <c r="A3393" t="s">
        <v>15709</v>
      </c>
      <c r="B3393" t="s">
        <v>22</v>
      </c>
      <c r="C3393" t="s">
        <v>15710</v>
      </c>
      <c r="D3393">
        <f>966-136678500</f>
        <v>-136677534</v>
      </c>
      <c r="E3393" t="s">
        <v>15710</v>
      </c>
      <c r="F3393" t="s">
        <v>15664</v>
      </c>
      <c r="G3393" t="s">
        <v>15665</v>
      </c>
      <c r="H3393">
        <v>50.117089999999997</v>
      </c>
      <c r="I3393">
        <v>26.399775000000002</v>
      </c>
      <c r="J3393">
        <v>158</v>
      </c>
      <c r="K3393" t="s">
        <v>3140</v>
      </c>
      <c r="L3393" t="s">
        <v>3140</v>
      </c>
      <c r="M3393" t="s">
        <v>3140</v>
      </c>
      <c r="N3393" t="s">
        <v>3140</v>
      </c>
      <c r="O3393" t="s">
        <v>15699</v>
      </c>
      <c r="P3393" t="s">
        <v>3140</v>
      </c>
      <c r="Q3393" t="s">
        <v>3140</v>
      </c>
      <c r="R3393" t="s">
        <v>15710</v>
      </c>
      <c r="S3393" t="s">
        <v>15711</v>
      </c>
      <c r="U3393" t="s">
        <v>15712</v>
      </c>
    </row>
    <row r="3394" spans="1:21" x14ac:dyDescent="0.25">
      <c r="A3394" t="s">
        <v>15713</v>
      </c>
      <c r="B3394" t="s">
        <v>38</v>
      </c>
      <c r="C3394" t="s">
        <v>15714</v>
      </c>
      <c r="D3394">
        <f>966-122617509</f>
        <v>-122616543</v>
      </c>
      <c r="E3394" t="s">
        <v>15714</v>
      </c>
      <c r="F3394" t="s">
        <v>15664</v>
      </c>
      <c r="G3394" t="s">
        <v>15665</v>
      </c>
      <c r="H3394">
        <v>38.193033999999997</v>
      </c>
      <c r="I3394">
        <v>24.033424</v>
      </c>
      <c r="J3394">
        <v>158</v>
      </c>
      <c r="K3394" t="s">
        <v>3140</v>
      </c>
      <c r="L3394" t="s">
        <v>3140</v>
      </c>
      <c r="M3394" t="s">
        <v>3140</v>
      </c>
      <c r="N3394" t="s">
        <v>3140</v>
      </c>
      <c r="O3394" t="s">
        <v>15699</v>
      </c>
      <c r="P3394" t="s">
        <v>3140</v>
      </c>
      <c r="Q3394" t="s">
        <v>3140</v>
      </c>
      <c r="R3394" t="s">
        <v>15714</v>
      </c>
      <c r="S3394" t="s">
        <v>15715</v>
      </c>
      <c r="U3394" t="s">
        <v>15716</v>
      </c>
    </row>
    <row r="3395" spans="1:21" x14ac:dyDescent="0.25">
      <c r="A3395" t="s">
        <v>15717</v>
      </c>
      <c r="B3395" t="s">
        <v>38</v>
      </c>
      <c r="C3395" t="s">
        <v>15718</v>
      </c>
      <c r="D3395">
        <f>966-135334673</f>
        <v>-135333707</v>
      </c>
      <c r="E3395" t="s">
        <v>15719</v>
      </c>
      <c r="F3395" t="s">
        <v>15664</v>
      </c>
      <c r="G3395" t="s">
        <v>15665</v>
      </c>
      <c r="H3395">
        <v>49.577298999999996</v>
      </c>
      <c r="I3395">
        <v>25.399843000000001</v>
      </c>
      <c r="J3395">
        <v>158</v>
      </c>
      <c r="K3395" t="s">
        <v>3140</v>
      </c>
      <c r="L3395" t="s">
        <v>3140</v>
      </c>
      <c r="M3395" t="s">
        <v>3140</v>
      </c>
      <c r="N3395" t="s">
        <v>15666</v>
      </c>
      <c r="O3395" t="s">
        <v>15667</v>
      </c>
      <c r="P3395" t="s">
        <v>3140</v>
      </c>
      <c r="Q3395" t="s">
        <v>3140</v>
      </c>
      <c r="R3395" t="s">
        <v>15718</v>
      </c>
      <c r="U3395" t="s">
        <v>15720</v>
      </c>
    </row>
    <row r="3396" spans="1:21" x14ac:dyDescent="0.25">
      <c r="A3396" t="s">
        <v>15721</v>
      </c>
      <c r="B3396" t="s">
        <v>38</v>
      </c>
      <c r="C3396" t="s">
        <v>15722</v>
      </c>
      <c r="D3396">
        <f>966-542084870</f>
        <v>-542083904</v>
      </c>
      <c r="E3396" t="s">
        <v>15683</v>
      </c>
      <c r="F3396" t="s">
        <v>15664</v>
      </c>
      <c r="G3396" t="s">
        <v>15665</v>
      </c>
      <c r="H3396">
        <v>39.241078999999999</v>
      </c>
      <c r="I3396">
        <v>21.483098999999999</v>
      </c>
      <c r="J3396">
        <v>158</v>
      </c>
      <c r="K3396" t="s">
        <v>3140</v>
      </c>
      <c r="L3396" t="s">
        <v>3140</v>
      </c>
      <c r="M3396" t="s">
        <v>3140</v>
      </c>
      <c r="N3396" t="s">
        <v>3140</v>
      </c>
      <c r="O3396" t="s">
        <v>15689</v>
      </c>
      <c r="P3396" t="s">
        <v>3140</v>
      </c>
      <c r="Q3396" t="s">
        <v>3140</v>
      </c>
      <c r="R3396" t="s">
        <v>15722</v>
      </c>
      <c r="S3396" t="s">
        <v>15723</v>
      </c>
      <c r="U3396" t="s">
        <v>15724</v>
      </c>
    </row>
    <row r="3397" spans="1:21" x14ac:dyDescent="0.25">
      <c r="A3397" t="s">
        <v>15725</v>
      </c>
      <c r="B3397" t="s">
        <v>22</v>
      </c>
      <c r="C3397" t="s">
        <v>15726</v>
      </c>
      <c r="D3397">
        <f>966-12572294</f>
        <v>-12571328</v>
      </c>
      <c r="E3397" t="s">
        <v>15663</v>
      </c>
      <c r="F3397" t="s">
        <v>15664</v>
      </c>
      <c r="G3397" t="s">
        <v>15665</v>
      </c>
      <c r="H3397">
        <v>46.775509999999997</v>
      </c>
      <c r="I3397">
        <v>24.684687</v>
      </c>
      <c r="J3397">
        <v>158</v>
      </c>
      <c r="K3397" t="s">
        <v>3140</v>
      </c>
      <c r="L3397" t="s">
        <v>3140</v>
      </c>
      <c r="M3397" t="s">
        <v>3140</v>
      </c>
      <c r="N3397" t="s">
        <v>3140</v>
      </c>
      <c r="O3397" t="s">
        <v>15684</v>
      </c>
      <c r="P3397" t="s">
        <v>3140</v>
      </c>
      <c r="Q3397" t="s">
        <v>3140</v>
      </c>
      <c r="R3397" t="s">
        <v>15726</v>
      </c>
      <c r="S3397" t="s">
        <v>15727</v>
      </c>
      <c r="U3397" t="s">
        <v>15728</v>
      </c>
    </row>
    <row r="3398" spans="1:21" x14ac:dyDescent="0.25">
      <c r="A3398" t="s">
        <v>15729</v>
      </c>
      <c r="B3398" t="s">
        <v>22</v>
      </c>
      <c r="C3398" t="s">
        <v>15730</v>
      </c>
      <c r="D3398">
        <f>966-115107942</f>
        <v>-115106976</v>
      </c>
      <c r="E3398" t="s">
        <v>15663</v>
      </c>
      <c r="F3398" t="s">
        <v>15664</v>
      </c>
      <c r="G3398" t="s">
        <v>15665</v>
      </c>
      <c r="H3398">
        <v>46.730463</v>
      </c>
      <c r="I3398">
        <v>24.780539999999998</v>
      </c>
      <c r="J3398">
        <v>158</v>
      </c>
      <c r="K3398" t="s">
        <v>3140</v>
      </c>
      <c r="L3398" t="s">
        <v>3140</v>
      </c>
      <c r="M3398" t="s">
        <v>3140</v>
      </c>
      <c r="N3398" t="s">
        <v>3140</v>
      </c>
      <c r="O3398" t="s">
        <v>15699</v>
      </c>
      <c r="P3398" t="s">
        <v>3140</v>
      </c>
      <c r="Q3398" t="s">
        <v>3140</v>
      </c>
      <c r="R3398" t="s">
        <v>15730</v>
      </c>
      <c r="S3398" t="s">
        <v>15731</v>
      </c>
      <c r="U3398" t="s">
        <v>15732</v>
      </c>
    </row>
    <row r="3399" spans="1:21" x14ac:dyDescent="0.25">
      <c r="A3399" t="s">
        <v>15733</v>
      </c>
      <c r="B3399" t="s">
        <v>32</v>
      </c>
      <c r="C3399" t="s">
        <v>15734</v>
      </c>
      <c r="D3399">
        <f>966-22150782</f>
        <v>-22149816</v>
      </c>
      <c r="E3399" t="s">
        <v>15683</v>
      </c>
      <c r="F3399" t="s">
        <v>15664</v>
      </c>
      <c r="G3399" t="s">
        <v>15665</v>
      </c>
      <c r="H3399">
        <v>39.110824999999998</v>
      </c>
      <c r="I3399">
        <v>21.628782000000001</v>
      </c>
      <c r="J3399">
        <v>158</v>
      </c>
      <c r="K3399" t="s">
        <v>3140</v>
      </c>
      <c r="L3399" t="s">
        <v>3140</v>
      </c>
      <c r="M3399" t="s">
        <v>3140</v>
      </c>
      <c r="N3399" t="s">
        <v>3140</v>
      </c>
      <c r="O3399" t="s">
        <v>15735</v>
      </c>
      <c r="P3399" t="s">
        <v>3140</v>
      </c>
      <c r="Q3399" t="s">
        <v>3140</v>
      </c>
      <c r="R3399" t="s">
        <v>15734</v>
      </c>
      <c r="S3399" t="s">
        <v>15736</v>
      </c>
      <c r="U3399" t="s">
        <v>15737</v>
      </c>
    </row>
    <row r="3400" spans="1:21" x14ac:dyDescent="0.25">
      <c r="A3400" t="s">
        <v>15738</v>
      </c>
      <c r="B3400" t="s">
        <v>38</v>
      </c>
      <c r="C3400" t="s">
        <v>15739</v>
      </c>
      <c r="D3400">
        <f>966-555789526</f>
        <v>-555788560</v>
      </c>
      <c r="E3400" t="s">
        <v>15740</v>
      </c>
      <c r="F3400" t="s">
        <v>15664</v>
      </c>
      <c r="G3400" t="s">
        <v>15665</v>
      </c>
      <c r="H3400">
        <v>42.765239000000001</v>
      </c>
      <c r="I3400">
        <v>18.245965000000002</v>
      </c>
      <c r="J3400">
        <v>158</v>
      </c>
      <c r="K3400" t="s">
        <v>3140</v>
      </c>
      <c r="L3400" t="s">
        <v>3140</v>
      </c>
      <c r="M3400" t="s">
        <v>3140</v>
      </c>
      <c r="N3400" t="s">
        <v>3140</v>
      </c>
      <c r="O3400" t="s">
        <v>15699</v>
      </c>
      <c r="P3400" t="s">
        <v>3140</v>
      </c>
      <c r="Q3400" t="s">
        <v>3140</v>
      </c>
      <c r="R3400" t="s">
        <v>15739</v>
      </c>
      <c r="S3400" t="s">
        <v>15741</v>
      </c>
      <c r="U3400" t="s">
        <v>15742</v>
      </c>
    </row>
    <row r="3401" spans="1:21" x14ac:dyDescent="0.25">
      <c r="A3401" t="s">
        <v>15743</v>
      </c>
      <c r="B3401" t="s">
        <v>22</v>
      </c>
      <c r="C3401" t="s">
        <v>15744</v>
      </c>
      <c r="D3401">
        <f>966-115101404</f>
        <v>-115100438</v>
      </c>
      <c r="E3401" t="s">
        <v>15663</v>
      </c>
      <c r="F3401" t="s">
        <v>15664</v>
      </c>
      <c r="G3401" t="s">
        <v>15665</v>
      </c>
      <c r="H3401">
        <v>40.415596000000001</v>
      </c>
      <c r="I3401">
        <v>21.264686000000001</v>
      </c>
      <c r="J3401">
        <v>158</v>
      </c>
      <c r="K3401" t="s">
        <v>3140</v>
      </c>
      <c r="L3401" t="s">
        <v>3140</v>
      </c>
      <c r="M3401" t="s">
        <v>3140</v>
      </c>
      <c r="N3401" t="s">
        <v>3140</v>
      </c>
      <c r="O3401" t="s">
        <v>15689</v>
      </c>
      <c r="P3401" t="s">
        <v>3140</v>
      </c>
      <c r="Q3401" t="s">
        <v>3140</v>
      </c>
      <c r="R3401" t="s">
        <v>15744</v>
      </c>
      <c r="S3401" t="s">
        <v>15745</v>
      </c>
      <c r="U3401" t="s">
        <v>15746</v>
      </c>
    </row>
    <row r="3402" spans="1:21" x14ac:dyDescent="0.25">
      <c r="A3402" t="s">
        <v>15747</v>
      </c>
      <c r="B3402" t="s">
        <v>22</v>
      </c>
      <c r="C3402" t="s">
        <v>15748</v>
      </c>
      <c r="D3402">
        <f>966-122617564</f>
        <v>-122616598</v>
      </c>
      <c r="E3402" t="s">
        <v>15677</v>
      </c>
      <c r="F3402" t="s">
        <v>15664</v>
      </c>
      <c r="G3402" t="s">
        <v>15665</v>
      </c>
      <c r="H3402">
        <v>39.648989999999998</v>
      </c>
      <c r="I3402">
        <v>24.487793</v>
      </c>
      <c r="J3402">
        <v>158</v>
      </c>
      <c r="K3402" t="s">
        <v>3140</v>
      </c>
      <c r="L3402" t="s">
        <v>3140</v>
      </c>
      <c r="M3402" t="s">
        <v>3140</v>
      </c>
      <c r="N3402" t="s">
        <v>3140</v>
      </c>
      <c r="O3402" t="s">
        <v>15672</v>
      </c>
      <c r="P3402" t="s">
        <v>3140</v>
      </c>
      <c r="Q3402" t="s">
        <v>3140</v>
      </c>
      <c r="R3402" t="s">
        <v>15748</v>
      </c>
      <c r="S3402" t="s">
        <v>15749</v>
      </c>
      <c r="U3402" t="s">
        <v>15750</v>
      </c>
    </row>
    <row r="3403" spans="1:21" x14ac:dyDescent="0.25">
      <c r="A3403" t="s">
        <v>15751</v>
      </c>
      <c r="B3403" t="s">
        <v>38</v>
      </c>
      <c r="C3403" t="s">
        <v>15752</v>
      </c>
      <c r="D3403">
        <f>966-111865</f>
        <v>-110899</v>
      </c>
      <c r="E3403" t="s">
        <v>15663</v>
      </c>
      <c r="F3403" t="s">
        <v>15664</v>
      </c>
      <c r="G3403" t="s">
        <v>15665</v>
      </c>
      <c r="H3403">
        <v>46.611364999999999</v>
      </c>
      <c r="I3403">
        <v>24.791043999999999</v>
      </c>
      <c r="J3403">
        <v>158</v>
      </c>
      <c r="K3403" t="s">
        <v>3140</v>
      </c>
      <c r="L3403" t="s">
        <v>3140</v>
      </c>
      <c r="M3403" t="s">
        <v>3140</v>
      </c>
      <c r="N3403" t="s">
        <v>3140</v>
      </c>
      <c r="O3403" t="s">
        <v>15689</v>
      </c>
      <c r="P3403" t="s">
        <v>3140</v>
      </c>
      <c r="Q3403" t="s">
        <v>3140</v>
      </c>
      <c r="R3403" t="s">
        <v>15752</v>
      </c>
      <c r="S3403" t="s">
        <v>15753</v>
      </c>
      <c r="U3403" t="s">
        <v>15754</v>
      </c>
    </row>
    <row r="3404" spans="1:21" x14ac:dyDescent="0.25">
      <c r="A3404" t="s">
        <v>15755</v>
      </c>
      <c r="B3404" t="s">
        <v>38</v>
      </c>
      <c r="C3404" t="s">
        <v>15756</v>
      </c>
      <c r="D3404">
        <f>966-115111952</f>
        <v>-115110986</v>
      </c>
      <c r="E3404" t="s">
        <v>15757</v>
      </c>
      <c r="F3404" t="s">
        <v>15664</v>
      </c>
      <c r="G3404" t="s">
        <v>15665</v>
      </c>
      <c r="H3404">
        <v>41.676867000000001</v>
      </c>
      <c r="I3404">
        <v>27.473886</v>
      </c>
      <c r="J3404">
        <v>158</v>
      </c>
      <c r="K3404" t="s">
        <v>3140</v>
      </c>
      <c r="L3404" t="s">
        <v>3140</v>
      </c>
      <c r="M3404" t="s">
        <v>3140</v>
      </c>
      <c r="N3404" t="s">
        <v>3140</v>
      </c>
      <c r="O3404" t="s">
        <v>15758</v>
      </c>
      <c r="P3404" t="s">
        <v>3140</v>
      </c>
      <c r="Q3404" t="s">
        <v>3140</v>
      </c>
      <c r="R3404" t="s">
        <v>15756</v>
      </c>
      <c r="S3404" t="s">
        <v>15759</v>
      </c>
      <c r="U3404" t="s">
        <v>15760</v>
      </c>
    </row>
    <row r="3405" spans="1:21" x14ac:dyDescent="0.25">
      <c r="A3405" t="s">
        <v>15761</v>
      </c>
      <c r="B3405" t="s">
        <v>38</v>
      </c>
      <c r="C3405" t="s">
        <v>15762</v>
      </c>
      <c r="D3405">
        <f>966-27480287</f>
        <v>-27479321</v>
      </c>
      <c r="E3405" t="s">
        <v>15763</v>
      </c>
      <c r="F3405" t="s">
        <v>15664</v>
      </c>
      <c r="G3405" t="s">
        <v>15665</v>
      </c>
      <c r="H3405">
        <v>40.412241000000002</v>
      </c>
      <c r="I3405">
        <v>21.249924</v>
      </c>
      <c r="J3405">
        <v>158</v>
      </c>
      <c r="K3405" t="s">
        <v>3140</v>
      </c>
      <c r="L3405" t="s">
        <v>3140</v>
      </c>
      <c r="M3405" t="s">
        <v>3140</v>
      </c>
      <c r="N3405" t="s">
        <v>3140</v>
      </c>
      <c r="O3405" t="s">
        <v>15672</v>
      </c>
      <c r="P3405" t="s">
        <v>3140</v>
      </c>
      <c r="Q3405" t="s">
        <v>3140</v>
      </c>
      <c r="R3405" t="s">
        <v>15762</v>
      </c>
      <c r="U3405" t="s">
        <v>15764</v>
      </c>
    </row>
    <row r="3406" spans="1:21" x14ac:dyDescent="0.25">
      <c r="A3406" t="s">
        <v>15765</v>
      </c>
      <c r="B3406" t="s">
        <v>38</v>
      </c>
      <c r="C3406" t="s">
        <v>15766</v>
      </c>
      <c r="D3406">
        <f>966-115102339</f>
        <v>-115101373</v>
      </c>
      <c r="E3406" t="s">
        <v>15767</v>
      </c>
      <c r="F3406" t="s">
        <v>15664</v>
      </c>
      <c r="G3406" t="s">
        <v>15665</v>
      </c>
      <c r="H3406">
        <v>47.264887000000002</v>
      </c>
      <c r="I3406">
        <v>24.129746000000001</v>
      </c>
      <c r="J3406">
        <v>158</v>
      </c>
      <c r="K3406" t="s">
        <v>3140</v>
      </c>
      <c r="L3406" t="s">
        <v>3140</v>
      </c>
      <c r="M3406" t="s">
        <v>3140</v>
      </c>
      <c r="N3406" t="s">
        <v>3140</v>
      </c>
      <c r="O3406" t="s">
        <v>15689</v>
      </c>
      <c r="P3406" t="s">
        <v>3140</v>
      </c>
      <c r="Q3406" t="s">
        <v>3140</v>
      </c>
      <c r="R3406" t="s">
        <v>15766</v>
      </c>
      <c r="U3406" t="s">
        <v>15768</v>
      </c>
    </row>
    <row r="3407" spans="1:21" x14ac:dyDescent="0.25">
      <c r="A3407" t="s">
        <v>15769</v>
      </c>
      <c r="B3407" t="s">
        <v>38</v>
      </c>
      <c r="C3407" t="s">
        <v>15770</v>
      </c>
      <c r="D3407">
        <f>966-115102368</f>
        <v>-115101402</v>
      </c>
      <c r="E3407" t="s">
        <v>15771</v>
      </c>
      <c r="F3407" t="s">
        <v>15664</v>
      </c>
      <c r="G3407" t="s">
        <v>15665</v>
      </c>
      <c r="H3407">
        <v>43.470979999999997</v>
      </c>
      <c r="I3407">
        <v>25.897027999999999</v>
      </c>
      <c r="J3407">
        <v>158</v>
      </c>
      <c r="K3407" t="s">
        <v>3140</v>
      </c>
      <c r="L3407" t="s">
        <v>3140</v>
      </c>
      <c r="M3407" t="s">
        <v>3140</v>
      </c>
      <c r="N3407" t="s">
        <v>3140</v>
      </c>
      <c r="O3407" t="s">
        <v>15672</v>
      </c>
      <c r="P3407" t="s">
        <v>3140</v>
      </c>
      <c r="Q3407" t="s">
        <v>3140</v>
      </c>
      <c r="R3407" t="s">
        <v>15770</v>
      </c>
      <c r="U3407" t="s">
        <v>15772</v>
      </c>
    </row>
    <row r="3408" spans="1:21" x14ac:dyDescent="0.25">
      <c r="A3408" t="s">
        <v>15773</v>
      </c>
      <c r="B3408" t="s">
        <v>38</v>
      </c>
      <c r="C3408" t="s">
        <v>15774</v>
      </c>
      <c r="D3408">
        <f>966-122157166</f>
        <v>-122156200</v>
      </c>
      <c r="E3408" t="s">
        <v>15683</v>
      </c>
      <c r="F3408" t="s">
        <v>15664</v>
      </c>
      <c r="G3408" t="s">
        <v>15665</v>
      </c>
      <c r="H3408">
        <v>39.109526000000002</v>
      </c>
      <c r="I3408">
        <v>21.665317999999999</v>
      </c>
      <c r="J3408">
        <v>158</v>
      </c>
      <c r="K3408" t="s">
        <v>3140</v>
      </c>
      <c r="L3408" t="s">
        <v>3140</v>
      </c>
      <c r="M3408" t="s">
        <v>3140</v>
      </c>
      <c r="N3408" t="s">
        <v>3140</v>
      </c>
      <c r="O3408" t="s">
        <v>15699</v>
      </c>
      <c r="P3408" t="s">
        <v>3140</v>
      </c>
      <c r="Q3408" t="s">
        <v>3140</v>
      </c>
      <c r="R3408" t="s">
        <v>15774</v>
      </c>
      <c r="S3408" t="s">
        <v>15775</v>
      </c>
      <c r="U3408" t="s">
        <v>15776</v>
      </c>
    </row>
    <row r="3409" spans="1:21" x14ac:dyDescent="0.25">
      <c r="A3409" t="s">
        <v>15777</v>
      </c>
      <c r="B3409" t="s">
        <v>38</v>
      </c>
      <c r="C3409" t="s">
        <v>15778</v>
      </c>
      <c r="D3409">
        <f>966-115101421</f>
        <v>-115100455</v>
      </c>
      <c r="E3409" t="s">
        <v>15663</v>
      </c>
      <c r="F3409" t="s">
        <v>15664</v>
      </c>
      <c r="G3409" t="s">
        <v>15665</v>
      </c>
      <c r="H3409">
        <v>46.778239999999997</v>
      </c>
      <c r="I3409">
        <v>24.734670000000001</v>
      </c>
      <c r="J3409">
        <v>158</v>
      </c>
      <c r="K3409" t="s">
        <v>3140</v>
      </c>
      <c r="L3409" t="s">
        <v>3140</v>
      </c>
      <c r="M3409" t="s">
        <v>3140</v>
      </c>
      <c r="N3409" t="s">
        <v>3140</v>
      </c>
      <c r="O3409" t="s">
        <v>15689</v>
      </c>
      <c r="P3409" t="s">
        <v>3140</v>
      </c>
      <c r="Q3409" t="s">
        <v>3140</v>
      </c>
      <c r="R3409" t="s">
        <v>15778</v>
      </c>
      <c r="S3409" t="s">
        <v>15779</v>
      </c>
      <c r="U3409" t="s">
        <v>15780</v>
      </c>
    </row>
    <row r="3410" spans="1:21" x14ac:dyDescent="0.25">
      <c r="A3410" t="s">
        <v>15781</v>
      </c>
      <c r="B3410" t="s">
        <v>22</v>
      </c>
      <c r="C3410" t="s">
        <v>15782</v>
      </c>
      <c r="D3410">
        <f>966-12112833</f>
        <v>-12111867</v>
      </c>
      <c r="E3410" t="s">
        <v>15663</v>
      </c>
      <c r="F3410" t="s">
        <v>15664</v>
      </c>
      <c r="G3410" t="s">
        <v>15665</v>
      </c>
      <c r="H3410">
        <v>46.674399999999999</v>
      </c>
      <c r="I3410">
        <v>24.711448000000001</v>
      </c>
      <c r="J3410">
        <v>158</v>
      </c>
      <c r="K3410" t="s">
        <v>3140</v>
      </c>
      <c r="L3410" t="s">
        <v>3140</v>
      </c>
      <c r="M3410" t="s">
        <v>3140</v>
      </c>
      <c r="N3410" t="s">
        <v>3140</v>
      </c>
      <c r="O3410" t="s">
        <v>15735</v>
      </c>
      <c r="P3410" t="s">
        <v>3140</v>
      </c>
      <c r="Q3410" t="s">
        <v>3140</v>
      </c>
      <c r="R3410" t="s">
        <v>15782</v>
      </c>
      <c r="S3410" t="s">
        <v>15783</v>
      </c>
      <c r="U3410" t="s">
        <v>15784</v>
      </c>
    </row>
    <row r="3411" spans="1:21" x14ac:dyDescent="0.25">
      <c r="A3411" t="s">
        <v>15785</v>
      </c>
      <c r="B3411" t="s">
        <v>22</v>
      </c>
      <c r="C3411" t="s">
        <v>15786</v>
      </c>
      <c r="D3411">
        <f>966-26123594</f>
        <v>-26122628</v>
      </c>
      <c r="E3411" t="s">
        <v>15683</v>
      </c>
      <c r="F3411" t="s">
        <v>15664</v>
      </c>
      <c r="G3411" t="s">
        <v>15665</v>
      </c>
      <c r="H3411">
        <v>39.155709999999999</v>
      </c>
      <c r="I3411">
        <v>21.632494999999999</v>
      </c>
      <c r="J3411">
        <v>158</v>
      </c>
      <c r="K3411" t="s">
        <v>3140</v>
      </c>
      <c r="L3411" t="s">
        <v>3140</v>
      </c>
      <c r="M3411" t="s">
        <v>3140</v>
      </c>
      <c r="N3411" t="s">
        <v>3140</v>
      </c>
      <c r="O3411" t="s">
        <v>15672</v>
      </c>
      <c r="P3411" t="s">
        <v>3140</v>
      </c>
      <c r="Q3411" t="s">
        <v>3140</v>
      </c>
      <c r="R3411" t="s">
        <v>15786</v>
      </c>
      <c r="U3411" t="s">
        <v>15787</v>
      </c>
    </row>
    <row r="3412" spans="1:21" x14ac:dyDescent="0.25">
      <c r="A3412" t="s">
        <v>15788</v>
      </c>
      <c r="B3412" t="s">
        <v>22</v>
      </c>
      <c r="C3412" t="s">
        <v>15789</v>
      </c>
      <c r="D3412">
        <f>966-2303402</f>
        <v>-2302436</v>
      </c>
      <c r="E3412" t="s">
        <v>15790</v>
      </c>
      <c r="F3412" t="s">
        <v>15664</v>
      </c>
      <c r="G3412" t="s">
        <v>15665</v>
      </c>
      <c r="H3412">
        <v>42.580486999999998</v>
      </c>
      <c r="I3412">
        <v>18.238747</v>
      </c>
      <c r="J3412">
        <v>158</v>
      </c>
      <c r="K3412" t="s">
        <v>3140</v>
      </c>
      <c r="L3412" t="s">
        <v>3140</v>
      </c>
      <c r="M3412" t="s">
        <v>3140</v>
      </c>
      <c r="N3412" t="s">
        <v>3140</v>
      </c>
      <c r="O3412" t="s">
        <v>15735</v>
      </c>
      <c r="P3412" t="s">
        <v>3140</v>
      </c>
      <c r="Q3412" t="s">
        <v>3140</v>
      </c>
      <c r="R3412" t="s">
        <v>15789</v>
      </c>
      <c r="U3412" t="s">
        <v>15791</v>
      </c>
    </row>
    <row r="3413" spans="1:21" x14ac:dyDescent="0.25">
      <c r="A3413" t="s">
        <v>15792</v>
      </c>
      <c r="B3413" t="s">
        <v>38</v>
      </c>
      <c r="C3413" t="s">
        <v>15793</v>
      </c>
      <c r="D3413">
        <f>966-122327969</f>
        <v>-122327003</v>
      </c>
      <c r="E3413" t="s">
        <v>15794</v>
      </c>
      <c r="F3413" t="s">
        <v>15664</v>
      </c>
      <c r="G3413" t="s">
        <v>15665</v>
      </c>
      <c r="H3413">
        <v>42.553652</v>
      </c>
      <c r="I3413">
        <v>16.902277999999999</v>
      </c>
      <c r="J3413">
        <v>158</v>
      </c>
      <c r="K3413" t="s">
        <v>3140</v>
      </c>
      <c r="L3413" t="s">
        <v>3140</v>
      </c>
      <c r="M3413" t="s">
        <v>3140</v>
      </c>
      <c r="N3413" t="s">
        <v>3140</v>
      </c>
      <c r="O3413" t="s">
        <v>15672</v>
      </c>
      <c r="P3413" t="s">
        <v>3140</v>
      </c>
      <c r="Q3413" t="s">
        <v>3140</v>
      </c>
      <c r="R3413" t="s">
        <v>15793</v>
      </c>
      <c r="S3413" t="s">
        <v>15795</v>
      </c>
      <c r="U3413" t="s">
        <v>15796</v>
      </c>
    </row>
    <row r="3414" spans="1:21" x14ac:dyDescent="0.25">
      <c r="A3414" t="s">
        <v>15797</v>
      </c>
      <c r="B3414" t="s">
        <v>22</v>
      </c>
      <c r="C3414" t="s">
        <v>15798</v>
      </c>
      <c r="D3414">
        <f>966-136678661</f>
        <v>-136677695</v>
      </c>
      <c r="E3414" t="s">
        <v>15799</v>
      </c>
      <c r="F3414" t="s">
        <v>15664</v>
      </c>
      <c r="G3414" t="s">
        <v>15665</v>
      </c>
      <c r="H3414">
        <v>49.568502000000002</v>
      </c>
      <c r="I3414">
        <v>27.137874</v>
      </c>
      <c r="J3414">
        <v>158</v>
      </c>
      <c r="K3414" t="s">
        <v>3140</v>
      </c>
      <c r="L3414" t="s">
        <v>3140</v>
      </c>
      <c r="M3414" t="s">
        <v>3140</v>
      </c>
      <c r="N3414" t="s">
        <v>15666</v>
      </c>
      <c r="O3414" t="s">
        <v>15667</v>
      </c>
      <c r="P3414" t="s">
        <v>3140</v>
      </c>
      <c r="Q3414" t="s">
        <v>3140</v>
      </c>
      <c r="R3414" t="s">
        <v>15798</v>
      </c>
      <c r="U3414" t="s">
        <v>15800</v>
      </c>
    </row>
    <row r="3415" spans="1:21" x14ac:dyDescent="0.25">
      <c r="A3415" t="s">
        <v>15801</v>
      </c>
      <c r="B3415" t="s">
        <v>22</v>
      </c>
      <c r="C3415" t="s">
        <v>15802</v>
      </c>
      <c r="D3415">
        <f>966-136678617</f>
        <v>-136677651</v>
      </c>
      <c r="E3415" t="s">
        <v>15803</v>
      </c>
      <c r="F3415" t="s">
        <v>15664</v>
      </c>
      <c r="G3415" t="s">
        <v>15665</v>
      </c>
      <c r="H3415">
        <v>50.179706000000003</v>
      </c>
      <c r="I3415">
        <v>26.290334000000001</v>
      </c>
      <c r="J3415">
        <v>158</v>
      </c>
      <c r="K3415" t="s">
        <v>34</v>
      </c>
      <c r="L3415" t="s">
        <v>34</v>
      </c>
      <c r="M3415" t="s">
        <v>34</v>
      </c>
      <c r="N3415" t="s">
        <v>34</v>
      </c>
      <c r="O3415" t="s">
        <v>15804</v>
      </c>
      <c r="P3415" t="s">
        <v>34</v>
      </c>
      <c r="Q3415" t="s">
        <v>34</v>
      </c>
      <c r="R3415" t="s">
        <v>15802</v>
      </c>
      <c r="S3415" t="s">
        <v>15805</v>
      </c>
      <c r="U3415" t="s">
        <v>15806</v>
      </c>
    </row>
    <row r="3416" spans="1:21" x14ac:dyDescent="0.25">
      <c r="A3416" t="s">
        <v>15807</v>
      </c>
      <c r="B3416" t="s">
        <v>38</v>
      </c>
      <c r="C3416" t="s">
        <v>15808</v>
      </c>
      <c r="D3416">
        <f>966-115111824</f>
        <v>-115110858</v>
      </c>
      <c r="E3416" t="s">
        <v>15663</v>
      </c>
      <c r="F3416" t="s">
        <v>15664</v>
      </c>
      <c r="G3416" t="s">
        <v>15665</v>
      </c>
      <c r="H3416">
        <v>46.734408000000002</v>
      </c>
      <c r="I3416">
        <v>24.809329999999999</v>
      </c>
      <c r="J3416">
        <v>158</v>
      </c>
      <c r="K3416" t="s">
        <v>3140</v>
      </c>
      <c r="L3416" t="s">
        <v>3140</v>
      </c>
      <c r="M3416" t="s">
        <v>3140</v>
      </c>
      <c r="N3416" t="s">
        <v>3140</v>
      </c>
      <c r="O3416" t="s">
        <v>15689</v>
      </c>
      <c r="P3416" t="s">
        <v>3140</v>
      </c>
      <c r="Q3416" t="s">
        <v>3140</v>
      </c>
      <c r="R3416" t="s">
        <v>15808</v>
      </c>
      <c r="U3416" t="s">
        <v>15809</v>
      </c>
    </row>
    <row r="3417" spans="1:21" x14ac:dyDescent="0.25">
      <c r="A3417" t="s">
        <v>15810</v>
      </c>
      <c r="B3417" t="s">
        <v>22</v>
      </c>
      <c r="C3417" t="s">
        <v>15811</v>
      </c>
      <c r="D3417">
        <f>966-138064275</f>
        <v>-138063309</v>
      </c>
      <c r="E3417" t="s">
        <v>15710</v>
      </c>
      <c r="F3417" t="s">
        <v>15664</v>
      </c>
      <c r="G3417" t="s">
        <v>15665</v>
      </c>
      <c r="H3417">
        <v>50.074969000000003</v>
      </c>
      <c r="I3417">
        <v>26.386723</v>
      </c>
      <c r="J3417">
        <v>158</v>
      </c>
      <c r="K3417" t="s">
        <v>3140</v>
      </c>
      <c r="L3417" t="s">
        <v>3140</v>
      </c>
      <c r="M3417" t="s">
        <v>3140</v>
      </c>
      <c r="N3417" t="s">
        <v>3140</v>
      </c>
      <c r="O3417" t="s">
        <v>15699</v>
      </c>
      <c r="P3417" t="s">
        <v>3140</v>
      </c>
      <c r="Q3417" t="s">
        <v>3140</v>
      </c>
      <c r="R3417" t="s">
        <v>15811</v>
      </c>
      <c r="U3417" t="s">
        <v>15812</v>
      </c>
    </row>
    <row r="3418" spans="1:21" x14ac:dyDescent="0.25">
      <c r="A3418" t="s">
        <v>15813</v>
      </c>
      <c r="B3418" t="s">
        <v>38</v>
      </c>
      <c r="C3418" t="s">
        <v>15814</v>
      </c>
      <c r="D3418">
        <f>966-136678657</f>
        <v>-136677691</v>
      </c>
      <c r="E3418" t="s">
        <v>15710</v>
      </c>
      <c r="F3418" t="s">
        <v>15664</v>
      </c>
      <c r="G3418" t="s">
        <v>15665</v>
      </c>
      <c r="H3418">
        <v>50.064546999999997</v>
      </c>
      <c r="I3418">
        <v>26.461349999999999</v>
      </c>
      <c r="J3418">
        <v>158</v>
      </c>
      <c r="K3418" t="s">
        <v>15815</v>
      </c>
      <c r="L3418" t="s">
        <v>15815</v>
      </c>
      <c r="M3418" t="s">
        <v>15815</v>
      </c>
      <c r="N3418" t="s">
        <v>15816</v>
      </c>
      <c r="O3418" t="s">
        <v>15667</v>
      </c>
      <c r="P3418" t="s">
        <v>15815</v>
      </c>
      <c r="Q3418" t="s">
        <v>15815</v>
      </c>
      <c r="R3418" t="s">
        <v>15814</v>
      </c>
      <c r="U3418" t="s">
        <v>15817</v>
      </c>
    </row>
    <row r="3419" spans="1:21" x14ac:dyDescent="0.25">
      <c r="A3419" t="s">
        <v>15818</v>
      </c>
      <c r="B3419" t="s">
        <v>38</v>
      </c>
      <c r="C3419" t="s">
        <v>15819</v>
      </c>
      <c r="D3419">
        <f>966-12327923</f>
        <v>-12326957</v>
      </c>
      <c r="E3419" t="s">
        <v>15820</v>
      </c>
      <c r="F3419" t="s">
        <v>15664</v>
      </c>
      <c r="G3419" t="s">
        <v>15665</v>
      </c>
      <c r="H3419">
        <v>36.592098999999997</v>
      </c>
      <c r="I3419">
        <v>28.386098</v>
      </c>
      <c r="J3419">
        <v>158</v>
      </c>
      <c r="K3419" t="s">
        <v>3140</v>
      </c>
      <c r="L3419" t="s">
        <v>3140</v>
      </c>
      <c r="M3419" t="s">
        <v>3140</v>
      </c>
      <c r="N3419" t="s">
        <v>3140</v>
      </c>
      <c r="O3419" t="s">
        <v>15672</v>
      </c>
      <c r="P3419" t="s">
        <v>3140</v>
      </c>
      <c r="Q3419" t="s">
        <v>3140</v>
      </c>
      <c r="R3419" t="s">
        <v>15819</v>
      </c>
      <c r="S3419" t="s">
        <v>15821</v>
      </c>
      <c r="U3419" t="s">
        <v>15822</v>
      </c>
    </row>
    <row r="3420" spans="1:21" x14ac:dyDescent="0.25">
      <c r="A3420" t="s">
        <v>15823</v>
      </c>
      <c r="C3420" t="s">
        <v>15824</v>
      </c>
      <c r="E3420" t="s">
        <v>15825</v>
      </c>
      <c r="F3420" t="s">
        <v>15664</v>
      </c>
      <c r="G3420" t="s">
        <v>15665</v>
      </c>
      <c r="H3420">
        <v>44.021653999999998</v>
      </c>
      <c r="I3420">
        <v>26.073915</v>
      </c>
      <c r="R3420" t="s">
        <v>15824</v>
      </c>
      <c r="S3420" t="s">
        <v>15826</v>
      </c>
      <c r="U3420" t="s">
        <v>15827</v>
      </c>
    </row>
    <row r="3421" spans="1:21" x14ac:dyDescent="0.25">
      <c r="A3421" t="s">
        <v>15828</v>
      </c>
      <c r="B3421" t="s">
        <v>22</v>
      </c>
      <c r="C3421" t="s">
        <v>15829</v>
      </c>
      <c r="D3421">
        <f>966-115111983</f>
        <v>-115111017</v>
      </c>
      <c r="E3421" t="s">
        <v>15663</v>
      </c>
      <c r="F3421" t="s">
        <v>15664</v>
      </c>
      <c r="G3421" t="s">
        <v>15665</v>
      </c>
      <c r="H3421">
        <v>46.767288999999998</v>
      </c>
      <c r="I3421">
        <v>24.793368000000001</v>
      </c>
      <c r="J3421">
        <v>130</v>
      </c>
      <c r="K3421" t="s">
        <v>3140</v>
      </c>
      <c r="L3421" t="s">
        <v>3140</v>
      </c>
      <c r="M3421" t="s">
        <v>3140</v>
      </c>
      <c r="N3421" t="s">
        <v>15666</v>
      </c>
      <c r="O3421" t="s">
        <v>15684</v>
      </c>
      <c r="P3421" t="s">
        <v>3140</v>
      </c>
      <c r="Q3421" t="s">
        <v>3140</v>
      </c>
      <c r="R3421" t="s">
        <v>15829</v>
      </c>
      <c r="S3421" t="s">
        <v>15663</v>
      </c>
      <c r="U3421" t="s">
        <v>15830</v>
      </c>
    </row>
    <row r="3422" spans="1:21" x14ac:dyDescent="0.25">
      <c r="A3422" t="s">
        <v>15831</v>
      </c>
      <c r="B3422" t="s">
        <v>38</v>
      </c>
      <c r="C3422" t="s">
        <v>15832</v>
      </c>
      <c r="D3422">
        <f>966-122327982</f>
        <v>-122327016</v>
      </c>
      <c r="E3422" t="s">
        <v>15763</v>
      </c>
      <c r="F3422" t="s">
        <v>15664</v>
      </c>
      <c r="G3422" t="s">
        <v>15665</v>
      </c>
      <c r="H3422">
        <v>40.415492612890603</v>
      </c>
      <c r="I3422">
        <v>21.264300014705</v>
      </c>
      <c r="J3422">
        <v>158</v>
      </c>
      <c r="K3422" t="s">
        <v>12293</v>
      </c>
      <c r="L3422" t="s">
        <v>12293</v>
      </c>
      <c r="M3422" t="s">
        <v>12293</v>
      </c>
      <c r="N3422" t="s">
        <v>12293</v>
      </c>
      <c r="O3422" t="s">
        <v>15678</v>
      </c>
      <c r="P3422" t="s">
        <v>15678</v>
      </c>
      <c r="Q3422" t="s">
        <v>3140</v>
      </c>
      <c r="R3422" t="s">
        <v>15832</v>
      </c>
      <c r="S3422" t="s">
        <v>15833</v>
      </c>
      <c r="U3422" t="s">
        <v>15834</v>
      </c>
    </row>
    <row r="3423" spans="1:21" x14ac:dyDescent="0.25">
      <c r="A3423" t="s">
        <v>15835</v>
      </c>
      <c r="B3423" t="s">
        <v>22</v>
      </c>
      <c r="C3423" t="s">
        <v>15836</v>
      </c>
      <c r="E3423" t="s">
        <v>15663</v>
      </c>
      <c r="F3423" t="s">
        <v>15664</v>
      </c>
      <c r="G3423" t="s">
        <v>15665</v>
      </c>
      <c r="H3423">
        <v>46.685832699999999</v>
      </c>
      <c r="I3423">
        <v>24.6895357</v>
      </c>
      <c r="J3423">
        <v>158</v>
      </c>
      <c r="K3423" t="s">
        <v>3140</v>
      </c>
      <c r="L3423" t="s">
        <v>3140</v>
      </c>
      <c r="M3423" t="s">
        <v>3140</v>
      </c>
      <c r="N3423" t="s">
        <v>3140</v>
      </c>
      <c r="O3423" t="s">
        <v>15684</v>
      </c>
      <c r="P3423" t="s">
        <v>15684</v>
      </c>
      <c r="Q3423" t="s">
        <v>3140</v>
      </c>
      <c r="R3423" t="s">
        <v>15836</v>
      </c>
      <c r="U3423" t="s">
        <v>15837</v>
      </c>
    </row>
    <row r="3424" spans="1:21" x14ac:dyDescent="0.25">
      <c r="A3424" t="s">
        <v>15838</v>
      </c>
      <c r="B3424" t="s">
        <v>38</v>
      </c>
      <c r="C3424" t="s">
        <v>15839</v>
      </c>
      <c r="D3424">
        <f>966-115116367</f>
        <v>-115115401</v>
      </c>
      <c r="E3424" t="s">
        <v>15825</v>
      </c>
      <c r="F3424" t="s">
        <v>15664</v>
      </c>
      <c r="G3424" t="s">
        <v>15665</v>
      </c>
      <c r="H3424">
        <v>43.979861999999997</v>
      </c>
      <c r="I3424">
        <v>26.082075</v>
      </c>
      <c r="J3424">
        <v>158</v>
      </c>
      <c r="K3424" t="s">
        <v>3140</v>
      </c>
      <c r="L3424" t="s">
        <v>3140</v>
      </c>
      <c r="M3424" t="s">
        <v>3140</v>
      </c>
      <c r="N3424" t="s">
        <v>3140</v>
      </c>
      <c r="O3424" t="s">
        <v>15689</v>
      </c>
      <c r="P3424" t="s">
        <v>3140</v>
      </c>
      <c r="Q3424" t="s">
        <v>3140</v>
      </c>
      <c r="R3424" t="s">
        <v>15839</v>
      </c>
      <c r="S3424" t="s">
        <v>15840</v>
      </c>
      <c r="U3424" t="s">
        <v>15841</v>
      </c>
    </row>
    <row r="3425" spans="1:21" x14ac:dyDescent="0.25">
      <c r="A3425" t="s">
        <v>15842</v>
      </c>
      <c r="B3425" t="s">
        <v>38</v>
      </c>
      <c r="C3425" t="s">
        <v>15843</v>
      </c>
      <c r="D3425">
        <f>966-138064200</f>
        <v>-138063234</v>
      </c>
      <c r="E3425" t="s">
        <v>15719</v>
      </c>
      <c r="F3425" t="s">
        <v>15664</v>
      </c>
      <c r="G3425" t="s">
        <v>15665</v>
      </c>
      <c r="H3425">
        <v>49.546647</v>
      </c>
      <c r="I3425">
        <v>25.340423999999999</v>
      </c>
      <c r="J3425">
        <v>158</v>
      </c>
      <c r="K3425" t="s">
        <v>3140</v>
      </c>
      <c r="L3425" t="s">
        <v>3140</v>
      </c>
      <c r="M3425" t="s">
        <v>3140</v>
      </c>
      <c r="N3425" t="s">
        <v>15666</v>
      </c>
      <c r="O3425" t="s">
        <v>15684</v>
      </c>
      <c r="P3425" t="s">
        <v>3140</v>
      </c>
      <c r="Q3425" t="s">
        <v>3140</v>
      </c>
      <c r="R3425" t="s">
        <v>15843</v>
      </c>
      <c r="U3425" t="s">
        <v>15844</v>
      </c>
    </row>
    <row r="3426" spans="1:21" x14ac:dyDescent="0.25">
      <c r="A3426" t="s">
        <v>15845</v>
      </c>
      <c r="B3426" t="s">
        <v>22</v>
      </c>
      <c r="C3426" t="s">
        <v>15846</v>
      </c>
      <c r="D3426">
        <f>966-115116359</f>
        <v>-115115393</v>
      </c>
      <c r="E3426" t="s">
        <v>15663</v>
      </c>
      <c r="F3426" t="s">
        <v>15664</v>
      </c>
      <c r="G3426" t="s">
        <v>15665</v>
      </c>
      <c r="H3426">
        <v>46.662075000000002</v>
      </c>
      <c r="I3426">
        <v>24.783994</v>
      </c>
      <c r="J3426">
        <v>158</v>
      </c>
      <c r="K3426" t="s">
        <v>3140</v>
      </c>
      <c r="L3426" t="s">
        <v>3140</v>
      </c>
      <c r="M3426" t="s">
        <v>3140</v>
      </c>
      <c r="N3426" t="s">
        <v>3140</v>
      </c>
      <c r="O3426" t="s">
        <v>15689</v>
      </c>
      <c r="P3426" t="s">
        <v>3140</v>
      </c>
      <c r="Q3426" t="s">
        <v>3140</v>
      </c>
      <c r="R3426" t="s">
        <v>15846</v>
      </c>
      <c r="S3426" t="s">
        <v>15847</v>
      </c>
      <c r="U3426" t="s">
        <v>15848</v>
      </c>
    </row>
    <row r="3427" spans="1:21" x14ac:dyDescent="0.25">
      <c r="A3427" t="s">
        <v>15849</v>
      </c>
      <c r="B3427" t="s">
        <v>38</v>
      </c>
      <c r="C3427" t="s">
        <v>15850</v>
      </c>
      <c r="D3427">
        <f>966-115116303</f>
        <v>-115115337</v>
      </c>
      <c r="E3427" t="s">
        <v>15851</v>
      </c>
      <c r="F3427" t="s">
        <v>15664</v>
      </c>
      <c r="G3427" t="s">
        <v>15665</v>
      </c>
      <c r="H3427">
        <v>45.340969000000001</v>
      </c>
      <c r="I3427">
        <v>25.904969999999999</v>
      </c>
      <c r="J3427">
        <v>158</v>
      </c>
      <c r="K3427" t="s">
        <v>15666</v>
      </c>
      <c r="L3427" t="s">
        <v>15666</v>
      </c>
      <c r="M3427" t="s">
        <v>15666</v>
      </c>
      <c r="N3427" t="s">
        <v>15666</v>
      </c>
      <c r="O3427" t="s">
        <v>15684</v>
      </c>
      <c r="P3427" t="s">
        <v>15666</v>
      </c>
      <c r="Q3427" t="s">
        <v>15666</v>
      </c>
      <c r="R3427" t="s">
        <v>15850</v>
      </c>
      <c r="S3427" t="s">
        <v>15852</v>
      </c>
      <c r="U3427" t="s">
        <v>15853</v>
      </c>
    </row>
    <row r="3428" spans="1:21" x14ac:dyDescent="0.25">
      <c r="A3428" t="s">
        <v>15854</v>
      </c>
      <c r="B3428" t="s">
        <v>22</v>
      </c>
      <c r="C3428" t="s">
        <v>15855</v>
      </c>
      <c r="D3428">
        <f>966-115116377</f>
        <v>-115115411</v>
      </c>
      <c r="E3428" t="s">
        <v>15663</v>
      </c>
      <c r="F3428" t="s">
        <v>15664</v>
      </c>
      <c r="G3428" t="s">
        <v>15665</v>
      </c>
      <c r="H3428">
        <v>46.669539999999998</v>
      </c>
      <c r="I3428">
        <v>24.695069</v>
      </c>
      <c r="J3428">
        <v>158</v>
      </c>
      <c r="K3428" t="s">
        <v>3140</v>
      </c>
      <c r="L3428" t="s">
        <v>3140</v>
      </c>
      <c r="M3428" t="s">
        <v>3140</v>
      </c>
      <c r="N3428" t="s">
        <v>3140</v>
      </c>
      <c r="O3428" t="s">
        <v>15689</v>
      </c>
      <c r="P3428" t="s">
        <v>3140</v>
      </c>
      <c r="Q3428" t="s">
        <v>3140</v>
      </c>
      <c r="R3428" t="s">
        <v>15855</v>
      </c>
      <c r="S3428" t="s">
        <v>15856</v>
      </c>
      <c r="U3428" t="s">
        <v>15857</v>
      </c>
    </row>
    <row r="3429" spans="1:21" x14ac:dyDescent="0.25">
      <c r="A3429" t="s">
        <v>15858</v>
      </c>
      <c r="B3429" t="s">
        <v>22</v>
      </c>
      <c r="C3429" t="s">
        <v>15859</v>
      </c>
      <c r="D3429">
        <f>966-122327821</f>
        <v>-122326855</v>
      </c>
      <c r="E3429" t="s">
        <v>15677</v>
      </c>
      <c r="F3429" t="s">
        <v>15664</v>
      </c>
      <c r="G3429" t="s">
        <v>15665</v>
      </c>
      <c r="H3429">
        <v>39.643619999999999</v>
      </c>
      <c r="I3429">
        <v>24.481490000000001</v>
      </c>
      <c r="J3429">
        <v>158</v>
      </c>
      <c r="K3429" t="s">
        <v>15694</v>
      </c>
      <c r="L3429" t="s">
        <v>15694</v>
      </c>
      <c r="M3429" t="s">
        <v>15694</v>
      </c>
      <c r="N3429" t="s">
        <v>15694</v>
      </c>
      <c r="O3429" t="s">
        <v>15804</v>
      </c>
      <c r="P3429" t="s">
        <v>15694</v>
      </c>
      <c r="Q3429" t="s">
        <v>15694</v>
      </c>
      <c r="R3429" t="s">
        <v>15859</v>
      </c>
      <c r="S3429" t="s">
        <v>15860</v>
      </c>
      <c r="U3429" t="s">
        <v>15861</v>
      </c>
    </row>
    <row r="3430" spans="1:21" x14ac:dyDescent="0.25">
      <c r="A3430" t="s">
        <v>15862</v>
      </c>
      <c r="B3430" t="s">
        <v>22</v>
      </c>
      <c r="C3430" t="s">
        <v>15863</v>
      </c>
      <c r="D3430">
        <f>966-596263174</f>
        <v>-596262208</v>
      </c>
      <c r="E3430" t="s">
        <v>15803</v>
      </c>
      <c r="F3430" t="s">
        <v>15664</v>
      </c>
      <c r="G3430" t="s">
        <v>15665</v>
      </c>
      <c r="H3430">
        <v>50.218904999999999</v>
      </c>
      <c r="I3430">
        <v>26.286451</v>
      </c>
      <c r="J3430">
        <v>158</v>
      </c>
      <c r="K3430" t="s">
        <v>3140</v>
      </c>
      <c r="L3430" t="s">
        <v>3140</v>
      </c>
      <c r="M3430" t="s">
        <v>3140</v>
      </c>
      <c r="N3430" t="s">
        <v>15666</v>
      </c>
      <c r="O3430" t="s">
        <v>15666</v>
      </c>
      <c r="P3430" t="s">
        <v>3140</v>
      </c>
      <c r="Q3430" t="s">
        <v>3140</v>
      </c>
      <c r="R3430" t="s">
        <v>15863</v>
      </c>
      <c r="S3430" t="s">
        <v>15864</v>
      </c>
      <c r="U3430" t="s">
        <v>15865</v>
      </c>
    </row>
    <row r="3431" spans="1:21" x14ac:dyDescent="0.25">
      <c r="A3431" t="s">
        <v>15866</v>
      </c>
      <c r="B3431" t="s">
        <v>32</v>
      </c>
      <c r="C3431" t="s">
        <v>15867</v>
      </c>
      <c r="D3431">
        <f>966-115203579</f>
        <v>-115202613</v>
      </c>
      <c r="E3431" t="s">
        <v>15663</v>
      </c>
      <c r="F3431" t="s">
        <v>15664</v>
      </c>
      <c r="G3431" t="s">
        <v>15665</v>
      </c>
      <c r="H3431">
        <v>46.630795999999997</v>
      </c>
      <c r="I3431">
        <v>24.755500000000001</v>
      </c>
      <c r="J3431">
        <v>158</v>
      </c>
      <c r="K3431" t="s">
        <v>3140</v>
      </c>
      <c r="L3431" t="s">
        <v>3140</v>
      </c>
      <c r="M3431" t="s">
        <v>3140</v>
      </c>
      <c r="N3431" t="s">
        <v>3140</v>
      </c>
      <c r="O3431" t="s">
        <v>15689</v>
      </c>
      <c r="P3431" t="s">
        <v>3140</v>
      </c>
      <c r="Q3431" t="s">
        <v>3140</v>
      </c>
      <c r="R3431" t="s">
        <v>15867</v>
      </c>
      <c r="S3431" t="s">
        <v>15663</v>
      </c>
      <c r="U3431" t="s">
        <v>15868</v>
      </c>
    </row>
    <row r="3432" spans="1:21" x14ac:dyDescent="0.25">
      <c r="A3432" t="s">
        <v>15869</v>
      </c>
      <c r="B3432" t="s">
        <v>22</v>
      </c>
      <c r="C3432" t="s">
        <v>15870</v>
      </c>
      <c r="D3432">
        <f>966-122617633</f>
        <v>-122616667</v>
      </c>
      <c r="E3432" t="s">
        <v>15820</v>
      </c>
      <c r="F3432" t="s">
        <v>15664</v>
      </c>
      <c r="G3432" t="s">
        <v>15665</v>
      </c>
      <c r="H3432">
        <v>36.572738000000001</v>
      </c>
      <c r="I3432">
        <v>28.429835000000001</v>
      </c>
      <c r="J3432">
        <v>158</v>
      </c>
      <c r="K3432" t="s">
        <v>3140</v>
      </c>
      <c r="L3432" t="s">
        <v>3140</v>
      </c>
      <c r="M3432" t="s">
        <v>3140</v>
      </c>
      <c r="N3432" t="s">
        <v>3140</v>
      </c>
      <c r="O3432" t="s">
        <v>3140</v>
      </c>
      <c r="P3432" t="s">
        <v>3140</v>
      </c>
      <c r="Q3432" t="s">
        <v>3140</v>
      </c>
      <c r="R3432" t="s">
        <v>15870</v>
      </c>
      <c r="S3432" t="s">
        <v>15820</v>
      </c>
      <c r="U3432" t="s">
        <v>15871</v>
      </c>
    </row>
    <row r="3433" spans="1:21" x14ac:dyDescent="0.25">
      <c r="A3433" t="s">
        <v>15872</v>
      </c>
      <c r="B3433" t="s">
        <v>38</v>
      </c>
      <c r="C3433" t="s">
        <v>15873</v>
      </c>
      <c r="D3433">
        <f>966-138064277</f>
        <v>-138063311</v>
      </c>
      <c r="E3433" t="s">
        <v>15710</v>
      </c>
      <c r="F3433" t="s">
        <v>15664</v>
      </c>
      <c r="G3433" t="s">
        <v>15665</v>
      </c>
      <c r="H3433">
        <v>50.121293000000001</v>
      </c>
      <c r="I3433">
        <v>26.455052999999999</v>
      </c>
      <c r="J3433">
        <v>158</v>
      </c>
      <c r="K3433" t="s">
        <v>3140</v>
      </c>
      <c r="L3433" t="s">
        <v>3140</v>
      </c>
      <c r="M3433" t="s">
        <v>3140</v>
      </c>
      <c r="N3433" t="s">
        <v>3140</v>
      </c>
      <c r="O3433" t="s">
        <v>15699</v>
      </c>
      <c r="P3433" t="s">
        <v>3140</v>
      </c>
      <c r="Q3433" t="s">
        <v>3140</v>
      </c>
      <c r="R3433" t="s">
        <v>15873</v>
      </c>
      <c r="U3433" t="s">
        <v>15874</v>
      </c>
    </row>
    <row r="3434" spans="1:21" x14ac:dyDescent="0.25">
      <c r="A3434" t="s">
        <v>15875</v>
      </c>
      <c r="B3434" t="s">
        <v>22</v>
      </c>
      <c r="C3434" t="s">
        <v>15876</v>
      </c>
      <c r="E3434" t="s">
        <v>15663</v>
      </c>
      <c r="F3434" t="s">
        <v>15664</v>
      </c>
      <c r="G3434" t="s">
        <v>15665</v>
      </c>
      <c r="H3434">
        <v>46.733189000000003</v>
      </c>
      <c r="I3434">
        <v>24.844154</v>
      </c>
      <c r="J3434">
        <v>158</v>
      </c>
      <c r="K3434" t="s">
        <v>3140</v>
      </c>
      <c r="L3434" t="s">
        <v>3140</v>
      </c>
      <c r="M3434" t="s">
        <v>3140</v>
      </c>
      <c r="N3434" t="s">
        <v>3140</v>
      </c>
      <c r="O3434" t="s">
        <v>15684</v>
      </c>
      <c r="P3434" t="s">
        <v>15684</v>
      </c>
      <c r="Q3434" t="s">
        <v>3140</v>
      </c>
      <c r="R3434" t="s">
        <v>15877</v>
      </c>
      <c r="U3434" t="s">
        <v>15878</v>
      </c>
    </row>
    <row r="3435" spans="1:21" x14ac:dyDescent="0.25">
      <c r="A3435" t="s">
        <v>15879</v>
      </c>
      <c r="B3435" t="s">
        <v>32</v>
      </c>
      <c r="C3435" t="s">
        <v>15880</v>
      </c>
      <c r="D3435">
        <f t="shared" ref="D3435:D3466" si="88">46-33140000</f>
        <v>-33139954</v>
      </c>
      <c r="E3435" t="s">
        <v>15881</v>
      </c>
      <c r="F3435" t="s">
        <v>15882</v>
      </c>
      <c r="G3435" t="s">
        <v>15883</v>
      </c>
      <c r="H3435">
        <v>18.067460000000001</v>
      </c>
      <c r="I3435">
        <v>59.332780999999997</v>
      </c>
      <c r="J3435">
        <v>100</v>
      </c>
      <c r="K3435" t="s">
        <v>45</v>
      </c>
      <c r="L3435" t="s">
        <v>45</v>
      </c>
      <c r="M3435" t="s">
        <v>45</v>
      </c>
      <c r="N3435" t="s">
        <v>45</v>
      </c>
      <c r="O3435" t="s">
        <v>45</v>
      </c>
      <c r="P3435" t="s">
        <v>428</v>
      </c>
      <c r="Q3435" t="s">
        <v>1034</v>
      </c>
      <c r="R3435" t="s">
        <v>15880</v>
      </c>
      <c r="U3435" t="s">
        <v>15884</v>
      </c>
    </row>
    <row r="3436" spans="1:21" x14ac:dyDescent="0.25">
      <c r="A3436" t="s">
        <v>15885</v>
      </c>
      <c r="B3436" t="s">
        <v>32</v>
      </c>
      <c r="C3436" t="s">
        <v>15886</v>
      </c>
      <c r="D3436">
        <f t="shared" si="88"/>
        <v>-33139954</v>
      </c>
      <c r="E3436" t="s">
        <v>15881</v>
      </c>
      <c r="F3436" t="s">
        <v>15882</v>
      </c>
      <c r="G3436" t="s">
        <v>15883</v>
      </c>
      <c r="H3436">
        <v>18.063956999999998</v>
      </c>
      <c r="I3436">
        <v>59.332884999999997</v>
      </c>
      <c r="J3436">
        <v>100</v>
      </c>
      <c r="K3436" t="s">
        <v>535</v>
      </c>
      <c r="L3436" t="s">
        <v>535</v>
      </c>
      <c r="M3436" t="s">
        <v>535</v>
      </c>
      <c r="N3436" t="s">
        <v>535</v>
      </c>
      <c r="O3436" t="s">
        <v>535</v>
      </c>
      <c r="P3436" t="s">
        <v>535</v>
      </c>
      <c r="Q3436" t="s">
        <v>1034</v>
      </c>
      <c r="R3436" t="s">
        <v>15887</v>
      </c>
      <c r="U3436" t="s">
        <v>15888</v>
      </c>
    </row>
    <row r="3437" spans="1:21" x14ac:dyDescent="0.25">
      <c r="A3437" t="s">
        <v>15889</v>
      </c>
      <c r="B3437" t="s">
        <v>32</v>
      </c>
      <c r="C3437" t="s">
        <v>15890</v>
      </c>
      <c r="D3437">
        <f t="shared" si="88"/>
        <v>-33139954</v>
      </c>
      <c r="E3437" t="s">
        <v>15881</v>
      </c>
      <c r="F3437" t="s">
        <v>15882</v>
      </c>
      <c r="G3437" t="s">
        <v>15883</v>
      </c>
      <c r="H3437">
        <v>18.062609999999999</v>
      </c>
      <c r="I3437">
        <v>59.332808</v>
      </c>
      <c r="J3437">
        <v>100</v>
      </c>
      <c r="K3437" t="s">
        <v>535</v>
      </c>
      <c r="L3437" t="s">
        <v>535</v>
      </c>
      <c r="M3437" t="s">
        <v>535</v>
      </c>
      <c r="N3437" t="s">
        <v>535</v>
      </c>
      <c r="O3437" t="s">
        <v>535</v>
      </c>
      <c r="P3437" t="s">
        <v>535</v>
      </c>
      <c r="Q3437" t="s">
        <v>1034</v>
      </c>
      <c r="R3437" t="s">
        <v>15891</v>
      </c>
      <c r="U3437" t="s">
        <v>15892</v>
      </c>
    </row>
    <row r="3438" spans="1:21" x14ac:dyDescent="0.25">
      <c r="A3438" t="s">
        <v>15893</v>
      </c>
      <c r="B3438" t="s">
        <v>32</v>
      </c>
      <c r="C3438" t="s">
        <v>15894</v>
      </c>
      <c r="D3438">
        <f t="shared" si="88"/>
        <v>-33139954</v>
      </c>
      <c r="E3438" t="s">
        <v>15881</v>
      </c>
      <c r="F3438" t="s">
        <v>15882</v>
      </c>
      <c r="G3438" t="s">
        <v>15883</v>
      </c>
      <c r="H3438">
        <v>18.062484999999999</v>
      </c>
      <c r="I3438">
        <v>59.333342999999999</v>
      </c>
      <c r="J3438">
        <v>100</v>
      </c>
      <c r="K3438" t="s">
        <v>535</v>
      </c>
      <c r="L3438" t="s">
        <v>535</v>
      </c>
      <c r="M3438" t="s">
        <v>535</v>
      </c>
      <c r="N3438" t="s">
        <v>535</v>
      </c>
      <c r="O3438" t="s">
        <v>535</v>
      </c>
      <c r="P3438" t="s">
        <v>535</v>
      </c>
      <c r="Q3438" t="s">
        <v>1034</v>
      </c>
      <c r="R3438" t="s">
        <v>15894</v>
      </c>
      <c r="U3438" t="s">
        <v>15895</v>
      </c>
    </row>
    <row r="3439" spans="1:21" x14ac:dyDescent="0.25">
      <c r="A3439" t="s">
        <v>15896</v>
      </c>
      <c r="B3439" t="s">
        <v>32</v>
      </c>
      <c r="C3439" t="s">
        <v>15897</v>
      </c>
      <c r="D3439">
        <f t="shared" si="88"/>
        <v>-33139954</v>
      </c>
      <c r="E3439" t="s">
        <v>15881</v>
      </c>
      <c r="F3439" t="s">
        <v>15882</v>
      </c>
      <c r="G3439" t="s">
        <v>15883</v>
      </c>
      <c r="H3439">
        <v>18.072628999999999</v>
      </c>
      <c r="I3439">
        <v>59.333694999999999</v>
      </c>
      <c r="J3439">
        <v>100</v>
      </c>
      <c r="K3439" t="s">
        <v>1034</v>
      </c>
      <c r="L3439" t="s">
        <v>1034</v>
      </c>
      <c r="M3439" t="s">
        <v>1034</v>
      </c>
      <c r="N3439" t="s">
        <v>1034</v>
      </c>
      <c r="O3439" t="s">
        <v>1034</v>
      </c>
      <c r="P3439" t="s">
        <v>564</v>
      </c>
      <c r="Q3439" t="s">
        <v>1289</v>
      </c>
      <c r="R3439" t="s">
        <v>15898</v>
      </c>
      <c r="U3439" t="s">
        <v>15899</v>
      </c>
    </row>
    <row r="3440" spans="1:21" x14ac:dyDescent="0.25">
      <c r="A3440" t="s">
        <v>15900</v>
      </c>
      <c r="B3440" t="s">
        <v>2322</v>
      </c>
      <c r="C3440" t="s">
        <v>15901</v>
      </c>
      <c r="D3440">
        <f t="shared" si="88"/>
        <v>-33139954</v>
      </c>
      <c r="E3440" t="s">
        <v>15902</v>
      </c>
      <c r="F3440" t="s">
        <v>15882</v>
      </c>
      <c r="G3440" t="s">
        <v>15883</v>
      </c>
      <c r="H3440">
        <v>15.2113755087243</v>
      </c>
      <c r="I3440">
        <v>59.269710029033803</v>
      </c>
      <c r="J3440">
        <v>110</v>
      </c>
      <c r="K3440" t="s">
        <v>535</v>
      </c>
      <c r="L3440" t="s">
        <v>535</v>
      </c>
      <c r="M3440" t="s">
        <v>535</v>
      </c>
      <c r="N3440" t="s">
        <v>535</v>
      </c>
      <c r="O3440" t="s">
        <v>535</v>
      </c>
      <c r="P3440" t="s">
        <v>553</v>
      </c>
      <c r="Q3440" t="s">
        <v>564</v>
      </c>
      <c r="R3440" t="s">
        <v>15903</v>
      </c>
      <c r="U3440" t="s">
        <v>15904</v>
      </c>
    </row>
    <row r="3441" spans="1:21" x14ac:dyDescent="0.25">
      <c r="A3441" t="s">
        <v>15905</v>
      </c>
      <c r="B3441" t="s">
        <v>32</v>
      </c>
      <c r="C3441" t="s">
        <v>15906</v>
      </c>
      <c r="D3441">
        <f t="shared" si="88"/>
        <v>-33139954</v>
      </c>
      <c r="E3441" t="s">
        <v>15881</v>
      </c>
      <c r="F3441" t="s">
        <v>15882</v>
      </c>
      <c r="G3441" t="s">
        <v>15883</v>
      </c>
      <c r="H3441">
        <v>18.072467</v>
      </c>
      <c r="I3441">
        <v>59.335465999999997</v>
      </c>
      <c r="J3441">
        <v>100</v>
      </c>
      <c r="K3441" t="s">
        <v>535</v>
      </c>
      <c r="L3441" t="s">
        <v>535</v>
      </c>
      <c r="M3441" t="s">
        <v>535</v>
      </c>
      <c r="N3441" t="s">
        <v>535</v>
      </c>
      <c r="O3441" t="s">
        <v>535</v>
      </c>
      <c r="P3441" t="s">
        <v>428</v>
      </c>
      <c r="Q3441" t="s">
        <v>1034</v>
      </c>
      <c r="R3441" t="s">
        <v>15907</v>
      </c>
      <c r="U3441" t="s">
        <v>15908</v>
      </c>
    </row>
    <row r="3442" spans="1:21" x14ac:dyDescent="0.25">
      <c r="A3442" t="s">
        <v>15909</v>
      </c>
      <c r="B3442" t="s">
        <v>22</v>
      </c>
      <c r="C3442" t="s">
        <v>15910</v>
      </c>
      <c r="D3442">
        <f t="shared" si="88"/>
        <v>-33139954</v>
      </c>
      <c r="E3442" t="s">
        <v>15911</v>
      </c>
      <c r="F3442" t="s">
        <v>15882</v>
      </c>
      <c r="G3442" t="s">
        <v>15883</v>
      </c>
      <c r="H3442">
        <v>17.723419100000001</v>
      </c>
      <c r="I3442">
        <v>59.619146299999997</v>
      </c>
      <c r="J3442">
        <v>100</v>
      </c>
      <c r="K3442" t="s">
        <v>428</v>
      </c>
      <c r="L3442" t="s">
        <v>428</v>
      </c>
      <c r="M3442" t="s">
        <v>428</v>
      </c>
      <c r="N3442" t="s">
        <v>428</v>
      </c>
      <c r="O3442" t="s">
        <v>428</v>
      </c>
      <c r="P3442" t="s">
        <v>622</v>
      </c>
      <c r="Q3442" t="s">
        <v>6859</v>
      </c>
      <c r="R3442" t="s">
        <v>15912</v>
      </c>
      <c r="U3442" t="s">
        <v>15913</v>
      </c>
    </row>
    <row r="3443" spans="1:21" x14ac:dyDescent="0.25">
      <c r="A3443" t="s">
        <v>15914</v>
      </c>
      <c r="B3443" t="s">
        <v>22</v>
      </c>
      <c r="C3443" t="s">
        <v>15915</v>
      </c>
      <c r="D3443">
        <f t="shared" si="88"/>
        <v>-33139954</v>
      </c>
      <c r="E3443" t="s">
        <v>15881</v>
      </c>
      <c r="F3443" t="s">
        <v>15882</v>
      </c>
      <c r="G3443" t="s">
        <v>15883</v>
      </c>
      <c r="H3443">
        <v>17.910136000000001</v>
      </c>
      <c r="I3443">
        <v>59.518642999999997</v>
      </c>
      <c r="J3443">
        <v>100</v>
      </c>
      <c r="K3443" t="s">
        <v>535</v>
      </c>
      <c r="L3443" t="s">
        <v>535</v>
      </c>
      <c r="M3443" t="s">
        <v>535</v>
      </c>
      <c r="N3443" t="s">
        <v>535</v>
      </c>
      <c r="O3443" t="s">
        <v>535</v>
      </c>
      <c r="P3443" t="s">
        <v>428</v>
      </c>
      <c r="Q3443" t="s">
        <v>1034</v>
      </c>
      <c r="R3443" t="s">
        <v>15916</v>
      </c>
      <c r="U3443" t="s">
        <v>15917</v>
      </c>
    </row>
    <row r="3444" spans="1:21" x14ac:dyDescent="0.25">
      <c r="A3444" t="s">
        <v>15918</v>
      </c>
      <c r="B3444" t="s">
        <v>38</v>
      </c>
      <c r="C3444" t="s">
        <v>15919</v>
      </c>
      <c r="D3444">
        <f t="shared" si="88"/>
        <v>-33139954</v>
      </c>
      <c r="E3444" t="s">
        <v>15920</v>
      </c>
      <c r="F3444" t="s">
        <v>15882</v>
      </c>
      <c r="G3444" t="s">
        <v>15883</v>
      </c>
      <c r="H3444">
        <v>18.299737</v>
      </c>
      <c r="I3444">
        <v>59.479627999999998</v>
      </c>
      <c r="J3444">
        <v>100</v>
      </c>
      <c r="K3444" t="s">
        <v>428</v>
      </c>
      <c r="L3444" t="s">
        <v>428</v>
      </c>
      <c r="M3444" t="s">
        <v>428</v>
      </c>
      <c r="N3444" t="s">
        <v>428</v>
      </c>
      <c r="O3444" t="s">
        <v>428</v>
      </c>
      <c r="P3444" t="s">
        <v>553</v>
      </c>
      <c r="Q3444" t="s">
        <v>1289</v>
      </c>
      <c r="R3444" t="s">
        <v>15921</v>
      </c>
      <c r="U3444" t="s">
        <v>15922</v>
      </c>
    </row>
    <row r="3445" spans="1:21" x14ac:dyDescent="0.25">
      <c r="A3445" t="s">
        <v>15923</v>
      </c>
      <c r="B3445" t="s">
        <v>22</v>
      </c>
      <c r="C3445" t="s">
        <v>15924</v>
      </c>
      <c r="D3445">
        <f t="shared" si="88"/>
        <v>-33139954</v>
      </c>
      <c r="E3445" t="s">
        <v>15881</v>
      </c>
      <c r="F3445" t="s">
        <v>15882</v>
      </c>
      <c r="G3445" t="s">
        <v>15883</v>
      </c>
      <c r="H3445">
        <v>17.951134</v>
      </c>
      <c r="I3445">
        <v>59.428331999999997</v>
      </c>
      <c r="J3445">
        <v>100</v>
      </c>
      <c r="K3445" t="s">
        <v>535</v>
      </c>
      <c r="L3445" t="s">
        <v>535</v>
      </c>
      <c r="M3445" t="s">
        <v>535</v>
      </c>
      <c r="N3445" t="s">
        <v>535</v>
      </c>
      <c r="O3445" t="s">
        <v>535</v>
      </c>
      <c r="P3445" t="s">
        <v>553</v>
      </c>
      <c r="Q3445" t="s">
        <v>553</v>
      </c>
      <c r="R3445" t="s">
        <v>15925</v>
      </c>
      <c r="U3445" t="s">
        <v>15926</v>
      </c>
    </row>
    <row r="3446" spans="1:21" x14ac:dyDescent="0.25">
      <c r="A3446" t="s">
        <v>15927</v>
      </c>
      <c r="B3446" t="s">
        <v>22</v>
      </c>
      <c r="C3446" t="s">
        <v>15928</v>
      </c>
      <c r="D3446">
        <f t="shared" si="88"/>
        <v>-33139954</v>
      </c>
      <c r="E3446" t="s">
        <v>15881</v>
      </c>
      <c r="F3446" t="s">
        <v>15882</v>
      </c>
      <c r="G3446" t="s">
        <v>15883</v>
      </c>
      <c r="H3446">
        <v>18.139627000000001</v>
      </c>
      <c r="I3446">
        <v>59.169733999999998</v>
      </c>
      <c r="J3446">
        <v>100</v>
      </c>
      <c r="K3446" t="s">
        <v>535</v>
      </c>
      <c r="L3446" t="s">
        <v>535</v>
      </c>
      <c r="M3446" t="s">
        <v>535</v>
      </c>
      <c r="N3446" t="s">
        <v>535</v>
      </c>
      <c r="O3446" t="s">
        <v>535</v>
      </c>
      <c r="P3446" t="s">
        <v>428</v>
      </c>
      <c r="Q3446" t="s">
        <v>564</v>
      </c>
      <c r="R3446" t="s">
        <v>15929</v>
      </c>
      <c r="U3446" t="s">
        <v>15930</v>
      </c>
    </row>
    <row r="3447" spans="1:21" x14ac:dyDescent="0.25">
      <c r="A3447" t="s">
        <v>15931</v>
      </c>
      <c r="B3447" t="s">
        <v>22</v>
      </c>
      <c r="C3447" t="s">
        <v>15932</v>
      </c>
      <c r="D3447">
        <f t="shared" si="88"/>
        <v>-33139954</v>
      </c>
      <c r="E3447" t="s">
        <v>15881</v>
      </c>
      <c r="F3447" t="s">
        <v>15882</v>
      </c>
      <c r="G3447" t="s">
        <v>15883</v>
      </c>
      <c r="H3447">
        <v>17.874922000000002</v>
      </c>
      <c r="I3447">
        <v>59.361877999999997</v>
      </c>
      <c r="J3447">
        <v>100</v>
      </c>
      <c r="K3447" t="s">
        <v>45</v>
      </c>
      <c r="L3447" t="s">
        <v>45</v>
      </c>
      <c r="M3447" t="s">
        <v>45</v>
      </c>
      <c r="N3447" t="s">
        <v>45</v>
      </c>
      <c r="O3447" t="s">
        <v>45</v>
      </c>
      <c r="P3447" t="s">
        <v>428</v>
      </c>
      <c r="Q3447" t="s">
        <v>1034</v>
      </c>
      <c r="R3447" t="s">
        <v>15933</v>
      </c>
      <c r="U3447" t="s">
        <v>15934</v>
      </c>
    </row>
    <row r="3448" spans="1:21" x14ac:dyDescent="0.25">
      <c r="A3448" t="s">
        <v>15935</v>
      </c>
      <c r="B3448" t="s">
        <v>22</v>
      </c>
      <c r="C3448" t="s">
        <v>15936</v>
      </c>
      <c r="D3448">
        <f t="shared" si="88"/>
        <v>-33139954</v>
      </c>
      <c r="E3448" t="s">
        <v>15881</v>
      </c>
      <c r="F3448" t="s">
        <v>15882</v>
      </c>
      <c r="G3448" t="s">
        <v>15883</v>
      </c>
      <c r="H3448">
        <v>17.953287</v>
      </c>
      <c r="I3448">
        <v>59.356454999999997</v>
      </c>
      <c r="J3448">
        <v>100</v>
      </c>
      <c r="K3448" t="s">
        <v>45</v>
      </c>
      <c r="L3448" t="s">
        <v>45</v>
      </c>
      <c r="M3448" t="s">
        <v>45</v>
      </c>
      <c r="N3448" t="s">
        <v>45</v>
      </c>
      <c r="O3448" t="s">
        <v>45</v>
      </c>
      <c r="P3448" t="s">
        <v>428</v>
      </c>
      <c r="Q3448" t="s">
        <v>428</v>
      </c>
      <c r="R3448" t="s">
        <v>15937</v>
      </c>
      <c r="U3448" t="s">
        <v>15938</v>
      </c>
    </row>
    <row r="3449" spans="1:21" x14ac:dyDescent="0.25">
      <c r="A3449" t="s">
        <v>15939</v>
      </c>
      <c r="B3449" t="s">
        <v>32</v>
      </c>
      <c r="C3449" t="s">
        <v>15940</v>
      </c>
      <c r="D3449">
        <f t="shared" si="88"/>
        <v>-33139954</v>
      </c>
      <c r="E3449" t="s">
        <v>15881</v>
      </c>
      <c r="F3449" t="s">
        <v>15882</v>
      </c>
      <c r="G3449" t="s">
        <v>15883</v>
      </c>
      <c r="H3449">
        <v>18.003337999999999</v>
      </c>
      <c r="I3449">
        <v>59.370185999999997</v>
      </c>
      <c r="J3449">
        <v>100</v>
      </c>
      <c r="K3449" t="s">
        <v>536</v>
      </c>
      <c r="L3449" t="s">
        <v>536</v>
      </c>
      <c r="M3449" t="s">
        <v>536</v>
      </c>
      <c r="N3449" t="s">
        <v>536</v>
      </c>
      <c r="O3449" t="s">
        <v>536</v>
      </c>
      <c r="P3449" t="s">
        <v>536</v>
      </c>
      <c r="Q3449" t="s">
        <v>536</v>
      </c>
      <c r="R3449" t="s">
        <v>15941</v>
      </c>
      <c r="U3449" t="s">
        <v>15942</v>
      </c>
    </row>
    <row r="3450" spans="1:21" x14ac:dyDescent="0.25">
      <c r="A3450" t="s">
        <v>15943</v>
      </c>
      <c r="B3450" t="s">
        <v>22</v>
      </c>
      <c r="C3450" t="s">
        <v>15944</v>
      </c>
      <c r="D3450">
        <f t="shared" si="88"/>
        <v>-33139954</v>
      </c>
      <c r="E3450" t="s">
        <v>15881</v>
      </c>
      <c r="F3450" t="s">
        <v>15882</v>
      </c>
      <c r="G3450" t="s">
        <v>15883</v>
      </c>
      <c r="H3450">
        <v>18.000719</v>
      </c>
      <c r="I3450">
        <v>59.359861000000002</v>
      </c>
      <c r="J3450">
        <v>100</v>
      </c>
      <c r="K3450" t="s">
        <v>45</v>
      </c>
      <c r="L3450" t="s">
        <v>45</v>
      </c>
      <c r="M3450" t="s">
        <v>45</v>
      </c>
      <c r="N3450" t="s">
        <v>45</v>
      </c>
      <c r="O3450" t="s">
        <v>45</v>
      </c>
      <c r="P3450" t="s">
        <v>428</v>
      </c>
      <c r="Q3450" t="s">
        <v>1034</v>
      </c>
      <c r="R3450" t="s">
        <v>15945</v>
      </c>
      <c r="U3450" t="s">
        <v>15946</v>
      </c>
    </row>
    <row r="3451" spans="1:21" x14ac:dyDescent="0.25">
      <c r="A3451" t="s">
        <v>15947</v>
      </c>
      <c r="B3451" t="s">
        <v>38</v>
      </c>
      <c r="C3451" t="s">
        <v>15948</v>
      </c>
      <c r="D3451">
        <f t="shared" si="88"/>
        <v>-33139954</v>
      </c>
      <c r="E3451" t="s">
        <v>15881</v>
      </c>
      <c r="F3451" t="s">
        <v>15882</v>
      </c>
      <c r="G3451" t="s">
        <v>15883</v>
      </c>
      <c r="H3451">
        <v>17.981877999999998</v>
      </c>
      <c r="I3451">
        <v>59.236553999999998</v>
      </c>
      <c r="J3451">
        <v>100</v>
      </c>
      <c r="K3451" t="s">
        <v>535</v>
      </c>
      <c r="L3451" t="s">
        <v>535</v>
      </c>
      <c r="M3451" t="s">
        <v>535</v>
      </c>
      <c r="N3451" t="s">
        <v>535</v>
      </c>
      <c r="O3451" t="s">
        <v>535</v>
      </c>
      <c r="P3451" t="s">
        <v>553</v>
      </c>
      <c r="Q3451" t="s">
        <v>5842</v>
      </c>
      <c r="R3451" t="s">
        <v>15949</v>
      </c>
      <c r="U3451" t="s">
        <v>15950</v>
      </c>
    </row>
    <row r="3452" spans="1:21" x14ac:dyDescent="0.25">
      <c r="A3452" t="s">
        <v>15951</v>
      </c>
      <c r="B3452" t="s">
        <v>22</v>
      </c>
      <c r="C3452" t="s">
        <v>15952</v>
      </c>
      <c r="D3452">
        <f t="shared" si="88"/>
        <v>-33139954</v>
      </c>
      <c r="E3452" t="s">
        <v>15881</v>
      </c>
      <c r="F3452" t="s">
        <v>15882</v>
      </c>
      <c r="G3452" t="s">
        <v>15883</v>
      </c>
      <c r="H3452">
        <v>17.907160999999999</v>
      </c>
      <c r="I3452">
        <v>59.275105000000003</v>
      </c>
      <c r="J3452">
        <v>100</v>
      </c>
      <c r="K3452" t="s">
        <v>45</v>
      </c>
      <c r="L3452" t="s">
        <v>45</v>
      </c>
      <c r="M3452" t="s">
        <v>45</v>
      </c>
      <c r="N3452" t="s">
        <v>45</v>
      </c>
      <c r="O3452" t="s">
        <v>45</v>
      </c>
      <c r="P3452" t="s">
        <v>535</v>
      </c>
      <c r="Q3452" t="s">
        <v>1034</v>
      </c>
      <c r="R3452" t="s">
        <v>15953</v>
      </c>
      <c r="U3452" t="s">
        <v>15954</v>
      </c>
    </row>
    <row r="3453" spans="1:21" x14ac:dyDescent="0.25">
      <c r="A3453" t="s">
        <v>15955</v>
      </c>
      <c r="B3453" t="s">
        <v>32</v>
      </c>
      <c r="C3453" t="s">
        <v>15956</v>
      </c>
      <c r="D3453">
        <f t="shared" si="88"/>
        <v>-33139954</v>
      </c>
      <c r="E3453" t="s">
        <v>15881</v>
      </c>
      <c r="F3453" t="s">
        <v>15882</v>
      </c>
      <c r="G3453" t="s">
        <v>15883</v>
      </c>
      <c r="H3453">
        <v>18.069728000000001</v>
      </c>
      <c r="I3453">
        <v>59.445422000000001</v>
      </c>
      <c r="J3453">
        <v>100</v>
      </c>
      <c r="K3453" t="s">
        <v>45</v>
      </c>
      <c r="L3453" t="s">
        <v>45</v>
      </c>
      <c r="M3453" t="s">
        <v>45</v>
      </c>
      <c r="N3453" t="s">
        <v>45</v>
      </c>
      <c r="O3453" t="s">
        <v>45</v>
      </c>
      <c r="P3453" t="s">
        <v>428</v>
      </c>
      <c r="Q3453" t="s">
        <v>428</v>
      </c>
      <c r="R3453" t="s">
        <v>15957</v>
      </c>
      <c r="U3453" t="s">
        <v>15958</v>
      </c>
    </row>
    <row r="3454" spans="1:21" x14ac:dyDescent="0.25">
      <c r="A3454" t="s">
        <v>15959</v>
      </c>
      <c r="B3454" t="s">
        <v>22</v>
      </c>
      <c r="C3454" t="s">
        <v>15960</v>
      </c>
      <c r="D3454">
        <f t="shared" si="88"/>
        <v>-33139954</v>
      </c>
      <c r="E3454" t="s">
        <v>15881</v>
      </c>
      <c r="F3454" t="s">
        <v>15882</v>
      </c>
      <c r="G3454" t="s">
        <v>15883</v>
      </c>
      <c r="H3454">
        <v>17.916729</v>
      </c>
      <c r="I3454">
        <v>59.269485000000003</v>
      </c>
      <c r="J3454">
        <v>100</v>
      </c>
      <c r="K3454" t="s">
        <v>45</v>
      </c>
      <c r="L3454" t="s">
        <v>45</v>
      </c>
      <c r="M3454" t="s">
        <v>45</v>
      </c>
      <c r="N3454" t="s">
        <v>45</v>
      </c>
      <c r="O3454" t="s">
        <v>45</v>
      </c>
      <c r="P3454" t="s">
        <v>428</v>
      </c>
      <c r="Q3454" t="s">
        <v>428</v>
      </c>
      <c r="R3454" t="s">
        <v>15961</v>
      </c>
      <c r="U3454" t="s">
        <v>15962</v>
      </c>
    </row>
    <row r="3455" spans="1:21" x14ac:dyDescent="0.25">
      <c r="A3455" t="s">
        <v>15963</v>
      </c>
      <c r="B3455" t="s">
        <v>22</v>
      </c>
      <c r="C3455" t="s">
        <v>15964</v>
      </c>
      <c r="D3455">
        <f t="shared" si="88"/>
        <v>-33139954</v>
      </c>
      <c r="E3455" t="s">
        <v>15881</v>
      </c>
      <c r="F3455" t="s">
        <v>15882</v>
      </c>
      <c r="G3455" t="s">
        <v>15883</v>
      </c>
      <c r="H3455">
        <v>18.164387999999999</v>
      </c>
      <c r="I3455">
        <v>59.309423000000002</v>
      </c>
      <c r="J3455">
        <v>100</v>
      </c>
      <c r="K3455" t="s">
        <v>45</v>
      </c>
      <c r="L3455" t="s">
        <v>45</v>
      </c>
      <c r="M3455" t="s">
        <v>45</v>
      </c>
      <c r="N3455" t="s">
        <v>45</v>
      </c>
      <c r="O3455" t="s">
        <v>45</v>
      </c>
      <c r="P3455" t="s">
        <v>428</v>
      </c>
      <c r="Q3455" t="s">
        <v>1034</v>
      </c>
      <c r="R3455" t="s">
        <v>15965</v>
      </c>
      <c r="U3455" t="s">
        <v>15966</v>
      </c>
    </row>
    <row r="3456" spans="1:21" x14ac:dyDescent="0.25">
      <c r="A3456" t="s">
        <v>15967</v>
      </c>
      <c r="B3456" t="s">
        <v>38</v>
      </c>
      <c r="C3456" t="s">
        <v>15968</v>
      </c>
      <c r="D3456">
        <f t="shared" si="88"/>
        <v>-33139954</v>
      </c>
      <c r="E3456" t="s">
        <v>15881</v>
      </c>
      <c r="F3456" t="s">
        <v>15882</v>
      </c>
      <c r="G3456" t="s">
        <v>15883</v>
      </c>
      <c r="H3456">
        <v>18.422203236523501</v>
      </c>
      <c r="I3456">
        <v>59.312506870618897</v>
      </c>
      <c r="J3456">
        <v>100</v>
      </c>
      <c r="K3456" t="s">
        <v>535</v>
      </c>
      <c r="L3456" t="s">
        <v>535</v>
      </c>
      <c r="M3456" t="s">
        <v>535</v>
      </c>
      <c r="N3456" t="s">
        <v>535</v>
      </c>
      <c r="O3456" t="s">
        <v>535</v>
      </c>
      <c r="P3456" t="s">
        <v>553</v>
      </c>
      <c r="Q3456" t="s">
        <v>564</v>
      </c>
      <c r="R3456" t="s">
        <v>15969</v>
      </c>
      <c r="U3456" t="s">
        <v>15970</v>
      </c>
    </row>
    <row r="3457" spans="1:21" x14ac:dyDescent="0.25">
      <c r="A3457" t="s">
        <v>15971</v>
      </c>
      <c r="B3457" t="s">
        <v>38</v>
      </c>
      <c r="C3457" t="s">
        <v>15972</v>
      </c>
      <c r="D3457">
        <f t="shared" si="88"/>
        <v>-33139954</v>
      </c>
      <c r="E3457" t="s">
        <v>15881</v>
      </c>
      <c r="F3457" t="s">
        <v>15882</v>
      </c>
      <c r="G3457" t="s">
        <v>15883</v>
      </c>
      <c r="H3457">
        <v>18.228973</v>
      </c>
      <c r="I3457">
        <v>59.244961000000004</v>
      </c>
      <c r="J3457">
        <v>100</v>
      </c>
      <c r="K3457" t="s">
        <v>535</v>
      </c>
      <c r="L3457" t="s">
        <v>535</v>
      </c>
      <c r="M3457" t="s">
        <v>535</v>
      </c>
      <c r="N3457" t="s">
        <v>535</v>
      </c>
      <c r="O3457" t="s">
        <v>535</v>
      </c>
      <c r="P3457" t="s">
        <v>553</v>
      </c>
      <c r="Q3457" t="s">
        <v>564</v>
      </c>
      <c r="R3457" t="s">
        <v>15973</v>
      </c>
      <c r="U3457" t="s">
        <v>15974</v>
      </c>
    </row>
    <row r="3458" spans="1:21" x14ac:dyDescent="0.25">
      <c r="A3458" t="s">
        <v>15975</v>
      </c>
      <c r="B3458" t="s">
        <v>22</v>
      </c>
      <c r="C3458" t="s">
        <v>15976</v>
      </c>
      <c r="D3458">
        <f t="shared" si="88"/>
        <v>-33139954</v>
      </c>
      <c r="E3458" t="s">
        <v>15881</v>
      </c>
      <c r="F3458" t="s">
        <v>15882</v>
      </c>
      <c r="G3458" t="s">
        <v>15883</v>
      </c>
      <c r="H3458">
        <v>18.074013999999998</v>
      </c>
      <c r="I3458">
        <v>59.308101999999998</v>
      </c>
      <c r="J3458">
        <v>100</v>
      </c>
      <c r="K3458" t="s">
        <v>45</v>
      </c>
      <c r="L3458" t="s">
        <v>45</v>
      </c>
      <c r="M3458" t="s">
        <v>45</v>
      </c>
      <c r="N3458" t="s">
        <v>45</v>
      </c>
      <c r="O3458" t="s">
        <v>45</v>
      </c>
      <c r="P3458" t="s">
        <v>428</v>
      </c>
      <c r="Q3458" t="s">
        <v>1034</v>
      </c>
      <c r="R3458" t="s">
        <v>15977</v>
      </c>
      <c r="U3458" t="s">
        <v>15978</v>
      </c>
    </row>
    <row r="3459" spans="1:21" x14ac:dyDescent="0.25">
      <c r="A3459" t="s">
        <v>15979</v>
      </c>
      <c r="B3459" t="s">
        <v>22</v>
      </c>
      <c r="C3459" t="s">
        <v>15980</v>
      </c>
      <c r="D3459">
        <f t="shared" si="88"/>
        <v>-33139954</v>
      </c>
      <c r="E3459" t="s">
        <v>15881</v>
      </c>
      <c r="F3459" t="s">
        <v>15882</v>
      </c>
      <c r="G3459" t="s">
        <v>15883</v>
      </c>
      <c r="H3459">
        <v>18.089053</v>
      </c>
      <c r="I3459">
        <v>59.242992999999998</v>
      </c>
      <c r="J3459">
        <v>100</v>
      </c>
      <c r="K3459" t="s">
        <v>45</v>
      </c>
      <c r="L3459" t="s">
        <v>45</v>
      </c>
      <c r="M3459" t="s">
        <v>45</v>
      </c>
      <c r="N3459" t="s">
        <v>45</v>
      </c>
      <c r="O3459" t="s">
        <v>45</v>
      </c>
      <c r="P3459" t="s">
        <v>428</v>
      </c>
      <c r="Q3459" t="s">
        <v>564</v>
      </c>
      <c r="R3459" t="s">
        <v>15981</v>
      </c>
      <c r="U3459" t="s">
        <v>15982</v>
      </c>
    </row>
    <row r="3460" spans="1:21" x14ac:dyDescent="0.25">
      <c r="A3460" t="s">
        <v>15983</v>
      </c>
      <c r="B3460" t="s">
        <v>22</v>
      </c>
      <c r="C3460" t="s">
        <v>15984</v>
      </c>
      <c r="D3460">
        <f t="shared" si="88"/>
        <v>-33139954</v>
      </c>
      <c r="E3460" t="s">
        <v>15881</v>
      </c>
      <c r="F3460" t="s">
        <v>15882</v>
      </c>
      <c r="G3460" t="s">
        <v>15883</v>
      </c>
      <c r="H3460">
        <v>18.0810814999999</v>
      </c>
      <c r="I3460">
        <v>59.293010799999998</v>
      </c>
      <c r="J3460">
        <v>100</v>
      </c>
      <c r="K3460" t="s">
        <v>535</v>
      </c>
      <c r="L3460" t="s">
        <v>535</v>
      </c>
      <c r="M3460" t="s">
        <v>535</v>
      </c>
      <c r="N3460" t="s">
        <v>535</v>
      </c>
      <c r="O3460" t="s">
        <v>535</v>
      </c>
      <c r="P3460" t="s">
        <v>553</v>
      </c>
      <c r="Q3460" t="s">
        <v>564</v>
      </c>
      <c r="R3460" t="s">
        <v>15985</v>
      </c>
      <c r="U3460" t="s">
        <v>15986</v>
      </c>
    </row>
    <row r="3461" spans="1:21" x14ac:dyDescent="0.25">
      <c r="A3461" t="s">
        <v>15987</v>
      </c>
      <c r="B3461" t="s">
        <v>22</v>
      </c>
      <c r="C3461" t="s">
        <v>15988</v>
      </c>
      <c r="D3461">
        <f t="shared" si="88"/>
        <v>-33139954</v>
      </c>
      <c r="E3461" t="s">
        <v>15881</v>
      </c>
      <c r="F3461" t="s">
        <v>15882</v>
      </c>
      <c r="G3461" t="s">
        <v>15883</v>
      </c>
      <c r="H3461">
        <v>18.022421099999999</v>
      </c>
      <c r="I3461">
        <v>59.309531900000003</v>
      </c>
      <c r="J3461">
        <v>100</v>
      </c>
      <c r="K3461" t="s">
        <v>45</v>
      </c>
      <c r="L3461" t="s">
        <v>45</v>
      </c>
      <c r="M3461" t="s">
        <v>45</v>
      </c>
      <c r="N3461" t="s">
        <v>45</v>
      </c>
      <c r="O3461" t="s">
        <v>45</v>
      </c>
      <c r="P3461" t="s">
        <v>428</v>
      </c>
      <c r="Q3461" t="s">
        <v>428</v>
      </c>
      <c r="R3461" t="s">
        <v>15989</v>
      </c>
      <c r="U3461" t="s">
        <v>15990</v>
      </c>
    </row>
    <row r="3462" spans="1:21" x14ac:dyDescent="0.25">
      <c r="A3462" t="s">
        <v>15991</v>
      </c>
      <c r="B3462" t="s">
        <v>22</v>
      </c>
      <c r="C3462" t="s">
        <v>15992</v>
      </c>
      <c r="D3462">
        <f t="shared" si="88"/>
        <v>-33139954</v>
      </c>
      <c r="E3462" t="s">
        <v>15881</v>
      </c>
      <c r="F3462" t="s">
        <v>15882</v>
      </c>
      <c r="G3462" t="s">
        <v>15883</v>
      </c>
      <c r="H3462">
        <v>18.033499717712399</v>
      </c>
      <c r="I3462">
        <v>59.316790799755601</v>
      </c>
      <c r="J3462">
        <v>100</v>
      </c>
      <c r="K3462" t="s">
        <v>45</v>
      </c>
      <c r="L3462" t="s">
        <v>45</v>
      </c>
      <c r="M3462" t="s">
        <v>45</v>
      </c>
      <c r="N3462" t="s">
        <v>45</v>
      </c>
      <c r="O3462" t="s">
        <v>45</v>
      </c>
      <c r="P3462" t="s">
        <v>428</v>
      </c>
      <c r="Q3462" t="s">
        <v>1034</v>
      </c>
      <c r="R3462" t="s">
        <v>15993</v>
      </c>
      <c r="U3462" t="s">
        <v>15994</v>
      </c>
    </row>
    <row r="3463" spans="1:21" x14ac:dyDescent="0.25">
      <c r="A3463" t="s">
        <v>15995</v>
      </c>
      <c r="B3463" t="s">
        <v>22</v>
      </c>
      <c r="C3463" t="s">
        <v>15996</v>
      </c>
      <c r="D3463">
        <f t="shared" si="88"/>
        <v>-33139954</v>
      </c>
      <c r="E3463" t="s">
        <v>15881</v>
      </c>
      <c r="F3463" t="s">
        <v>15882</v>
      </c>
      <c r="G3463" t="s">
        <v>15883</v>
      </c>
      <c r="H3463">
        <v>18.092122077941799</v>
      </c>
      <c r="I3463">
        <v>59.339388848217503</v>
      </c>
      <c r="J3463">
        <v>100</v>
      </c>
      <c r="K3463" t="s">
        <v>45</v>
      </c>
      <c r="L3463" t="s">
        <v>45</v>
      </c>
      <c r="M3463" t="s">
        <v>45</v>
      </c>
      <c r="N3463" t="s">
        <v>45</v>
      </c>
      <c r="O3463" t="s">
        <v>45</v>
      </c>
      <c r="P3463" t="s">
        <v>428</v>
      </c>
      <c r="Q3463" t="s">
        <v>564</v>
      </c>
      <c r="R3463" t="s">
        <v>15997</v>
      </c>
      <c r="U3463" t="s">
        <v>15998</v>
      </c>
    </row>
    <row r="3464" spans="1:21" x14ac:dyDescent="0.25">
      <c r="A3464" t="s">
        <v>15999</v>
      </c>
      <c r="B3464" t="s">
        <v>38</v>
      </c>
      <c r="C3464" t="s">
        <v>16000</v>
      </c>
      <c r="D3464">
        <f t="shared" si="88"/>
        <v>-33139954</v>
      </c>
      <c r="E3464" t="s">
        <v>15881</v>
      </c>
      <c r="F3464" t="s">
        <v>15882</v>
      </c>
      <c r="G3464" t="s">
        <v>15883</v>
      </c>
      <c r="H3464">
        <v>18.135120000000001</v>
      </c>
      <c r="I3464">
        <v>59.366052000000003</v>
      </c>
      <c r="J3464">
        <v>100</v>
      </c>
      <c r="K3464" t="s">
        <v>535</v>
      </c>
      <c r="L3464" t="s">
        <v>535</v>
      </c>
      <c r="M3464" t="s">
        <v>535</v>
      </c>
      <c r="N3464" t="s">
        <v>535</v>
      </c>
      <c r="O3464" t="s">
        <v>535</v>
      </c>
      <c r="P3464" t="s">
        <v>622</v>
      </c>
      <c r="R3464" t="s">
        <v>16001</v>
      </c>
      <c r="U3464" t="s">
        <v>16002</v>
      </c>
    </row>
    <row r="3465" spans="1:21" x14ac:dyDescent="0.25">
      <c r="A3465" t="s">
        <v>16003</v>
      </c>
      <c r="B3465" t="s">
        <v>22</v>
      </c>
      <c r="C3465" t="s">
        <v>16004</v>
      </c>
      <c r="D3465">
        <f t="shared" si="88"/>
        <v>-33139954</v>
      </c>
      <c r="E3465" t="s">
        <v>15881</v>
      </c>
      <c r="F3465" t="s">
        <v>15882</v>
      </c>
      <c r="G3465" t="s">
        <v>15883</v>
      </c>
      <c r="H3465">
        <v>17.9438924789428</v>
      </c>
      <c r="I3465">
        <v>59.403423366077099</v>
      </c>
      <c r="J3465">
        <v>100</v>
      </c>
      <c r="K3465" t="s">
        <v>535</v>
      </c>
      <c r="L3465" t="s">
        <v>535</v>
      </c>
      <c r="M3465" t="s">
        <v>535</v>
      </c>
      <c r="N3465" t="s">
        <v>535</v>
      </c>
      <c r="O3465" t="s">
        <v>535</v>
      </c>
      <c r="P3465" t="s">
        <v>1034</v>
      </c>
      <c r="Q3465" t="s">
        <v>1034</v>
      </c>
      <c r="R3465" t="s">
        <v>16005</v>
      </c>
      <c r="U3465" t="s">
        <v>16006</v>
      </c>
    </row>
    <row r="3466" spans="1:21" x14ac:dyDescent="0.25">
      <c r="A3466" t="s">
        <v>16007</v>
      </c>
      <c r="B3466" t="s">
        <v>22</v>
      </c>
      <c r="C3466" t="s">
        <v>16008</v>
      </c>
      <c r="D3466">
        <f t="shared" si="88"/>
        <v>-33139954</v>
      </c>
      <c r="E3466" t="s">
        <v>15881</v>
      </c>
      <c r="F3466" t="s">
        <v>15882</v>
      </c>
      <c r="G3466" t="s">
        <v>15883</v>
      </c>
      <c r="H3466">
        <v>18.032389200000001</v>
      </c>
      <c r="I3466">
        <v>59.334544000000001</v>
      </c>
      <c r="J3466">
        <v>100</v>
      </c>
      <c r="K3466" t="s">
        <v>45</v>
      </c>
      <c r="L3466" t="s">
        <v>45</v>
      </c>
      <c r="M3466" t="s">
        <v>45</v>
      </c>
      <c r="N3466" t="s">
        <v>45</v>
      </c>
      <c r="O3466" t="s">
        <v>45</v>
      </c>
      <c r="P3466" t="s">
        <v>428</v>
      </c>
      <c r="Q3466" t="s">
        <v>564</v>
      </c>
      <c r="R3466" t="s">
        <v>16009</v>
      </c>
      <c r="U3466" t="s">
        <v>16010</v>
      </c>
    </row>
    <row r="3467" spans="1:21" x14ac:dyDescent="0.25">
      <c r="A3467" t="s">
        <v>16011</v>
      </c>
      <c r="B3467" t="s">
        <v>22</v>
      </c>
      <c r="C3467" t="s">
        <v>16012</v>
      </c>
      <c r="D3467">
        <f t="shared" ref="D3467:D3493" si="89">46-33140000</f>
        <v>-33139954</v>
      </c>
      <c r="E3467" t="s">
        <v>16013</v>
      </c>
      <c r="F3467" t="s">
        <v>15882</v>
      </c>
      <c r="G3467" t="s">
        <v>15883</v>
      </c>
      <c r="H3467">
        <v>17.672638899999999</v>
      </c>
      <c r="I3467">
        <v>59.876975299999998</v>
      </c>
      <c r="J3467">
        <v>110</v>
      </c>
      <c r="K3467" t="s">
        <v>45</v>
      </c>
      <c r="L3467" t="s">
        <v>45</v>
      </c>
      <c r="M3467" t="s">
        <v>45</v>
      </c>
      <c r="N3467" t="s">
        <v>45</v>
      </c>
      <c r="O3467" t="s">
        <v>45</v>
      </c>
      <c r="P3467" t="s">
        <v>45</v>
      </c>
      <c r="Q3467" t="s">
        <v>45</v>
      </c>
      <c r="R3467" t="s">
        <v>16014</v>
      </c>
      <c r="U3467" t="s">
        <v>16015</v>
      </c>
    </row>
    <row r="3468" spans="1:21" x14ac:dyDescent="0.25">
      <c r="A3468" t="s">
        <v>16016</v>
      </c>
      <c r="B3468" t="s">
        <v>22</v>
      </c>
      <c r="C3468" t="s">
        <v>16017</v>
      </c>
      <c r="D3468">
        <f t="shared" si="89"/>
        <v>-33139954</v>
      </c>
      <c r="E3468" t="s">
        <v>16018</v>
      </c>
      <c r="F3468" t="s">
        <v>15882</v>
      </c>
      <c r="G3468" t="s">
        <v>15883</v>
      </c>
      <c r="H3468">
        <v>18.300510299999999</v>
      </c>
      <c r="I3468">
        <v>57.637614399999997</v>
      </c>
      <c r="J3468">
        <v>100</v>
      </c>
      <c r="K3468" t="s">
        <v>428</v>
      </c>
      <c r="L3468" t="s">
        <v>428</v>
      </c>
      <c r="M3468" t="s">
        <v>428</v>
      </c>
      <c r="N3468" t="s">
        <v>428</v>
      </c>
      <c r="O3468" t="s">
        <v>428</v>
      </c>
      <c r="P3468" t="s">
        <v>622</v>
      </c>
      <c r="R3468" t="s">
        <v>16019</v>
      </c>
      <c r="U3468" t="s">
        <v>16020</v>
      </c>
    </row>
    <row r="3469" spans="1:21" x14ac:dyDescent="0.25">
      <c r="A3469" t="s">
        <v>16021</v>
      </c>
      <c r="B3469" t="s">
        <v>38</v>
      </c>
      <c r="C3469" t="s">
        <v>16022</v>
      </c>
      <c r="D3469">
        <f t="shared" si="89"/>
        <v>-33139954</v>
      </c>
      <c r="E3469" t="s">
        <v>15881</v>
      </c>
      <c r="F3469" t="s">
        <v>15882</v>
      </c>
      <c r="G3469" t="s">
        <v>15883</v>
      </c>
      <c r="H3469">
        <v>18.036864099999999</v>
      </c>
      <c r="I3469">
        <v>59.396718900000003</v>
      </c>
      <c r="J3469">
        <v>100</v>
      </c>
      <c r="K3469" t="s">
        <v>535</v>
      </c>
      <c r="L3469" t="s">
        <v>535</v>
      </c>
      <c r="M3469" t="s">
        <v>535</v>
      </c>
      <c r="N3469" t="s">
        <v>535</v>
      </c>
      <c r="O3469" t="s">
        <v>535</v>
      </c>
      <c r="P3469" t="s">
        <v>622</v>
      </c>
      <c r="Q3469" t="s">
        <v>6859</v>
      </c>
      <c r="R3469" t="s">
        <v>16023</v>
      </c>
      <c r="U3469" t="s">
        <v>16024</v>
      </c>
    </row>
    <row r="3470" spans="1:21" x14ac:dyDescent="0.25">
      <c r="A3470" t="s">
        <v>16025</v>
      </c>
      <c r="B3470" t="s">
        <v>22</v>
      </c>
      <c r="C3470" t="s">
        <v>16026</v>
      </c>
      <c r="D3470">
        <f t="shared" si="89"/>
        <v>-33139954</v>
      </c>
      <c r="E3470" t="s">
        <v>16026</v>
      </c>
      <c r="F3470" t="s">
        <v>15882</v>
      </c>
      <c r="G3470" t="s">
        <v>15883</v>
      </c>
      <c r="H3470">
        <v>12.011735</v>
      </c>
      <c r="I3470">
        <v>57.655054999999997</v>
      </c>
      <c r="J3470">
        <v>110</v>
      </c>
      <c r="K3470" t="s">
        <v>45</v>
      </c>
      <c r="L3470" t="s">
        <v>45</v>
      </c>
      <c r="M3470" t="s">
        <v>45</v>
      </c>
      <c r="N3470" t="s">
        <v>45</v>
      </c>
      <c r="O3470" t="s">
        <v>45</v>
      </c>
      <c r="P3470" t="s">
        <v>553</v>
      </c>
      <c r="Q3470" t="s">
        <v>553</v>
      </c>
      <c r="R3470" t="s">
        <v>16027</v>
      </c>
      <c r="U3470" t="s">
        <v>16028</v>
      </c>
    </row>
    <row r="3471" spans="1:21" x14ac:dyDescent="0.25">
      <c r="A3471" t="s">
        <v>16029</v>
      </c>
      <c r="B3471" t="s">
        <v>22</v>
      </c>
      <c r="C3471" t="s">
        <v>16030</v>
      </c>
      <c r="D3471">
        <f t="shared" si="89"/>
        <v>-33139954</v>
      </c>
      <c r="E3471" t="s">
        <v>16031</v>
      </c>
      <c r="F3471" t="s">
        <v>15882</v>
      </c>
      <c r="G3471" t="s">
        <v>15883</v>
      </c>
      <c r="H3471">
        <v>12.1035424349975</v>
      </c>
      <c r="I3471">
        <v>57.737528801114003</v>
      </c>
      <c r="J3471">
        <v>100</v>
      </c>
      <c r="K3471" t="s">
        <v>45</v>
      </c>
      <c r="L3471" t="s">
        <v>45</v>
      </c>
      <c r="M3471" t="s">
        <v>45</v>
      </c>
      <c r="N3471" t="s">
        <v>45</v>
      </c>
      <c r="O3471" t="s">
        <v>45</v>
      </c>
      <c r="P3471" t="s">
        <v>428</v>
      </c>
      <c r="Q3471" t="s">
        <v>428</v>
      </c>
      <c r="R3471" t="s">
        <v>16032</v>
      </c>
      <c r="U3471" t="s">
        <v>16033</v>
      </c>
    </row>
    <row r="3472" spans="1:21" x14ac:dyDescent="0.25">
      <c r="A3472" t="s">
        <v>16034</v>
      </c>
      <c r="B3472" t="s">
        <v>22</v>
      </c>
      <c r="C3472" t="s">
        <v>16035</v>
      </c>
      <c r="D3472">
        <f t="shared" si="89"/>
        <v>-33139954</v>
      </c>
      <c r="E3472" t="s">
        <v>16036</v>
      </c>
      <c r="F3472" t="s">
        <v>15882</v>
      </c>
      <c r="G3472" t="s">
        <v>15883</v>
      </c>
      <c r="H3472">
        <v>11.969825996264699</v>
      </c>
      <c r="I3472">
        <v>57.872481405388399</v>
      </c>
      <c r="J3472">
        <v>100</v>
      </c>
      <c r="K3472" t="s">
        <v>535</v>
      </c>
      <c r="L3472" t="s">
        <v>535</v>
      </c>
      <c r="M3472" t="s">
        <v>535</v>
      </c>
      <c r="N3472" t="s">
        <v>535</v>
      </c>
      <c r="O3472" t="s">
        <v>535</v>
      </c>
      <c r="P3472" t="s">
        <v>553</v>
      </c>
      <c r="Q3472" t="s">
        <v>553</v>
      </c>
      <c r="R3472" t="s">
        <v>16037</v>
      </c>
      <c r="U3472" t="s">
        <v>16038</v>
      </c>
    </row>
    <row r="3473" spans="1:21" x14ac:dyDescent="0.25">
      <c r="A3473" t="s">
        <v>16039</v>
      </c>
      <c r="B3473" t="s">
        <v>22</v>
      </c>
      <c r="C3473" t="s">
        <v>16040</v>
      </c>
      <c r="D3473">
        <f t="shared" si="89"/>
        <v>-33139954</v>
      </c>
      <c r="E3473" t="s">
        <v>16041</v>
      </c>
      <c r="F3473" t="s">
        <v>15882</v>
      </c>
      <c r="G3473" t="s">
        <v>15883</v>
      </c>
      <c r="H3473">
        <v>13.853759765625</v>
      </c>
      <c r="I3473">
        <v>58.404792107253698</v>
      </c>
      <c r="J3473">
        <v>100</v>
      </c>
      <c r="K3473" t="s">
        <v>45</v>
      </c>
      <c r="L3473" t="s">
        <v>45</v>
      </c>
      <c r="M3473" t="s">
        <v>45</v>
      </c>
      <c r="N3473" t="s">
        <v>45</v>
      </c>
      <c r="O3473" t="s">
        <v>45</v>
      </c>
      <c r="P3473" t="s">
        <v>428</v>
      </c>
      <c r="Q3473" t="s">
        <v>1034</v>
      </c>
      <c r="R3473" t="s">
        <v>16042</v>
      </c>
      <c r="U3473" t="s">
        <v>16043</v>
      </c>
    </row>
    <row r="3474" spans="1:21" x14ac:dyDescent="0.25">
      <c r="A3474" t="s">
        <v>16044</v>
      </c>
      <c r="B3474" t="s">
        <v>22</v>
      </c>
      <c r="C3474" t="s">
        <v>16045</v>
      </c>
      <c r="D3474">
        <f t="shared" si="89"/>
        <v>-33139954</v>
      </c>
      <c r="E3474" t="s">
        <v>16031</v>
      </c>
      <c r="F3474" t="s">
        <v>15882</v>
      </c>
      <c r="G3474" t="s">
        <v>15883</v>
      </c>
      <c r="H3474">
        <v>11.970583</v>
      </c>
      <c r="I3474">
        <v>57.7085407</v>
      </c>
      <c r="J3474">
        <v>100</v>
      </c>
      <c r="K3474" t="s">
        <v>45</v>
      </c>
      <c r="L3474" t="s">
        <v>45</v>
      </c>
      <c r="M3474" t="s">
        <v>45</v>
      </c>
      <c r="N3474" t="s">
        <v>45</v>
      </c>
      <c r="O3474" t="s">
        <v>45</v>
      </c>
      <c r="P3474" t="s">
        <v>428</v>
      </c>
      <c r="Q3474" t="s">
        <v>428</v>
      </c>
      <c r="R3474" t="s">
        <v>16046</v>
      </c>
      <c r="U3474" t="s">
        <v>16047</v>
      </c>
    </row>
    <row r="3475" spans="1:21" x14ac:dyDescent="0.25">
      <c r="A3475" t="s">
        <v>16048</v>
      </c>
      <c r="B3475" t="s">
        <v>32</v>
      </c>
      <c r="C3475" t="s">
        <v>16049</v>
      </c>
      <c r="D3475">
        <f t="shared" si="89"/>
        <v>-33139954</v>
      </c>
      <c r="E3475" t="s">
        <v>16031</v>
      </c>
      <c r="F3475" t="s">
        <v>15882</v>
      </c>
      <c r="G3475" t="s">
        <v>15883</v>
      </c>
      <c r="H3475">
        <v>11.9676303863525</v>
      </c>
      <c r="I3475">
        <v>57.708136710917401</v>
      </c>
      <c r="J3475">
        <v>100</v>
      </c>
      <c r="K3475" t="s">
        <v>45</v>
      </c>
      <c r="L3475" t="s">
        <v>45</v>
      </c>
      <c r="M3475" t="s">
        <v>45</v>
      </c>
      <c r="N3475" t="s">
        <v>45</v>
      </c>
      <c r="O3475" t="s">
        <v>45</v>
      </c>
      <c r="P3475" t="s">
        <v>428</v>
      </c>
      <c r="Q3475" t="s">
        <v>428</v>
      </c>
      <c r="R3475" t="s">
        <v>16050</v>
      </c>
      <c r="U3475" t="s">
        <v>16051</v>
      </c>
    </row>
    <row r="3476" spans="1:21" x14ac:dyDescent="0.25">
      <c r="A3476" t="s">
        <v>16052</v>
      </c>
      <c r="B3476" t="s">
        <v>22</v>
      </c>
      <c r="C3476" t="s">
        <v>16053</v>
      </c>
      <c r="D3476">
        <f t="shared" si="89"/>
        <v>-33139954</v>
      </c>
      <c r="E3476" t="s">
        <v>16031</v>
      </c>
      <c r="F3476" t="s">
        <v>15882</v>
      </c>
      <c r="G3476" t="s">
        <v>15883</v>
      </c>
      <c r="H3476">
        <v>11.967993999999999</v>
      </c>
      <c r="I3476">
        <v>57.706352000000003</v>
      </c>
      <c r="J3476">
        <v>100</v>
      </c>
      <c r="K3476" t="s">
        <v>535</v>
      </c>
      <c r="L3476" t="s">
        <v>535</v>
      </c>
      <c r="M3476" t="s">
        <v>535</v>
      </c>
      <c r="N3476" t="s">
        <v>535</v>
      </c>
      <c r="O3476" t="s">
        <v>535</v>
      </c>
      <c r="P3476" t="s">
        <v>553</v>
      </c>
      <c r="Q3476" t="s">
        <v>6859</v>
      </c>
      <c r="R3476" t="s">
        <v>16054</v>
      </c>
      <c r="U3476" t="s">
        <v>16055</v>
      </c>
    </row>
    <row r="3477" spans="1:21" x14ac:dyDescent="0.25">
      <c r="A3477" t="s">
        <v>16056</v>
      </c>
      <c r="B3477" t="s">
        <v>38</v>
      </c>
      <c r="C3477" t="s">
        <v>16057</v>
      </c>
      <c r="D3477">
        <f t="shared" si="89"/>
        <v>-33139954</v>
      </c>
      <c r="E3477" t="s">
        <v>16057</v>
      </c>
      <c r="F3477" t="s">
        <v>15882</v>
      </c>
      <c r="G3477" t="s">
        <v>15883</v>
      </c>
      <c r="H3477">
        <v>16.206177400000001</v>
      </c>
      <c r="I3477">
        <v>58.995916999999999</v>
      </c>
      <c r="J3477">
        <v>100</v>
      </c>
      <c r="K3477" t="s">
        <v>428</v>
      </c>
      <c r="L3477" t="s">
        <v>428</v>
      </c>
      <c r="M3477" t="s">
        <v>428</v>
      </c>
      <c r="N3477" t="s">
        <v>428</v>
      </c>
      <c r="O3477" t="s">
        <v>428</v>
      </c>
      <c r="P3477" t="s">
        <v>5873</v>
      </c>
      <c r="R3477" t="s">
        <v>16058</v>
      </c>
      <c r="U3477" t="s">
        <v>16059</v>
      </c>
    </row>
    <row r="3478" spans="1:21" x14ac:dyDescent="0.25">
      <c r="A3478" t="s">
        <v>16060</v>
      </c>
      <c r="B3478" t="s">
        <v>22</v>
      </c>
      <c r="C3478" t="s">
        <v>16061</v>
      </c>
      <c r="D3478">
        <f t="shared" si="89"/>
        <v>-33139954</v>
      </c>
      <c r="E3478" t="s">
        <v>16031</v>
      </c>
      <c r="F3478" t="s">
        <v>15882</v>
      </c>
      <c r="G3478" t="s">
        <v>15883</v>
      </c>
      <c r="H3478">
        <v>11.911471493415</v>
      </c>
      <c r="I3478">
        <v>57.6513747607924</v>
      </c>
      <c r="J3478">
        <v>100</v>
      </c>
      <c r="K3478" t="s">
        <v>45</v>
      </c>
      <c r="L3478" t="s">
        <v>45</v>
      </c>
      <c r="M3478" t="s">
        <v>45</v>
      </c>
      <c r="N3478" t="s">
        <v>45</v>
      </c>
      <c r="O3478" t="s">
        <v>45</v>
      </c>
      <c r="P3478" t="s">
        <v>428</v>
      </c>
      <c r="Q3478" t="s">
        <v>1034</v>
      </c>
      <c r="R3478" t="s">
        <v>16062</v>
      </c>
      <c r="U3478" t="s">
        <v>16063</v>
      </c>
    </row>
    <row r="3479" spans="1:21" x14ac:dyDescent="0.25">
      <c r="A3479" t="s">
        <v>16064</v>
      </c>
      <c r="B3479" t="s">
        <v>38</v>
      </c>
      <c r="C3479" t="s">
        <v>16065</v>
      </c>
      <c r="D3479">
        <f t="shared" si="89"/>
        <v>-33139954</v>
      </c>
      <c r="E3479" t="s">
        <v>16031</v>
      </c>
      <c r="F3479" t="s">
        <v>15882</v>
      </c>
      <c r="G3479" t="s">
        <v>15883</v>
      </c>
      <c r="H3479">
        <v>11.9212302</v>
      </c>
      <c r="I3479">
        <v>57.648870500000001</v>
      </c>
      <c r="J3479">
        <v>100</v>
      </c>
      <c r="K3479" t="s">
        <v>45</v>
      </c>
      <c r="L3479" t="s">
        <v>45</v>
      </c>
      <c r="M3479" t="s">
        <v>45</v>
      </c>
      <c r="N3479" t="s">
        <v>45</v>
      </c>
      <c r="O3479" t="s">
        <v>45</v>
      </c>
      <c r="P3479" t="s">
        <v>428</v>
      </c>
      <c r="Q3479" t="s">
        <v>1034</v>
      </c>
      <c r="R3479" t="s">
        <v>16066</v>
      </c>
      <c r="U3479" t="s">
        <v>16067</v>
      </c>
    </row>
    <row r="3480" spans="1:21" x14ac:dyDescent="0.25">
      <c r="A3480" t="s">
        <v>16068</v>
      </c>
      <c r="B3480" t="s">
        <v>38</v>
      </c>
      <c r="C3480" t="s">
        <v>16069</v>
      </c>
      <c r="D3480">
        <f t="shared" si="89"/>
        <v>-33139954</v>
      </c>
      <c r="E3480" t="s">
        <v>16069</v>
      </c>
      <c r="F3480" t="s">
        <v>15882</v>
      </c>
      <c r="G3480" t="s">
        <v>15883</v>
      </c>
      <c r="H3480">
        <v>12.536666393280001</v>
      </c>
      <c r="I3480">
        <v>57.930129053231802</v>
      </c>
      <c r="J3480">
        <v>100</v>
      </c>
      <c r="K3480" t="s">
        <v>535</v>
      </c>
      <c r="L3480" t="s">
        <v>535</v>
      </c>
      <c r="M3480" t="s">
        <v>535</v>
      </c>
      <c r="N3480" t="s">
        <v>535</v>
      </c>
      <c r="O3480" t="s">
        <v>535</v>
      </c>
      <c r="P3480" t="s">
        <v>622</v>
      </c>
      <c r="Q3480" t="s">
        <v>5842</v>
      </c>
      <c r="R3480" t="s">
        <v>16070</v>
      </c>
      <c r="U3480" t="s">
        <v>16071</v>
      </c>
    </row>
    <row r="3481" spans="1:21" x14ac:dyDescent="0.25">
      <c r="A3481" t="s">
        <v>16072</v>
      </c>
      <c r="B3481" t="s">
        <v>22</v>
      </c>
      <c r="C3481" t="s">
        <v>16073</v>
      </c>
      <c r="D3481">
        <f t="shared" si="89"/>
        <v>-33139954</v>
      </c>
      <c r="E3481" t="s">
        <v>16074</v>
      </c>
      <c r="F3481" t="s">
        <v>15882</v>
      </c>
      <c r="G3481" t="s">
        <v>15883</v>
      </c>
      <c r="H3481">
        <v>16.365308424667301</v>
      </c>
      <c r="I3481">
        <v>56.660697019203603</v>
      </c>
      <c r="J3481">
        <v>100</v>
      </c>
      <c r="K3481" t="s">
        <v>535</v>
      </c>
      <c r="L3481" t="s">
        <v>535</v>
      </c>
      <c r="M3481" t="s">
        <v>535</v>
      </c>
      <c r="N3481" t="s">
        <v>535</v>
      </c>
      <c r="O3481" t="s">
        <v>535</v>
      </c>
      <c r="P3481" t="s">
        <v>553</v>
      </c>
      <c r="Q3481" t="s">
        <v>6859</v>
      </c>
      <c r="R3481" t="s">
        <v>16075</v>
      </c>
      <c r="U3481" t="s">
        <v>16076</v>
      </c>
    </row>
    <row r="3482" spans="1:21" x14ac:dyDescent="0.25">
      <c r="A3482" t="s">
        <v>16077</v>
      </c>
      <c r="B3482" t="s">
        <v>38</v>
      </c>
      <c r="C3482" t="s">
        <v>16078</v>
      </c>
      <c r="D3482">
        <f t="shared" si="89"/>
        <v>-33139954</v>
      </c>
      <c r="E3482" t="s">
        <v>16074</v>
      </c>
      <c r="F3482" t="s">
        <v>15882</v>
      </c>
      <c r="G3482" t="s">
        <v>15883</v>
      </c>
      <c r="H3482">
        <v>16.334022127929501</v>
      </c>
      <c r="I3482">
        <v>56.673020825122002</v>
      </c>
      <c r="J3482">
        <v>100</v>
      </c>
      <c r="K3482" t="s">
        <v>535</v>
      </c>
      <c r="L3482" t="s">
        <v>535</v>
      </c>
      <c r="M3482" t="s">
        <v>535</v>
      </c>
      <c r="N3482" t="s">
        <v>535</v>
      </c>
      <c r="O3482" t="s">
        <v>535</v>
      </c>
      <c r="P3482" t="s">
        <v>553</v>
      </c>
      <c r="Q3482" t="s">
        <v>564</v>
      </c>
      <c r="R3482" t="s">
        <v>16079</v>
      </c>
      <c r="U3482" t="s">
        <v>16080</v>
      </c>
    </row>
    <row r="3483" spans="1:21" x14ac:dyDescent="0.25">
      <c r="A3483" t="s">
        <v>16081</v>
      </c>
      <c r="B3483" t="s">
        <v>38</v>
      </c>
      <c r="C3483" t="s">
        <v>16082</v>
      </c>
      <c r="D3483">
        <f t="shared" si="89"/>
        <v>-33139954</v>
      </c>
      <c r="E3483" t="s">
        <v>16082</v>
      </c>
      <c r="F3483" t="s">
        <v>15882</v>
      </c>
      <c r="G3483" t="s">
        <v>15883</v>
      </c>
      <c r="H3483">
        <v>14.6952867507934</v>
      </c>
      <c r="I3483">
        <v>57.654172799563298</v>
      </c>
      <c r="J3483">
        <v>100</v>
      </c>
      <c r="K3483" t="s">
        <v>428</v>
      </c>
      <c r="L3483" t="s">
        <v>428</v>
      </c>
      <c r="M3483" t="s">
        <v>428</v>
      </c>
      <c r="N3483" t="s">
        <v>428</v>
      </c>
      <c r="O3483" t="s">
        <v>428</v>
      </c>
      <c r="P3483" t="s">
        <v>5838</v>
      </c>
      <c r="R3483" t="s">
        <v>16083</v>
      </c>
      <c r="U3483" t="s">
        <v>16084</v>
      </c>
    </row>
    <row r="3484" spans="1:21" x14ac:dyDescent="0.25">
      <c r="A3484" t="s">
        <v>16085</v>
      </c>
      <c r="B3484" t="s">
        <v>22</v>
      </c>
      <c r="C3484" t="s">
        <v>16086</v>
      </c>
      <c r="D3484">
        <f t="shared" si="89"/>
        <v>-33139954</v>
      </c>
      <c r="E3484" t="s">
        <v>16087</v>
      </c>
      <c r="F3484" t="s">
        <v>15882</v>
      </c>
      <c r="G3484" t="s">
        <v>15883</v>
      </c>
      <c r="H3484">
        <v>14.1617876</v>
      </c>
      <c r="I3484">
        <v>57.782613699999999</v>
      </c>
      <c r="J3484">
        <v>100</v>
      </c>
      <c r="K3484" t="s">
        <v>535</v>
      </c>
      <c r="L3484" t="s">
        <v>535</v>
      </c>
      <c r="M3484" t="s">
        <v>535</v>
      </c>
      <c r="N3484" t="s">
        <v>535</v>
      </c>
      <c r="O3484" t="s">
        <v>535</v>
      </c>
      <c r="P3484" t="s">
        <v>622</v>
      </c>
      <c r="Q3484" t="s">
        <v>6859</v>
      </c>
      <c r="R3484" t="s">
        <v>16088</v>
      </c>
      <c r="U3484" t="s">
        <v>16089</v>
      </c>
    </row>
    <row r="3485" spans="1:21" x14ac:dyDescent="0.25">
      <c r="A3485" t="s">
        <v>16090</v>
      </c>
      <c r="B3485" t="s">
        <v>38</v>
      </c>
      <c r="C3485" t="s">
        <v>16091</v>
      </c>
      <c r="D3485">
        <f t="shared" si="89"/>
        <v>-33139954</v>
      </c>
      <c r="E3485" t="s">
        <v>16092</v>
      </c>
      <c r="F3485" t="s">
        <v>15882</v>
      </c>
      <c r="G3485" t="s">
        <v>15883</v>
      </c>
      <c r="H3485">
        <v>14.045675633115399</v>
      </c>
      <c r="I3485">
        <v>57.184223733019401</v>
      </c>
      <c r="J3485">
        <v>100</v>
      </c>
      <c r="K3485" t="s">
        <v>428</v>
      </c>
      <c r="L3485" t="s">
        <v>428</v>
      </c>
      <c r="M3485" t="s">
        <v>428</v>
      </c>
      <c r="N3485" t="s">
        <v>428</v>
      </c>
      <c r="O3485" t="s">
        <v>428</v>
      </c>
      <c r="P3485" t="s">
        <v>5873</v>
      </c>
      <c r="R3485" t="s">
        <v>16093</v>
      </c>
      <c r="U3485" t="s">
        <v>16094</v>
      </c>
    </row>
    <row r="3486" spans="1:21" x14ac:dyDescent="0.25">
      <c r="A3486" t="s">
        <v>16095</v>
      </c>
      <c r="B3486" t="s">
        <v>32</v>
      </c>
      <c r="C3486" t="s">
        <v>16096</v>
      </c>
      <c r="D3486">
        <f t="shared" si="89"/>
        <v>-33139954</v>
      </c>
      <c r="E3486" t="s">
        <v>16097</v>
      </c>
      <c r="F3486" t="s">
        <v>15882</v>
      </c>
      <c r="G3486" t="s">
        <v>15883</v>
      </c>
      <c r="H3486">
        <v>13.0016762327881</v>
      </c>
      <c r="I3486">
        <v>55.602799098568603</v>
      </c>
      <c r="J3486">
        <v>100</v>
      </c>
      <c r="K3486" t="s">
        <v>717</v>
      </c>
      <c r="L3486" t="s">
        <v>717</v>
      </c>
      <c r="M3486" t="s">
        <v>717</v>
      </c>
      <c r="N3486" t="s">
        <v>717</v>
      </c>
      <c r="O3486" t="s">
        <v>717</v>
      </c>
      <c r="P3486" t="s">
        <v>564</v>
      </c>
      <c r="Q3486" t="s">
        <v>6859</v>
      </c>
      <c r="R3486" t="s">
        <v>16098</v>
      </c>
      <c r="U3486" t="s">
        <v>16099</v>
      </c>
    </row>
    <row r="3487" spans="1:21" x14ac:dyDescent="0.25">
      <c r="A3487" t="s">
        <v>16100</v>
      </c>
      <c r="B3487" t="s">
        <v>32</v>
      </c>
      <c r="C3487" t="s">
        <v>16101</v>
      </c>
      <c r="D3487">
        <f t="shared" si="89"/>
        <v>-33139954</v>
      </c>
      <c r="E3487" t="s">
        <v>16097</v>
      </c>
      <c r="F3487" t="s">
        <v>15882</v>
      </c>
      <c r="G3487" t="s">
        <v>15883</v>
      </c>
      <c r="H3487">
        <v>12.970604896545399</v>
      </c>
      <c r="I3487">
        <v>55.5655337593779</v>
      </c>
      <c r="J3487">
        <v>100</v>
      </c>
      <c r="K3487" t="s">
        <v>45</v>
      </c>
      <c r="L3487" t="s">
        <v>45</v>
      </c>
      <c r="M3487" t="s">
        <v>45</v>
      </c>
      <c r="N3487" t="s">
        <v>45</v>
      </c>
      <c r="O3487" t="s">
        <v>45</v>
      </c>
      <c r="P3487" t="s">
        <v>45</v>
      </c>
      <c r="Q3487" t="s">
        <v>45</v>
      </c>
      <c r="R3487" t="s">
        <v>16102</v>
      </c>
      <c r="U3487" t="s">
        <v>16103</v>
      </c>
    </row>
    <row r="3488" spans="1:21" x14ac:dyDescent="0.25">
      <c r="A3488" t="s">
        <v>16104</v>
      </c>
      <c r="B3488" t="s">
        <v>22</v>
      </c>
      <c r="C3488" t="s">
        <v>16105</v>
      </c>
      <c r="D3488">
        <f t="shared" si="89"/>
        <v>-33139954</v>
      </c>
      <c r="E3488" t="s">
        <v>16097</v>
      </c>
      <c r="F3488" t="s">
        <v>15882</v>
      </c>
      <c r="G3488" t="s">
        <v>15883</v>
      </c>
      <c r="H3488">
        <v>13.002393400000001</v>
      </c>
      <c r="I3488">
        <v>55.596242599999997</v>
      </c>
      <c r="J3488">
        <v>100</v>
      </c>
      <c r="K3488" t="s">
        <v>45</v>
      </c>
      <c r="L3488" t="s">
        <v>45</v>
      </c>
      <c r="M3488" t="s">
        <v>45</v>
      </c>
      <c r="N3488" t="s">
        <v>45</v>
      </c>
      <c r="O3488" t="s">
        <v>45</v>
      </c>
      <c r="P3488" t="s">
        <v>428</v>
      </c>
      <c r="Q3488" t="s">
        <v>428</v>
      </c>
      <c r="R3488" t="s">
        <v>16106</v>
      </c>
      <c r="U3488" t="s">
        <v>16107</v>
      </c>
    </row>
    <row r="3489" spans="1:21" x14ac:dyDescent="0.25">
      <c r="A3489" t="s">
        <v>16108</v>
      </c>
      <c r="B3489" t="s">
        <v>22</v>
      </c>
      <c r="C3489" t="s">
        <v>16109</v>
      </c>
      <c r="D3489">
        <f t="shared" si="89"/>
        <v>-33139954</v>
      </c>
      <c r="E3489" t="s">
        <v>16110</v>
      </c>
      <c r="F3489" t="s">
        <v>15882</v>
      </c>
      <c r="G3489" t="s">
        <v>15883</v>
      </c>
      <c r="H3489">
        <v>16.190211000000001</v>
      </c>
      <c r="I3489">
        <v>58.588082999999997</v>
      </c>
      <c r="J3489">
        <v>100</v>
      </c>
      <c r="K3489" t="s">
        <v>535</v>
      </c>
      <c r="L3489" t="s">
        <v>535</v>
      </c>
      <c r="M3489" t="s">
        <v>535</v>
      </c>
      <c r="N3489" t="s">
        <v>535</v>
      </c>
      <c r="O3489" t="s">
        <v>535</v>
      </c>
      <c r="P3489" t="s">
        <v>553</v>
      </c>
      <c r="Q3489" t="s">
        <v>564</v>
      </c>
      <c r="R3489" t="s">
        <v>16109</v>
      </c>
      <c r="U3489" t="s">
        <v>16111</v>
      </c>
    </row>
    <row r="3490" spans="1:21" x14ac:dyDescent="0.25">
      <c r="A3490" t="s">
        <v>16112</v>
      </c>
      <c r="B3490" t="s">
        <v>22</v>
      </c>
      <c r="C3490" t="s">
        <v>16113</v>
      </c>
      <c r="D3490">
        <f t="shared" si="89"/>
        <v>-33139954</v>
      </c>
      <c r="E3490" t="s">
        <v>16097</v>
      </c>
      <c r="F3490" t="s">
        <v>15882</v>
      </c>
      <c r="G3490" t="s">
        <v>15883</v>
      </c>
      <c r="H3490">
        <v>13.003610999999999</v>
      </c>
      <c r="I3490">
        <v>55.580556000000001</v>
      </c>
      <c r="J3490">
        <v>100</v>
      </c>
      <c r="K3490" t="s">
        <v>45</v>
      </c>
      <c r="L3490" t="s">
        <v>45</v>
      </c>
      <c r="M3490" t="s">
        <v>45</v>
      </c>
      <c r="N3490" t="s">
        <v>45</v>
      </c>
      <c r="O3490" t="s">
        <v>45</v>
      </c>
      <c r="P3490" t="s">
        <v>428</v>
      </c>
      <c r="Q3490" t="s">
        <v>428</v>
      </c>
      <c r="R3490" t="s">
        <v>16114</v>
      </c>
      <c r="U3490" t="s">
        <v>16115</v>
      </c>
    </row>
    <row r="3491" spans="1:21" x14ac:dyDescent="0.25">
      <c r="A3491" t="s">
        <v>16116</v>
      </c>
      <c r="B3491" t="s">
        <v>22</v>
      </c>
      <c r="C3491" t="s">
        <v>16117</v>
      </c>
      <c r="D3491">
        <f t="shared" si="89"/>
        <v>-33139954</v>
      </c>
      <c r="E3491" t="s">
        <v>16118</v>
      </c>
      <c r="F3491" t="s">
        <v>15882</v>
      </c>
      <c r="G3491" t="s">
        <v>15883</v>
      </c>
      <c r="H3491">
        <v>14.2066312606933</v>
      </c>
      <c r="I3491">
        <v>56.025304844548103</v>
      </c>
      <c r="J3491">
        <v>100</v>
      </c>
      <c r="K3491" t="s">
        <v>45</v>
      </c>
      <c r="L3491" t="s">
        <v>45</v>
      </c>
      <c r="M3491" t="s">
        <v>45</v>
      </c>
      <c r="N3491" t="s">
        <v>45</v>
      </c>
      <c r="O3491" t="s">
        <v>45</v>
      </c>
      <c r="P3491" t="s">
        <v>428</v>
      </c>
      <c r="Q3491" t="s">
        <v>428</v>
      </c>
      <c r="R3491" t="s">
        <v>16119</v>
      </c>
      <c r="U3491" t="s">
        <v>16120</v>
      </c>
    </row>
    <row r="3492" spans="1:21" x14ac:dyDescent="0.25">
      <c r="A3492" t="s">
        <v>16121</v>
      </c>
      <c r="B3492" t="s">
        <v>38</v>
      </c>
      <c r="C3492" t="s">
        <v>16122</v>
      </c>
      <c r="D3492">
        <f t="shared" si="89"/>
        <v>-33139954</v>
      </c>
      <c r="E3492" t="s">
        <v>16123</v>
      </c>
      <c r="F3492" t="s">
        <v>15882</v>
      </c>
      <c r="G3492" t="s">
        <v>15883</v>
      </c>
      <c r="H3492">
        <v>12.992561459541299</v>
      </c>
      <c r="I3492">
        <v>55.767556988533698</v>
      </c>
      <c r="J3492">
        <v>100</v>
      </c>
      <c r="K3492" t="s">
        <v>45</v>
      </c>
      <c r="L3492" t="s">
        <v>45</v>
      </c>
      <c r="M3492" t="s">
        <v>45</v>
      </c>
      <c r="N3492" t="s">
        <v>45</v>
      </c>
      <c r="O3492" t="s">
        <v>45</v>
      </c>
      <c r="P3492" t="s">
        <v>428</v>
      </c>
      <c r="Q3492" t="s">
        <v>428</v>
      </c>
      <c r="R3492" t="s">
        <v>16124</v>
      </c>
      <c r="U3492" t="s">
        <v>16125</v>
      </c>
    </row>
    <row r="3493" spans="1:21" x14ac:dyDescent="0.25">
      <c r="A3493" t="s">
        <v>16126</v>
      </c>
      <c r="B3493" t="s">
        <v>32</v>
      </c>
      <c r="C3493" t="s">
        <v>16098</v>
      </c>
      <c r="D3493">
        <f t="shared" si="89"/>
        <v>-33139954</v>
      </c>
      <c r="E3493" t="s">
        <v>16097</v>
      </c>
      <c r="F3493" t="s">
        <v>15882</v>
      </c>
      <c r="G3493" t="s">
        <v>15883</v>
      </c>
      <c r="H3493">
        <v>13.001493</v>
      </c>
      <c r="I3493">
        <v>55.605583000000003</v>
      </c>
      <c r="J3493">
        <v>100</v>
      </c>
      <c r="K3493" t="s">
        <v>717</v>
      </c>
      <c r="L3493" t="s">
        <v>717</v>
      </c>
      <c r="M3493" t="s">
        <v>717</v>
      </c>
      <c r="N3493" t="s">
        <v>717</v>
      </c>
      <c r="O3493" t="s">
        <v>717</v>
      </c>
      <c r="P3493" t="s">
        <v>1034</v>
      </c>
      <c r="Q3493" t="s">
        <v>564</v>
      </c>
      <c r="R3493" t="s">
        <v>16098</v>
      </c>
      <c r="U3493" t="s">
        <v>16099</v>
      </c>
    </row>
    <row r="3494" spans="1:21" x14ac:dyDescent="0.25">
      <c r="A3494" t="s">
        <v>16127</v>
      </c>
      <c r="B3494" t="s">
        <v>38</v>
      </c>
      <c r="C3494" t="s">
        <v>16128</v>
      </c>
      <c r="E3494" t="s">
        <v>16128</v>
      </c>
      <c r="F3494" t="s">
        <v>15882</v>
      </c>
      <c r="G3494" t="s">
        <v>15883</v>
      </c>
      <c r="H3494">
        <v>13.1528740735107</v>
      </c>
      <c r="I3494">
        <v>55.374584563109202</v>
      </c>
      <c r="J3494">
        <v>100</v>
      </c>
      <c r="K3494" t="s">
        <v>535</v>
      </c>
      <c r="L3494" t="s">
        <v>535</v>
      </c>
      <c r="M3494" t="s">
        <v>535</v>
      </c>
      <c r="N3494" t="s">
        <v>535</v>
      </c>
      <c r="O3494" t="s">
        <v>535</v>
      </c>
      <c r="P3494" t="s">
        <v>622</v>
      </c>
      <c r="Q3494" t="s">
        <v>6859</v>
      </c>
      <c r="R3494" t="s">
        <v>16129</v>
      </c>
      <c r="U3494" t="s">
        <v>16130</v>
      </c>
    </row>
    <row r="3495" spans="1:21" x14ac:dyDescent="0.25">
      <c r="A3495" t="s">
        <v>16131</v>
      </c>
      <c r="B3495" t="s">
        <v>38</v>
      </c>
      <c r="C3495" t="s">
        <v>16132</v>
      </c>
      <c r="D3495">
        <f t="shared" ref="D3495:D3526" si="90">46-33140000</f>
        <v>-33139954</v>
      </c>
      <c r="E3495" t="s">
        <v>16133</v>
      </c>
      <c r="F3495" t="s">
        <v>15882</v>
      </c>
      <c r="G3495" t="s">
        <v>15883</v>
      </c>
      <c r="H3495">
        <v>21.4772187999999</v>
      </c>
      <c r="I3495">
        <v>65.317427499999994</v>
      </c>
      <c r="J3495">
        <v>110</v>
      </c>
      <c r="K3495" t="s">
        <v>428</v>
      </c>
      <c r="L3495" t="s">
        <v>428</v>
      </c>
      <c r="M3495" t="s">
        <v>428</v>
      </c>
      <c r="N3495" t="s">
        <v>428</v>
      </c>
      <c r="O3495" t="s">
        <v>428</v>
      </c>
      <c r="P3495" t="s">
        <v>5873</v>
      </c>
      <c r="Q3495" t="s">
        <v>6859</v>
      </c>
      <c r="R3495" t="s">
        <v>16134</v>
      </c>
      <c r="U3495" t="s">
        <v>16135</v>
      </c>
    </row>
    <row r="3496" spans="1:21" x14ac:dyDescent="0.25">
      <c r="A3496" t="s">
        <v>16136</v>
      </c>
      <c r="B3496" t="s">
        <v>38</v>
      </c>
      <c r="C3496" t="s">
        <v>16137</v>
      </c>
      <c r="D3496">
        <f t="shared" si="90"/>
        <v>-33139954</v>
      </c>
      <c r="E3496" t="s">
        <v>16137</v>
      </c>
      <c r="F3496" t="s">
        <v>15882</v>
      </c>
      <c r="G3496" t="s">
        <v>15883</v>
      </c>
      <c r="H3496">
        <v>21.685607300000001</v>
      </c>
      <c r="I3496">
        <v>65.824257000000003</v>
      </c>
      <c r="J3496">
        <v>110</v>
      </c>
      <c r="K3496" t="s">
        <v>1034</v>
      </c>
      <c r="L3496" t="s">
        <v>1034</v>
      </c>
      <c r="M3496" t="s">
        <v>1034</v>
      </c>
      <c r="N3496" t="s">
        <v>1034</v>
      </c>
      <c r="O3496" t="s">
        <v>1034</v>
      </c>
      <c r="P3496" t="s">
        <v>5818</v>
      </c>
      <c r="R3496" t="s">
        <v>16138</v>
      </c>
      <c r="U3496" t="s">
        <v>16139</v>
      </c>
    </row>
    <row r="3497" spans="1:21" x14ac:dyDescent="0.25">
      <c r="A3497" t="s">
        <v>16140</v>
      </c>
      <c r="B3497" t="s">
        <v>38</v>
      </c>
      <c r="C3497" t="s">
        <v>16141</v>
      </c>
      <c r="D3497">
        <f t="shared" si="90"/>
        <v>-33139954</v>
      </c>
      <c r="E3497" t="s">
        <v>16141</v>
      </c>
      <c r="F3497" t="s">
        <v>15882</v>
      </c>
      <c r="G3497" t="s">
        <v>15883</v>
      </c>
      <c r="H3497">
        <v>14.8609399795532</v>
      </c>
      <c r="I3497">
        <v>56.170476933432603</v>
      </c>
      <c r="J3497">
        <v>100</v>
      </c>
      <c r="K3497" t="s">
        <v>428</v>
      </c>
      <c r="L3497" t="s">
        <v>428</v>
      </c>
      <c r="M3497" t="s">
        <v>428</v>
      </c>
      <c r="N3497" t="s">
        <v>428</v>
      </c>
      <c r="O3497" t="s">
        <v>428</v>
      </c>
      <c r="P3497" t="s">
        <v>5873</v>
      </c>
      <c r="R3497" t="s">
        <v>16142</v>
      </c>
      <c r="U3497" t="s">
        <v>16143</v>
      </c>
    </row>
    <row r="3498" spans="1:21" x14ac:dyDescent="0.25">
      <c r="A3498" t="s">
        <v>16144</v>
      </c>
      <c r="B3498" t="s">
        <v>38</v>
      </c>
      <c r="C3498" t="s">
        <v>16145</v>
      </c>
      <c r="D3498">
        <f t="shared" si="90"/>
        <v>-33139954</v>
      </c>
      <c r="E3498" t="s">
        <v>16146</v>
      </c>
      <c r="F3498" t="s">
        <v>15882</v>
      </c>
      <c r="G3498" t="s">
        <v>15883</v>
      </c>
      <c r="H3498">
        <v>12.862586975097599</v>
      </c>
      <c r="I3498">
        <v>56.244136854782603</v>
      </c>
      <c r="J3498">
        <v>100</v>
      </c>
      <c r="K3498" t="s">
        <v>1034</v>
      </c>
      <c r="L3498" t="s">
        <v>1034</v>
      </c>
      <c r="M3498" t="s">
        <v>1034</v>
      </c>
      <c r="N3498" t="s">
        <v>1034</v>
      </c>
      <c r="O3498" t="s">
        <v>1034</v>
      </c>
      <c r="P3498" t="s">
        <v>622</v>
      </c>
      <c r="R3498" t="s">
        <v>16147</v>
      </c>
      <c r="U3498" t="s">
        <v>16148</v>
      </c>
    </row>
    <row r="3499" spans="1:21" x14ac:dyDescent="0.25">
      <c r="A3499" t="s">
        <v>16149</v>
      </c>
      <c r="B3499" t="s">
        <v>22</v>
      </c>
      <c r="C3499" t="s">
        <v>16150</v>
      </c>
      <c r="D3499">
        <f t="shared" si="90"/>
        <v>-33139954</v>
      </c>
      <c r="E3499" t="s">
        <v>16151</v>
      </c>
      <c r="F3499" t="s">
        <v>15882</v>
      </c>
      <c r="G3499" t="s">
        <v>15883</v>
      </c>
      <c r="H3499">
        <v>14.766797125339499</v>
      </c>
      <c r="I3499">
        <v>56.885313838198698</v>
      </c>
      <c r="J3499">
        <v>100</v>
      </c>
      <c r="K3499" t="s">
        <v>45</v>
      </c>
      <c r="L3499" t="s">
        <v>45</v>
      </c>
      <c r="M3499" t="s">
        <v>45</v>
      </c>
      <c r="N3499" t="s">
        <v>45</v>
      </c>
      <c r="O3499" t="s">
        <v>45</v>
      </c>
      <c r="P3499" t="s">
        <v>428</v>
      </c>
      <c r="Q3499" t="s">
        <v>428</v>
      </c>
      <c r="R3499" t="s">
        <v>16152</v>
      </c>
      <c r="U3499" t="s">
        <v>16153</v>
      </c>
    </row>
    <row r="3500" spans="1:21" x14ac:dyDescent="0.25">
      <c r="A3500" t="s">
        <v>16154</v>
      </c>
      <c r="B3500" t="s">
        <v>22</v>
      </c>
      <c r="C3500" t="s">
        <v>16155</v>
      </c>
      <c r="D3500">
        <f t="shared" si="90"/>
        <v>-33139954</v>
      </c>
      <c r="E3500" t="s">
        <v>16151</v>
      </c>
      <c r="F3500" t="s">
        <v>15882</v>
      </c>
      <c r="G3500" t="s">
        <v>15883</v>
      </c>
      <c r="H3500">
        <v>14.801195885150101</v>
      </c>
      <c r="I3500">
        <v>56.879215443338502</v>
      </c>
      <c r="J3500">
        <v>100</v>
      </c>
      <c r="K3500" t="s">
        <v>428</v>
      </c>
      <c r="L3500" t="s">
        <v>428</v>
      </c>
      <c r="M3500" t="s">
        <v>428</v>
      </c>
      <c r="N3500" t="s">
        <v>428</v>
      </c>
      <c r="O3500" t="s">
        <v>428</v>
      </c>
      <c r="P3500" t="s">
        <v>622</v>
      </c>
      <c r="Q3500" t="s">
        <v>6859</v>
      </c>
      <c r="R3500" t="s">
        <v>16083</v>
      </c>
      <c r="U3500" t="s">
        <v>16156</v>
      </c>
    </row>
    <row r="3501" spans="1:21" x14ac:dyDescent="0.25">
      <c r="A3501" t="s">
        <v>16157</v>
      </c>
      <c r="B3501" t="s">
        <v>38</v>
      </c>
      <c r="C3501" t="s">
        <v>16158</v>
      </c>
      <c r="D3501">
        <f t="shared" si="90"/>
        <v>-33139954</v>
      </c>
      <c r="E3501" t="s">
        <v>16158</v>
      </c>
      <c r="F3501" t="s">
        <v>15882</v>
      </c>
      <c r="G3501" t="s">
        <v>15883</v>
      </c>
      <c r="H3501">
        <v>16.446919441223098</v>
      </c>
      <c r="I3501">
        <v>57.264866175934301</v>
      </c>
      <c r="J3501">
        <v>100</v>
      </c>
      <c r="K3501" t="s">
        <v>428</v>
      </c>
      <c r="L3501" t="s">
        <v>428</v>
      </c>
      <c r="M3501" t="s">
        <v>428</v>
      </c>
      <c r="N3501" t="s">
        <v>428</v>
      </c>
      <c r="O3501" t="s">
        <v>428</v>
      </c>
      <c r="P3501" t="s">
        <v>5873</v>
      </c>
      <c r="R3501" t="s">
        <v>16159</v>
      </c>
      <c r="U3501" t="s">
        <v>16160</v>
      </c>
    </row>
    <row r="3502" spans="1:21" x14ac:dyDescent="0.25">
      <c r="A3502" t="s">
        <v>16161</v>
      </c>
      <c r="B3502" t="s">
        <v>38</v>
      </c>
      <c r="C3502" t="s">
        <v>16162</v>
      </c>
      <c r="D3502">
        <f t="shared" si="90"/>
        <v>-33139954</v>
      </c>
      <c r="E3502" t="s">
        <v>16162</v>
      </c>
      <c r="F3502" t="s">
        <v>15882</v>
      </c>
      <c r="G3502" t="s">
        <v>15883</v>
      </c>
      <c r="H3502">
        <v>11.844788299999999</v>
      </c>
      <c r="I3502">
        <v>59.506454300000001</v>
      </c>
      <c r="J3502">
        <v>100</v>
      </c>
      <c r="K3502" t="s">
        <v>428</v>
      </c>
      <c r="L3502" t="s">
        <v>428</v>
      </c>
      <c r="M3502" t="s">
        <v>428</v>
      </c>
      <c r="N3502" t="s">
        <v>428</v>
      </c>
      <c r="O3502" t="s">
        <v>622</v>
      </c>
      <c r="P3502" t="s">
        <v>6859</v>
      </c>
      <c r="R3502" t="s">
        <v>16163</v>
      </c>
      <c r="U3502" t="s">
        <v>16164</v>
      </c>
    </row>
    <row r="3503" spans="1:21" x14ac:dyDescent="0.25">
      <c r="A3503" t="s">
        <v>16165</v>
      </c>
      <c r="B3503" t="s">
        <v>22</v>
      </c>
      <c r="C3503" t="s">
        <v>16166</v>
      </c>
      <c r="D3503">
        <f t="shared" si="90"/>
        <v>-33139954</v>
      </c>
      <c r="E3503" t="s">
        <v>16167</v>
      </c>
      <c r="F3503" t="s">
        <v>15882</v>
      </c>
      <c r="G3503" t="s">
        <v>15883</v>
      </c>
      <c r="H3503">
        <v>13.4246156855896</v>
      </c>
      <c r="I3503">
        <v>59.378405684590703</v>
      </c>
      <c r="J3503">
        <v>100</v>
      </c>
      <c r="K3503" t="s">
        <v>45</v>
      </c>
      <c r="L3503" t="s">
        <v>45</v>
      </c>
      <c r="M3503" t="s">
        <v>45</v>
      </c>
      <c r="N3503" t="s">
        <v>45</v>
      </c>
      <c r="O3503" t="s">
        <v>45</v>
      </c>
      <c r="P3503" t="s">
        <v>428</v>
      </c>
      <c r="Q3503" t="s">
        <v>428</v>
      </c>
      <c r="R3503" t="s">
        <v>16168</v>
      </c>
      <c r="U3503" t="s">
        <v>16169</v>
      </c>
    </row>
    <row r="3504" spans="1:21" x14ac:dyDescent="0.25">
      <c r="A3504" t="s">
        <v>16170</v>
      </c>
      <c r="B3504" t="s">
        <v>22</v>
      </c>
      <c r="C3504" t="s">
        <v>16171</v>
      </c>
      <c r="D3504">
        <f t="shared" si="90"/>
        <v>-33139954</v>
      </c>
      <c r="E3504" t="s">
        <v>16167</v>
      </c>
      <c r="F3504" t="s">
        <v>15882</v>
      </c>
      <c r="G3504" t="s">
        <v>15883</v>
      </c>
      <c r="H3504">
        <v>13.500855</v>
      </c>
      <c r="I3504">
        <v>59.380094999999997</v>
      </c>
      <c r="J3504">
        <v>100</v>
      </c>
      <c r="K3504" t="s">
        <v>535</v>
      </c>
      <c r="L3504" t="s">
        <v>535</v>
      </c>
      <c r="M3504" t="s">
        <v>535</v>
      </c>
      <c r="N3504" t="s">
        <v>535</v>
      </c>
      <c r="O3504" t="s">
        <v>535</v>
      </c>
      <c r="P3504" t="s">
        <v>553</v>
      </c>
      <c r="Q3504" t="s">
        <v>1289</v>
      </c>
      <c r="R3504" t="s">
        <v>16172</v>
      </c>
      <c r="U3504" t="s">
        <v>16173</v>
      </c>
    </row>
    <row r="3505" spans="1:21" x14ac:dyDescent="0.25">
      <c r="A3505" t="s">
        <v>16174</v>
      </c>
      <c r="B3505" t="s">
        <v>22</v>
      </c>
      <c r="C3505" t="s">
        <v>16175</v>
      </c>
      <c r="D3505">
        <f t="shared" si="90"/>
        <v>-33139954</v>
      </c>
      <c r="E3505" t="s">
        <v>16176</v>
      </c>
      <c r="F3505" t="s">
        <v>15882</v>
      </c>
      <c r="G3505" t="s">
        <v>15883</v>
      </c>
      <c r="H3505">
        <v>12.9385064</v>
      </c>
      <c r="I3505">
        <v>57.719709899999998</v>
      </c>
      <c r="J3505">
        <v>100</v>
      </c>
      <c r="K3505" t="s">
        <v>535</v>
      </c>
      <c r="L3505" t="s">
        <v>535</v>
      </c>
      <c r="M3505" t="s">
        <v>535</v>
      </c>
      <c r="N3505" t="s">
        <v>535</v>
      </c>
      <c r="O3505" t="s">
        <v>535</v>
      </c>
      <c r="P3505" t="s">
        <v>622</v>
      </c>
      <c r="Q3505" t="s">
        <v>6859</v>
      </c>
      <c r="R3505" t="s">
        <v>16177</v>
      </c>
      <c r="U3505" t="s">
        <v>16178</v>
      </c>
    </row>
    <row r="3506" spans="1:21" x14ac:dyDescent="0.25">
      <c r="A3506" t="s">
        <v>16179</v>
      </c>
      <c r="B3506" t="s">
        <v>22</v>
      </c>
      <c r="C3506" t="s">
        <v>16180</v>
      </c>
      <c r="D3506">
        <f t="shared" si="90"/>
        <v>-33139954</v>
      </c>
      <c r="E3506" t="s">
        <v>16176</v>
      </c>
      <c r="F3506" t="s">
        <v>15882</v>
      </c>
      <c r="G3506" t="s">
        <v>15883</v>
      </c>
      <c r="H3506">
        <v>12.937305200000001</v>
      </c>
      <c r="I3506">
        <v>57.735484999999997</v>
      </c>
      <c r="J3506">
        <v>100</v>
      </c>
      <c r="K3506" t="s">
        <v>535</v>
      </c>
      <c r="L3506" t="s">
        <v>535</v>
      </c>
      <c r="M3506" t="s">
        <v>535</v>
      </c>
      <c r="N3506" t="s">
        <v>535</v>
      </c>
      <c r="O3506" t="s">
        <v>535</v>
      </c>
      <c r="P3506" t="s">
        <v>553</v>
      </c>
      <c r="Q3506" t="s">
        <v>553</v>
      </c>
      <c r="R3506" t="s">
        <v>16181</v>
      </c>
      <c r="U3506" t="s">
        <v>16182</v>
      </c>
    </row>
    <row r="3507" spans="1:21" x14ac:dyDescent="0.25">
      <c r="A3507" t="s">
        <v>16183</v>
      </c>
      <c r="B3507" t="s">
        <v>38</v>
      </c>
      <c r="C3507" t="s">
        <v>16184</v>
      </c>
      <c r="D3507">
        <f t="shared" si="90"/>
        <v>-33139954</v>
      </c>
      <c r="E3507" t="s">
        <v>16185</v>
      </c>
      <c r="F3507" t="s">
        <v>15882</v>
      </c>
      <c r="G3507" t="s">
        <v>15883</v>
      </c>
      <c r="H3507">
        <v>17.1046829223632</v>
      </c>
      <c r="I3507">
        <v>61.727765321701597</v>
      </c>
      <c r="J3507">
        <v>110</v>
      </c>
      <c r="K3507" t="s">
        <v>428</v>
      </c>
      <c r="L3507" t="s">
        <v>428</v>
      </c>
      <c r="M3507" t="s">
        <v>428</v>
      </c>
      <c r="N3507" t="s">
        <v>428</v>
      </c>
      <c r="O3507" t="s">
        <v>428</v>
      </c>
      <c r="P3507" t="s">
        <v>622</v>
      </c>
      <c r="Q3507" t="s">
        <v>5818</v>
      </c>
      <c r="R3507" t="s">
        <v>16186</v>
      </c>
      <c r="U3507" t="s">
        <v>16187</v>
      </c>
    </row>
    <row r="3508" spans="1:21" x14ac:dyDescent="0.25">
      <c r="A3508" t="s">
        <v>16188</v>
      </c>
      <c r="B3508" t="s">
        <v>22</v>
      </c>
      <c r="C3508" t="s">
        <v>16189</v>
      </c>
      <c r="D3508">
        <f t="shared" si="90"/>
        <v>-33139954</v>
      </c>
      <c r="E3508" t="s">
        <v>15902</v>
      </c>
      <c r="F3508" t="s">
        <v>15882</v>
      </c>
      <c r="G3508" t="s">
        <v>15883</v>
      </c>
      <c r="H3508">
        <v>15.2125024795532</v>
      </c>
      <c r="I3508">
        <v>59.271297425125702</v>
      </c>
      <c r="J3508">
        <v>100</v>
      </c>
      <c r="K3508" t="s">
        <v>535</v>
      </c>
      <c r="L3508" t="s">
        <v>535</v>
      </c>
      <c r="M3508" t="s">
        <v>535</v>
      </c>
      <c r="N3508" t="s">
        <v>535</v>
      </c>
      <c r="O3508" t="s">
        <v>535</v>
      </c>
      <c r="P3508" t="s">
        <v>553</v>
      </c>
      <c r="Q3508" t="s">
        <v>6859</v>
      </c>
      <c r="R3508" t="s">
        <v>16190</v>
      </c>
      <c r="U3508" t="s">
        <v>16191</v>
      </c>
    </row>
    <row r="3509" spans="1:21" x14ac:dyDescent="0.25">
      <c r="A3509" t="s">
        <v>16192</v>
      </c>
      <c r="B3509" t="s">
        <v>22</v>
      </c>
      <c r="C3509" t="s">
        <v>16193</v>
      </c>
      <c r="D3509">
        <f t="shared" si="90"/>
        <v>-33139954</v>
      </c>
      <c r="E3509" t="s">
        <v>15902</v>
      </c>
      <c r="F3509" t="s">
        <v>15882</v>
      </c>
      <c r="G3509" t="s">
        <v>15883</v>
      </c>
      <c r="H3509">
        <v>15.1340252</v>
      </c>
      <c r="I3509">
        <v>59.214891199999997</v>
      </c>
      <c r="J3509">
        <v>100</v>
      </c>
      <c r="K3509" t="s">
        <v>45</v>
      </c>
      <c r="L3509" t="s">
        <v>45</v>
      </c>
      <c r="M3509" t="s">
        <v>45</v>
      </c>
      <c r="N3509" t="s">
        <v>45</v>
      </c>
      <c r="O3509" t="s">
        <v>45</v>
      </c>
      <c r="P3509" t="s">
        <v>428</v>
      </c>
      <c r="Q3509" t="s">
        <v>1034</v>
      </c>
      <c r="R3509" t="s">
        <v>16194</v>
      </c>
      <c r="U3509" t="s">
        <v>16195</v>
      </c>
    </row>
    <row r="3510" spans="1:21" x14ac:dyDescent="0.25">
      <c r="A3510" t="s">
        <v>16196</v>
      </c>
      <c r="B3510" t="s">
        <v>22</v>
      </c>
      <c r="C3510" t="s">
        <v>16197</v>
      </c>
      <c r="D3510">
        <f t="shared" si="90"/>
        <v>-33139954</v>
      </c>
      <c r="E3510" t="s">
        <v>16198</v>
      </c>
      <c r="F3510" t="s">
        <v>15882</v>
      </c>
      <c r="G3510" t="s">
        <v>15883</v>
      </c>
      <c r="H3510">
        <v>12.909068</v>
      </c>
      <c r="I3510">
        <v>56.655428999999998</v>
      </c>
      <c r="J3510">
        <v>100</v>
      </c>
      <c r="K3510" t="s">
        <v>45</v>
      </c>
      <c r="L3510" t="s">
        <v>45</v>
      </c>
      <c r="M3510" t="s">
        <v>45</v>
      </c>
      <c r="N3510" t="s">
        <v>45</v>
      </c>
      <c r="O3510" t="s">
        <v>45</v>
      </c>
      <c r="P3510" t="s">
        <v>428</v>
      </c>
      <c r="Q3510" t="s">
        <v>428</v>
      </c>
      <c r="R3510" t="s">
        <v>16199</v>
      </c>
      <c r="U3510" t="s">
        <v>16200</v>
      </c>
    </row>
    <row r="3511" spans="1:21" x14ac:dyDescent="0.25">
      <c r="A3511" t="s">
        <v>16201</v>
      </c>
      <c r="B3511" t="s">
        <v>22</v>
      </c>
      <c r="C3511" t="s">
        <v>16202</v>
      </c>
      <c r="D3511">
        <f t="shared" si="90"/>
        <v>-33139954</v>
      </c>
      <c r="E3511" t="s">
        <v>16202</v>
      </c>
      <c r="F3511" t="s">
        <v>15882</v>
      </c>
      <c r="G3511" t="s">
        <v>15883</v>
      </c>
      <c r="H3511">
        <v>15.627597400000001</v>
      </c>
      <c r="I3511">
        <v>60.606920199999998</v>
      </c>
      <c r="J3511">
        <v>110</v>
      </c>
      <c r="K3511" t="s">
        <v>1034</v>
      </c>
      <c r="L3511" t="s">
        <v>1034</v>
      </c>
      <c r="M3511" t="s">
        <v>1034</v>
      </c>
      <c r="N3511" t="s">
        <v>1034</v>
      </c>
      <c r="O3511" t="s">
        <v>1034</v>
      </c>
      <c r="P3511" t="s">
        <v>622</v>
      </c>
      <c r="Q3511" t="s">
        <v>6859</v>
      </c>
      <c r="R3511" t="s">
        <v>16203</v>
      </c>
      <c r="U3511" t="s">
        <v>16204</v>
      </c>
    </row>
    <row r="3512" spans="1:21" x14ac:dyDescent="0.25">
      <c r="A3512" t="s">
        <v>16205</v>
      </c>
      <c r="B3512" t="s">
        <v>38</v>
      </c>
      <c r="C3512" t="s">
        <v>16206</v>
      </c>
      <c r="D3512">
        <f t="shared" si="90"/>
        <v>-33139954</v>
      </c>
      <c r="E3512" t="s">
        <v>16207</v>
      </c>
      <c r="F3512" t="s">
        <v>15882</v>
      </c>
      <c r="G3512" t="s">
        <v>15883</v>
      </c>
      <c r="H3512">
        <v>12.291976200000001</v>
      </c>
      <c r="I3512">
        <v>59.882983099999997</v>
      </c>
      <c r="J3512">
        <v>100</v>
      </c>
      <c r="K3512" t="s">
        <v>45</v>
      </c>
      <c r="L3512" t="s">
        <v>45</v>
      </c>
      <c r="M3512" t="s">
        <v>45</v>
      </c>
      <c r="N3512" t="s">
        <v>45</v>
      </c>
      <c r="O3512" t="s">
        <v>45</v>
      </c>
      <c r="P3512" t="s">
        <v>535</v>
      </c>
      <c r="Q3512" t="s">
        <v>535</v>
      </c>
      <c r="R3512" t="s">
        <v>16208</v>
      </c>
      <c r="U3512" t="s">
        <v>16209</v>
      </c>
    </row>
    <row r="3513" spans="1:21" x14ac:dyDescent="0.25">
      <c r="A3513" t="s">
        <v>16210</v>
      </c>
      <c r="B3513" t="s">
        <v>22</v>
      </c>
      <c r="C3513" t="s">
        <v>16211</v>
      </c>
      <c r="D3513">
        <f t="shared" si="90"/>
        <v>-33139954</v>
      </c>
      <c r="E3513" t="s">
        <v>16212</v>
      </c>
      <c r="F3513" t="s">
        <v>15882</v>
      </c>
      <c r="G3513" t="s">
        <v>15883</v>
      </c>
      <c r="H3513">
        <v>13.192769</v>
      </c>
      <c r="I3513">
        <v>55.702193000000001</v>
      </c>
      <c r="J3513">
        <v>100</v>
      </c>
      <c r="K3513" t="s">
        <v>428</v>
      </c>
      <c r="L3513" t="s">
        <v>428</v>
      </c>
      <c r="M3513" t="s">
        <v>428</v>
      </c>
      <c r="N3513" t="s">
        <v>428</v>
      </c>
      <c r="O3513" t="s">
        <v>428</v>
      </c>
      <c r="P3513" t="s">
        <v>553</v>
      </c>
      <c r="Q3513" t="s">
        <v>6859</v>
      </c>
      <c r="R3513" t="s">
        <v>16213</v>
      </c>
      <c r="U3513" t="s">
        <v>16214</v>
      </c>
    </row>
    <row r="3514" spans="1:21" x14ac:dyDescent="0.25">
      <c r="A3514" t="s">
        <v>16215</v>
      </c>
      <c r="B3514" t="s">
        <v>22</v>
      </c>
      <c r="C3514" t="s">
        <v>16216</v>
      </c>
      <c r="D3514">
        <f t="shared" si="90"/>
        <v>-33139954</v>
      </c>
      <c r="E3514" t="s">
        <v>16212</v>
      </c>
      <c r="F3514" t="s">
        <v>15882</v>
      </c>
      <c r="G3514" t="s">
        <v>15883</v>
      </c>
      <c r="H3514">
        <v>13.156488700000001</v>
      </c>
      <c r="I3514">
        <v>55.715723300000001</v>
      </c>
      <c r="J3514">
        <v>100</v>
      </c>
      <c r="K3514" t="s">
        <v>45</v>
      </c>
      <c r="L3514" t="s">
        <v>45</v>
      </c>
      <c r="M3514" t="s">
        <v>45</v>
      </c>
      <c r="N3514" t="s">
        <v>45</v>
      </c>
      <c r="O3514" t="s">
        <v>45</v>
      </c>
      <c r="P3514" t="s">
        <v>428</v>
      </c>
      <c r="Q3514" t="s">
        <v>428</v>
      </c>
      <c r="R3514" t="s">
        <v>16217</v>
      </c>
      <c r="U3514" t="s">
        <v>16218</v>
      </c>
    </row>
    <row r="3515" spans="1:21" x14ac:dyDescent="0.25">
      <c r="A3515" t="s">
        <v>16219</v>
      </c>
      <c r="B3515" t="s">
        <v>38</v>
      </c>
      <c r="C3515" t="s">
        <v>16220</v>
      </c>
      <c r="D3515">
        <f t="shared" si="90"/>
        <v>-33139954</v>
      </c>
      <c r="E3515" t="s">
        <v>16221</v>
      </c>
      <c r="F3515" t="s">
        <v>15882</v>
      </c>
      <c r="G3515" t="s">
        <v>15883</v>
      </c>
      <c r="H3515">
        <v>16.469385299999999</v>
      </c>
      <c r="I3515">
        <v>59.372109999999999</v>
      </c>
      <c r="J3515">
        <v>100</v>
      </c>
      <c r="K3515" t="s">
        <v>45</v>
      </c>
      <c r="L3515" t="s">
        <v>45</v>
      </c>
      <c r="M3515" t="s">
        <v>45</v>
      </c>
      <c r="N3515" t="s">
        <v>45</v>
      </c>
      <c r="O3515" t="s">
        <v>45</v>
      </c>
      <c r="P3515" t="s">
        <v>428</v>
      </c>
      <c r="Q3515" t="s">
        <v>428</v>
      </c>
      <c r="R3515" t="s">
        <v>16222</v>
      </c>
      <c r="U3515" t="s">
        <v>16223</v>
      </c>
    </row>
    <row r="3516" spans="1:21" x14ac:dyDescent="0.25">
      <c r="A3516" t="s">
        <v>16224</v>
      </c>
      <c r="B3516" t="s">
        <v>22</v>
      </c>
      <c r="C3516" t="s">
        <v>16225</v>
      </c>
      <c r="D3516">
        <f t="shared" si="90"/>
        <v>-33139954</v>
      </c>
      <c r="E3516" t="s">
        <v>16226</v>
      </c>
      <c r="F3516" t="s">
        <v>15882</v>
      </c>
      <c r="G3516" t="s">
        <v>15883</v>
      </c>
      <c r="H3516">
        <v>16.546109999999999</v>
      </c>
      <c r="I3516">
        <v>59.610115</v>
      </c>
      <c r="J3516">
        <v>110</v>
      </c>
      <c r="K3516" t="s">
        <v>717</v>
      </c>
      <c r="L3516" t="s">
        <v>717</v>
      </c>
      <c r="M3516" t="s">
        <v>717</v>
      </c>
      <c r="N3516" t="s">
        <v>717</v>
      </c>
      <c r="O3516" t="s">
        <v>717</v>
      </c>
      <c r="P3516" t="s">
        <v>553</v>
      </c>
      <c r="Q3516" t="s">
        <v>6859</v>
      </c>
      <c r="R3516" t="s">
        <v>16225</v>
      </c>
      <c r="U3516" t="s">
        <v>16227</v>
      </c>
    </row>
    <row r="3517" spans="1:21" x14ac:dyDescent="0.25">
      <c r="A3517" t="s">
        <v>16228</v>
      </c>
      <c r="B3517" t="s">
        <v>22</v>
      </c>
      <c r="C3517" t="s">
        <v>16229</v>
      </c>
      <c r="D3517">
        <f t="shared" si="90"/>
        <v>-33139954</v>
      </c>
      <c r="E3517" t="s">
        <v>16013</v>
      </c>
      <c r="F3517" t="s">
        <v>15882</v>
      </c>
      <c r="G3517" t="s">
        <v>15883</v>
      </c>
      <c r="H3517">
        <v>17.6378846168518</v>
      </c>
      <c r="I3517">
        <v>59.859244983577099</v>
      </c>
      <c r="J3517">
        <v>100</v>
      </c>
      <c r="K3517" t="s">
        <v>717</v>
      </c>
      <c r="L3517" t="s">
        <v>717</v>
      </c>
      <c r="M3517" t="s">
        <v>717</v>
      </c>
      <c r="N3517" t="s">
        <v>717</v>
      </c>
      <c r="O3517" t="s">
        <v>717</v>
      </c>
      <c r="P3517" t="s">
        <v>1034</v>
      </c>
      <c r="Q3517" t="s">
        <v>16230</v>
      </c>
      <c r="R3517" t="s">
        <v>16229</v>
      </c>
      <c r="U3517" t="s">
        <v>16231</v>
      </c>
    </row>
    <row r="3518" spans="1:21" x14ac:dyDescent="0.25">
      <c r="A3518" t="s">
        <v>16232</v>
      </c>
      <c r="B3518" t="s">
        <v>22</v>
      </c>
      <c r="C3518" t="s">
        <v>16233</v>
      </c>
      <c r="D3518">
        <f t="shared" si="90"/>
        <v>-33139954</v>
      </c>
      <c r="E3518" t="s">
        <v>16226</v>
      </c>
      <c r="F3518" t="s">
        <v>15882</v>
      </c>
      <c r="G3518" t="s">
        <v>15883</v>
      </c>
      <c r="H3518">
        <v>16.4619827270507</v>
      </c>
      <c r="I3518">
        <v>59.611126741494502</v>
      </c>
      <c r="J3518">
        <v>110</v>
      </c>
      <c r="K3518" t="s">
        <v>717</v>
      </c>
      <c r="L3518" t="s">
        <v>717</v>
      </c>
      <c r="M3518" t="s">
        <v>717</v>
      </c>
      <c r="N3518" t="s">
        <v>717</v>
      </c>
      <c r="O3518" t="s">
        <v>717</v>
      </c>
      <c r="P3518" t="s">
        <v>564</v>
      </c>
      <c r="Q3518" t="s">
        <v>564</v>
      </c>
      <c r="R3518" t="s">
        <v>16234</v>
      </c>
      <c r="U3518" t="s">
        <v>16235</v>
      </c>
    </row>
    <row r="3519" spans="1:21" x14ac:dyDescent="0.25">
      <c r="A3519" t="s">
        <v>16236</v>
      </c>
      <c r="B3519" t="s">
        <v>38</v>
      </c>
      <c r="C3519" t="s">
        <v>16237</v>
      </c>
      <c r="D3519">
        <f t="shared" si="90"/>
        <v>-33139954</v>
      </c>
      <c r="E3519" t="s">
        <v>16238</v>
      </c>
      <c r="F3519" t="s">
        <v>15882</v>
      </c>
      <c r="G3519" t="s">
        <v>15883</v>
      </c>
      <c r="H3519">
        <v>16.604453299999999</v>
      </c>
      <c r="I3519">
        <v>59.919666300000003</v>
      </c>
      <c r="J3519">
        <v>110</v>
      </c>
      <c r="K3519" t="s">
        <v>428</v>
      </c>
      <c r="L3519" t="s">
        <v>428</v>
      </c>
      <c r="M3519" t="s">
        <v>428</v>
      </c>
      <c r="N3519" t="s">
        <v>428</v>
      </c>
      <c r="O3519" t="s">
        <v>428</v>
      </c>
      <c r="P3519" t="s">
        <v>622</v>
      </c>
      <c r="R3519" t="s">
        <v>16239</v>
      </c>
      <c r="U3519" t="s">
        <v>16240</v>
      </c>
    </row>
    <row r="3520" spans="1:21" x14ac:dyDescent="0.25">
      <c r="A3520" t="s">
        <v>16241</v>
      </c>
      <c r="B3520" t="s">
        <v>22</v>
      </c>
      <c r="C3520" t="s">
        <v>16242</v>
      </c>
      <c r="D3520">
        <f t="shared" si="90"/>
        <v>-33139954</v>
      </c>
      <c r="E3520" t="s">
        <v>16087</v>
      </c>
      <c r="F3520" t="s">
        <v>15882</v>
      </c>
      <c r="G3520" t="s">
        <v>15883</v>
      </c>
      <c r="H3520">
        <v>14.2018633762295</v>
      </c>
      <c r="I3520">
        <v>57.775619273682601</v>
      </c>
      <c r="J3520">
        <v>100</v>
      </c>
      <c r="K3520" t="s">
        <v>45</v>
      </c>
      <c r="L3520" t="s">
        <v>45</v>
      </c>
      <c r="M3520" t="s">
        <v>45</v>
      </c>
      <c r="N3520" t="s">
        <v>45</v>
      </c>
      <c r="O3520" t="s">
        <v>45</v>
      </c>
      <c r="P3520" t="s">
        <v>428</v>
      </c>
      <c r="Q3520" t="s">
        <v>564</v>
      </c>
      <c r="R3520" t="s">
        <v>16243</v>
      </c>
      <c r="U3520" t="s">
        <v>16244</v>
      </c>
    </row>
    <row r="3521" spans="1:21" x14ac:dyDescent="0.25">
      <c r="A3521" t="s">
        <v>16245</v>
      </c>
      <c r="B3521" t="s">
        <v>38</v>
      </c>
      <c r="C3521" t="s">
        <v>16246</v>
      </c>
      <c r="D3521">
        <f t="shared" si="90"/>
        <v>-33139954</v>
      </c>
      <c r="E3521" t="s">
        <v>16246</v>
      </c>
      <c r="F3521" t="s">
        <v>15882</v>
      </c>
      <c r="G3521" t="s">
        <v>15883</v>
      </c>
      <c r="H3521">
        <v>13.551816886894199</v>
      </c>
      <c r="I3521">
        <v>58.1605652444727</v>
      </c>
      <c r="J3521">
        <v>100</v>
      </c>
      <c r="K3521" t="s">
        <v>428</v>
      </c>
      <c r="L3521" t="s">
        <v>428</v>
      </c>
      <c r="M3521" t="s">
        <v>428</v>
      </c>
      <c r="N3521" t="s">
        <v>428</v>
      </c>
      <c r="O3521" t="s">
        <v>428</v>
      </c>
      <c r="P3521" t="s">
        <v>5838</v>
      </c>
      <c r="R3521" t="s">
        <v>16247</v>
      </c>
      <c r="U3521" t="s">
        <v>16248</v>
      </c>
    </row>
    <row r="3522" spans="1:21" x14ac:dyDescent="0.25">
      <c r="A3522" t="s">
        <v>16249</v>
      </c>
      <c r="B3522" t="s">
        <v>22</v>
      </c>
      <c r="C3522" t="s">
        <v>16250</v>
      </c>
      <c r="D3522">
        <f t="shared" si="90"/>
        <v>-33139954</v>
      </c>
      <c r="E3522" t="s">
        <v>16250</v>
      </c>
      <c r="F3522" t="s">
        <v>15882</v>
      </c>
      <c r="G3522" t="s">
        <v>15883</v>
      </c>
      <c r="H3522">
        <v>12.2482645511627</v>
      </c>
      <c r="I3522">
        <v>57.1058946294281</v>
      </c>
      <c r="J3522">
        <v>100</v>
      </c>
      <c r="K3522" t="s">
        <v>428</v>
      </c>
      <c r="L3522" t="s">
        <v>428</v>
      </c>
      <c r="M3522" t="s">
        <v>428</v>
      </c>
      <c r="N3522" t="s">
        <v>428</v>
      </c>
      <c r="O3522" t="s">
        <v>428</v>
      </c>
      <c r="P3522" t="s">
        <v>622</v>
      </c>
      <c r="Q3522" t="s">
        <v>6859</v>
      </c>
      <c r="R3522" t="s">
        <v>16251</v>
      </c>
      <c r="U3522" t="s">
        <v>16252</v>
      </c>
    </row>
    <row r="3523" spans="1:21" x14ac:dyDescent="0.25">
      <c r="A3523" t="s">
        <v>16253</v>
      </c>
      <c r="B3523" t="s">
        <v>22</v>
      </c>
      <c r="C3523" t="s">
        <v>16254</v>
      </c>
      <c r="D3523">
        <f t="shared" si="90"/>
        <v>-33139954</v>
      </c>
      <c r="E3523" t="s">
        <v>16221</v>
      </c>
      <c r="F3523" t="s">
        <v>15882</v>
      </c>
      <c r="G3523" t="s">
        <v>15883</v>
      </c>
      <c r="H3523">
        <v>16.5120532</v>
      </c>
      <c r="I3523">
        <v>59.371089900000001</v>
      </c>
      <c r="J3523">
        <v>100</v>
      </c>
      <c r="K3523" t="s">
        <v>428</v>
      </c>
      <c r="L3523" t="s">
        <v>428</v>
      </c>
      <c r="M3523" t="s">
        <v>428</v>
      </c>
      <c r="N3523" t="s">
        <v>428</v>
      </c>
      <c r="O3523" t="s">
        <v>428</v>
      </c>
      <c r="P3523" t="s">
        <v>622</v>
      </c>
      <c r="Q3523" t="s">
        <v>6859</v>
      </c>
      <c r="R3523" t="s">
        <v>16255</v>
      </c>
      <c r="U3523" t="s">
        <v>16256</v>
      </c>
    </row>
    <row r="3524" spans="1:21" x14ac:dyDescent="0.25">
      <c r="A3524" t="s">
        <v>16257</v>
      </c>
      <c r="B3524" t="s">
        <v>38</v>
      </c>
      <c r="C3524" t="s">
        <v>16258</v>
      </c>
      <c r="D3524">
        <f t="shared" si="90"/>
        <v>-33139954</v>
      </c>
      <c r="E3524" t="s">
        <v>16258</v>
      </c>
      <c r="F3524" t="s">
        <v>15882</v>
      </c>
      <c r="G3524" t="s">
        <v>15883</v>
      </c>
      <c r="H3524">
        <v>17.9403936</v>
      </c>
      <c r="I3524">
        <v>62.630512899999999</v>
      </c>
      <c r="J3524">
        <v>110</v>
      </c>
      <c r="K3524" t="s">
        <v>1034</v>
      </c>
      <c r="L3524" t="s">
        <v>1034</v>
      </c>
      <c r="M3524" t="s">
        <v>1034</v>
      </c>
      <c r="N3524" t="s">
        <v>1034</v>
      </c>
      <c r="O3524" t="s">
        <v>1034</v>
      </c>
      <c r="P3524" t="s">
        <v>5842</v>
      </c>
      <c r="R3524" t="s">
        <v>16259</v>
      </c>
      <c r="U3524" t="s">
        <v>16260</v>
      </c>
    </row>
    <row r="3525" spans="1:21" x14ac:dyDescent="0.25">
      <c r="A3525" t="s">
        <v>16261</v>
      </c>
      <c r="B3525" t="s">
        <v>38</v>
      </c>
      <c r="C3525" t="s">
        <v>16262</v>
      </c>
      <c r="D3525">
        <f t="shared" si="90"/>
        <v>-33139954</v>
      </c>
      <c r="E3525" t="s">
        <v>16262</v>
      </c>
      <c r="F3525" t="s">
        <v>15882</v>
      </c>
      <c r="G3525" t="s">
        <v>15883</v>
      </c>
      <c r="H3525">
        <v>18.700962066650298</v>
      </c>
      <c r="I3525">
        <v>59.757043507934902</v>
      </c>
      <c r="J3525">
        <v>100</v>
      </c>
      <c r="K3525" t="s">
        <v>1034</v>
      </c>
      <c r="L3525" t="s">
        <v>1034</v>
      </c>
      <c r="M3525" t="s">
        <v>1034</v>
      </c>
      <c r="N3525" t="s">
        <v>1034</v>
      </c>
      <c r="O3525" t="s">
        <v>1034</v>
      </c>
      <c r="P3525" t="s">
        <v>622</v>
      </c>
      <c r="Q3525" t="s">
        <v>6859</v>
      </c>
      <c r="R3525" t="s">
        <v>16263</v>
      </c>
      <c r="U3525" t="s">
        <v>16264</v>
      </c>
    </row>
    <row r="3526" spans="1:21" x14ac:dyDescent="0.25">
      <c r="A3526" t="s">
        <v>16265</v>
      </c>
      <c r="B3526" t="s">
        <v>22</v>
      </c>
      <c r="C3526" t="s">
        <v>16266</v>
      </c>
      <c r="D3526">
        <f t="shared" si="90"/>
        <v>-33139954</v>
      </c>
      <c r="E3526" t="s">
        <v>16267</v>
      </c>
      <c r="F3526" t="s">
        <v>15882</v>
      </c>
      <c r="G3526" t="s">
        <v>15883</v>
      </c>
      <c r="H3526">
        <v>12.694747100000001</v>
      </c>
      <c r="I3526">
        <v>56.047139399999999</v>
      </c>
      <c r="J3526">
        <v>100</v>
      </c>
      <c r="K3526" t="s">
        <v>428</v>
      </c>
      <c r="L3526" t="s">
        <v>428</v>
      </c>
      <c r="M3526" t="s">
        <v>428</v>
      </c>
      <c r="N3526" t="s">
        <v>428</v>
      </c>
      <c r="O3526" t="s">
        <v>428</v>
      </c>
      <c r="P3526" t="s">
        <v>553</v>
      </c>
      <c r="Q3526" t="s">
        <v>6859</v>
      </c>
      <c r="R3526" t="s">
        <v>16266</v>
      </c>
      <c r="U3526" t="s">
        <v>16268</v>
      </c>
    </row>
    <row r="3527" spans="1:21" x14ac:dyDescent="0.25">
      <c r="A3527" t="s">
        <v>16269</v>
      </c>
      <c r="B3527" t="s">
        <v>38</v>
      </c>
      <c r="C3527" t="s">
        <v>16270</v>
      </c>
      <c r="D3527">
        <f t="shared" ref="D3527:D3562" si="91">46-33140000</f>
        <v>-33139954</v>
      </c>
      <c r="E3527" t="s">
        <v>16270</v>
      </c>
      <c r="F3527" t="s">
        <v>15882</v>
      </c>
      <c r="G3527" t="s">
        <v>15883</v>
      </c>
      <c r="H3527">
        <v>12.833232879638601</v>
      </c>
      <c r="I3527">
        <v>55.870351001764902</v>
      </c>
      <c r="J3527">
        <v>100</v>
      </c>
      <c r="K3527" t="s">
        <v>428</v>
      </c>
      <c r="L3527" t="s">
        <v>428</v>
      </c>
      <c r="M3527" t="s">
        <v>428</v>
      </c>
      <c r="N3527" t="s">
        <v>428</v>
      </c>
      <c r="O3527" t="s">
        <v>428</v>
      </c>
      <c r="P3527" t="s">
        <v>622</v>
      </c>
      <c r="R3527" t="s">
        <v>16271</v>
      </c>
      <c r="U3527" t="s">
        <v>16272</v>
      </c>
    </row>
    <row r="3528" spans="1:21" x14ac:dyDescent="0.25">
      <c r="A3528" t="s">
        <v>16273</v>
      </c>
      <c r="B3528" t="s">
        <v>22</v>
      </c>
      <c r="C3528" t="s">
        <v>16274</v>
      </c>
      <c r="D3528">
        <f t="shared" si="91"/>
        <v>-33139954</v>
      </c>
      <c r="E3528" t="s">
        <v>16275</v>
      </c>
      <c r="F3528" t="s">
        <v>15882</v>
      </c>
      <c r="G3528" t="s">
        <v>15883</v>
      </c>
      <c r="H3528">
        <v>12.0747350845787</v>
      </c>
      <c r="I3528">
        <v>57.492314358219197</v>
      </c>
      <c r="J3528">
        <v>100</v>
      </c>
      <c r="K3528" t="s">
        <v>45</v>
      </c>
      <c r="L3528" t="s">
        <v>45</v>
      </c>
      <c r="M3528" t="s">
        <v>45</v>
      </c>
      <c r="N3528" t="s">
        <v>45</v>
      </c>
      <c r="O3528" t="s">
        <v>45</v>
      </c>
      <c r="P3528" t="s">
        <v>428</v>
      </c>
      <c r="Q3528" t="s">
        <v>428</v>
      </c>
      <c r="R3528" t="s">
        <v>16276</v>
      </c>
      <c r="U3528" t="s">
        <v>16277</v>
      </c>
    </row>
    <row r="3529" spans="1:21" x14ac:dyDescent="0.25">
      <c r="A3529" t="s">
        <v>16278</v>
      </c>
      <c r="B3529" t="s">
        <v>38</v>
      </c>
      <c r="C3529" t="s">
        <v>16279</v>
      </c>
      <c r="D3529">
        <f t="shared" si="91"/>
        <v>-33139954</v>
      </c>
      <c r="E3529" t="s">
        <v>16279</v>
      </c>
      <c r="F3529" t="s">
        <v>15882</v>
      </c>
      <c r="G3529" t="s">
        <v>15883</v>
      </c>
      <c r="H3529">
        <v>11.8189577</v>
      </c>
      <c r="I3529">
        <v>58.068347799999998</v>
      </c>
      <c r="J3529">
        <v>100</v>
      </c>
      <c r="K3529" t="s">
        <v>535</v>
      </c>
      <c r="L3529" t="s">
        <v>535</v>
      </c>
      <c r="M3529" t="s">
        <v>535</v>
      </c>
      <c r="N3529" t="s">
        <v>535</v>
      </c>
      <c r="O3529" t="s">
        <v>535</v>
      </c>
      <c r="P3529" t="s">
        <v>622</v>
      </c>
      <c r="Q3529" t="s">
        <v>5842</v>
      </c>
      <c r="R3529" t="s">
        <v>16280</v>
      </c>
      <c r="U3529" t="s">
        <v>16281</v>
      </c>
    </row>
    <row r="3530" spans="1:21" x14ac:dyDescent="0.25">
      <c r="A3530" t="s">
        <v>16282</v>
      </c>
      <c r="B3530" t="s">
        <v>38</v>
      </c>
      <c r="C3530" t="s">
        <v>16283</v>
      </c>
      <c r="D3530">
        <f t="shared" si="91"/>
        <v>-33139954</v>
      </c>
      <c r="E3530" t="s">
        <v>16283</v>
      </c>
      <c r="F3530" t="s">
        <v>15882</v>
      </c>
      <c r="G3530" t="s">
        <v>15883</v>
      </c>
      <c r="H3530">
        <v>11.3467289</v>
      </c>
      <c r="I3530">
        <v>58.721162399999898</v>
      </c>
      <c r="J3530">
        <v>100</v>
      </c>
      <c r="K3530" t="s">
        <v>535</v>
      </c>
      <c r="L3530" t="s">
        <v>535</v>
      </c>
      <c r="M3530" t="s">
        <v>535</v>
      </c>
      <c r="N3530" t="s">
        <v>535</v>
      </c>
      <c r="O3530" t="s">
        <v>535</v>
      </c>
      <c r="P3530" t="s">
        <v>553</v>
      </c>
      <c r="Q3530" t="s">
        <v>564</v>
      </c>
      <c r="R3530" t="s">
        <v>16284</v>
      </c>
      <c r="U3530" t="s">
        <v>16285</v>
      </c>
    </row>
    <row r="3531" spans="1:21" x14ac:dyDescent="0.25">
      <c r="A3531" t="s">
        <v>16286</v>
      </c>
      <c r="B3531" t="s">
        <v>22</v>
      </c>
      <c r="C3531" t="s">
        <v>16287</v>
      </c>
      <c r="D3531">
        <f t="shared" si="91"/>
        <v>-33139954</v>
      </c>
      <c r="E3531" t="s">
        <v>16288</v>
      </c>
      <c r="F3531" t="s">
        <v>15882</v>
      </c>
      <c r="G3531" t="s">
        <v>15883</v>
      </c>
      <c r="H3531">
        <v>20.2630354</v>
      </c>
      <c r="I3531">
        <v>63.825847099999997</v>
      </c>
      <c r="J3531">
        <v>110</v>
      </c>
      <c r="K3531" t="s">
        <v>535</v>
      </c>
      <c r="L3531" t="s">
        <v>535</v>
      </c>
      <c r="M3531" t="s">
        <v>535</v>
      </c>
      <c r="N3531" t="s">
        <v>535</v>
      </c>
      <c r="O3531" t="s">
        <v>535</v>
      </c>
      <c r="P3531" t="s">
        <v>553</v>
      </c>
      <c r="Q3531" t="s">
        <v>6859</v>
      </c>
      <c r="R3531" t="s">
        <v>16289</v>
      </c>
      <c r="U3531" t="s">
        <v>16290</v>
      </c>
    </row>
    <row r="3532" spans="1:21" x14ac:dyDescent="0.25">
      <c r="A3532" t="s">
        <v>16291</v>
      </c>
      <c r="B3532" t="s">
        <v>22</v>
      </c>
      <c r="C3532" t="s">
        <v>16292</v>
      </c>
      <c r="D3532">
        <f t="shared" si="91"/>
        <v>-33139954</v>
      </c>
      <c r="E3532" t="s">
        <v>16293</v>
      </c>
      <c r="F3532" t="s">
        <v>15882</v>
      </c>
      <c r="G3532" t="s">
        <v>15883</v>
      </c>
      <c r="H3532">
        <v>12.3074695</v>
      </c>
      <c r="I3532">
        <v>58.311223200000001</v>
      </c>
      <c r="J3532">
        <v>100</v>
      </c>
      <c r="K3532" t="s">
        <v>535</v>
      </c>
      <c r="L3532" t="s">
        <v>535</v>
      </c>
      <c r="M3532" t="s">
        <v>535</v>
      </c>
      <c r="N3532" t="s">
        <v>535</v>
      </c>
      <c r="O3532" t="s">
        <v>535</v>
      </c>
      <c r="P3532" t="s">
        <v>553</v>
      </c>
      <c r="Q3532" t="s">
        <v>564</v>
      </c>
      <c r="R3532" t="s">
        <v>16294</v>
      </c>
      <c r="U3532" t="s">
        <v>16295</v>
      </c>
    </row>
    <row r="3533" spans="1:21" x14ac:dyDescent="0.25">
      <c r="A3533" t="s">
        <v>16296</v>
      </c>
      <c r="B3533" t="s">
        <v>22</v>
      </c>
      <c r="C3533" t="s">
        <v>16297</v>
      </c>
      <c r="D3533">
        <f t="shared" si="91"/>
        <v>-33139954</v>
      </c>
      <c r="E3533" t="s">
        <v>16288</v>
      </c>
      <c r="F3533" t="s">
        <v>15882</v>
      </c>
      <c r="G3533" t="s">
        <v>15883</v>
      </c>
      <c r="H3533">
        <v>20.253921099999999</v>
      </c>
      <c r="I3533">
        <v>63.809779200000001</v>
      </c>
      <c r="J3533">
        <v>110</v>
      </c>
      <c r="K3533" t="s">
        <v>45</v>
      </c>
      <c r="L3533" t="s">
        <v>45</v>
      </c>
      <c r="M3533" t="s">
        <v>45</v>
      </c>
      <c r="N3533" t="s">
        <v>45</v>
      </c>
      <c r="O3533" t="s">
        <v>45</v>
      </c>
      <c r="P3533" t="s">
        <v>428</v>
      </c>
      <c r="Q3533" t="s">
        <v>428</v>
      </c>
      <c r="R3533" t="s">
        <v>16298</v>
      </c>
      <c r="U3533" t="s">
        <v>16299</v>
      </c>
    </row>
    <row r="3534" spans="1:21" x14ac:dyDescent="0.25">
      <c r="A3534" t="s">
        <v>16300</v>
      </c>
      <c r="B3534" t="s">
        <v>38</v>
      </c>
      <c r="C3534" t="s">
        <v>16083</v>
      </c>
      <c r="D3534">
        <f t="shared" si="91"/>
        <v>-33139954</v>
      </c>
      <c r="E3534" t="s">
        <v>16301</v>
      </c>
      <c r="F3534" t="s">
        <v>15882</v>
      </c>
      <c r="G3534" t="s">
        <v>15883</v>
      </c>
      <c r="H3534">
        <v>17.304088700000001</v>
      </c>
      <c r="I3534">
        <v>62.391511800000004</v>
      </c>
      <c r="J3534">
        <v>110</v>
      </c>
      <c r="K3534" t="s">
        <v>428</v>
      </c>
      <c r="L3534" t="s">
        <v>428</v>
      </c>
      <c r="M3534" t="s">
        <v>428</v>
      </c>
      <c r="N3534" t="s">
        <v>428</v>
      </c>
      <c r="O3534" t="s">
        <v>428</v>
      </c>
      <c r="P3534" t="s">
        <v>5842</v>
      </c>
      <c r="R3534" t="s">
        <v>16083</v>
      </c>
      <c r="U3534" t="s">
        <v>16302</v>
      </c>
    </row>
    <row r="3535" spans="1:21" x14ac:dyDescent="0.25">
      <c r="A3535" t="s">
        <v>16303</v>
      </c>
      <c r="B3535" t="s">
        <v>22</v>
      </c>
      <c r="C3535" t="s">
        <v>16304</v>
      </c>
      <c r="D3535">
        <f t="shared" si="91"/>
        <v>-33139954</v>
      </c>
      <c r="E3535" t="s">
        <v>16304</v>
      </c>
      <c r="F3535" t="s">
        <v>15882</v>
      </c>
      <c r="G3535" t="s">
        <v>15883</v>
      </c>
      <c r="H3535">
        <v>17.626748085021902</v>
      </c>
      <c r="I3535">
        <v>59.196900255541301</v>
      </c>
      <c r="J3535">
        <v>100</v>
      </c>
      <c r="K3535" t="s">
        <v>717</v>
      </c>
      <c r="L3535" t="s">
        <v>717</v>
      </c>
      <c r="M3535" t="s">
        <v>717</v>
      </c>
      <c r="N3535" t="s">
        <v>717</v>
      </c>
      <c r="O3535" t="s">
        <v>717</v>
      </c>
      <c r="P3535" t="s">
        <v>553</v>
      </c>
      <c r="R3535" t="s">
        <v>16305</v>
      </c>
      <c r="U3535" t="s">
        <v>16306</v>
      </c>
    </row>
    <row r="3536" spans="1:21" x14ac:dyDescent="0.25">
      <c r="A3536" t="s">
        <v>16307</v>
      </c>
      <c r="B3536" t="s">
        <v>22</v>
      </c>
      <c r="C3536" t="s">
        <v>16308</v>
      </c>
      <c r="D3536">
        <f t="shared" si="91"/>
        <v>-33139954</v>
      </c>
      <c r="E3536" t="s">
        <v>16309</v>
      </c>
      <c r="F3536" t="s">
        <v>15882</v>
      </c>
      <c r="G3536" t="s">
        <v>15883</v>
      </c>
      <c r="H3536">
        <v>14.636825200000001</v>
      </c>
      <c r="I3536">
        <v>63.177973600000001</v>
      </c>
      <c r="J3536">
        <v>110</v>
      </c>
      <c r="K3536" t="s">
        <v>1034</v>
      </c>
      <c r="L3536" t="s">
        <v>1034</v>
      </c>
      <c r="M3536" t="s">
        <v>1034</v>
      </c>
      <c r="N3536" t="s">
        <v>1034</v>
      </c>
      <c r="O3536" t="s">
        <v>1034</v>
      </c>
      <c r="P3536" t="s">
        <v>622</v>
      </c>
      <c r="R3536" t="s">
        <v>16310</v>
      </c>
      <c r="U3536" t="s">
        <v>16311</v>
      </c>
    </row>
    <row r="3537" spans="1:21" x14ac:dyDescent="0.25">
      <c r="A3537" t="s">
        <v>16312</v>
      </c>
      <c r="B3537" t="s">
        <v>38</v>
      </c>
      <c r="C3537" t="s">
        <v>16313</v>
      </c>
      <c r="D3537">
        <f t="shared" si="91"/>
        <v>-33139954</v>
      </c>
      <c r="E3537" t="s">
        <v>16313</v>
      </c>
      <c r="F3537" t="s">
        <v>15882</v>
      </c>
      <c r="G3537" t="s">
        <v>15883</v>
      </c>
      <c r="H3537">
        <v>13.7643495</v>
      </c>
      <c r="I3537">
        <v>56.1553842</v>
      </c>
      <c r="J3537">
        <v>100</v>
      </c>
      <c r="K3537" t="s">
        <v>1034</v>
      </c>
      <c r="L3537" t="s">
        <v>1034</v>
      </c>
      <c r="M3537" t="s">
        <v>1034</v>
      </c>
      <c r="N3537" t="s">
        <v>1034</v>
      </c>
      <c r="O3537" t="s">
        <v>1034</v>
      </c>
      <c r="P3537" t="s">
        <v>5818</v>
      </c>
      <c r="R3537" t="s">
        <v>16314</v>
      </c>
      <c r="U3537" t="s">
        <v>16315</v>
      </c>
    </row>
    <row r="3538" spans="1:21" x14ac:dyDescent="0.25">
      <c r="A3538" t="s">
        <v>16316</v>
      </c>
      <c r="B3538" t="s">
        <v>38</v>
      </c>
      <c r="C3538" t="s">
        <v>16317</v>
      </c>
      <c r="D3538">
        <f t="shared" si="91"/>
        <v>-33139954</v>
      </c>
      <c r="E3538" t="s">
        <v>16288</v>
      </c>
      <c r="F3538" t="s">
        <v>15882</v>
      </c>
      <c r="G3538" t="s">
        <v>15883</v>
      </c>
      <c r="H3538">
        <v>20.2986145019531</v>
      </c>
      <c r="I3538">
        <v>63.850902322855099</v>
      </c>
      <c r="J3538">
        <v>110</v>
      </c>
      <c r="K3538" t="s">
        <v>1034</v>
      </c>
      <c r="L3538" t="s">
        <v>1034</v>
      </c>
      <c r="M3538" t="s">
        <v>1034</v>
      </c>
      <c r="N3538" t="s">
        <v>1034</v>
      </c>
      <c r="O3538" t="s">
        <v>1034</v>
      </c>
      <c r="P3538" t="s">
        <v>564</v>
      </c>
      <c r="R3538" t="s">
        <v>16318</v>
      </c>
      <c r="U3538" t="s">
        <v>16319</v>
      </c>
    </row>
    <row r="3539" spans="1:21" x14ac:dyDescent="0.25">
      <c r="A3539" t="s">
        <v>16320</v>
      </c>
      <c r="B3539" t="s">
        <v>22</v>
      </c>
      <c r="C3539" t="s">
        <v>16321</v>
      </c>
      <c r="D3539">
        <f t="shared" si="91"/>
        <v>-33139954</v>
      </c>
      <c r="E3539" t="s">
        <v>16322</v>
      </c>
      <c r="F3539" t="s">
        <v>15882</v>
      </c>
      <c r="G3539" t="s">
        <v>15883</v>
      </c>
      <c r="H3539">
        <v>15.418464</v>
      </c>
      <c r="I3539">
        <v>60.485839200000001</v>
      </c>
      <c r="J3539">
        <v>110</v>
      </c>
      <c r="K3539" t="s">
        <v>535</v>
      </c>
      <c r="L3539" t="s">
        <v>535</v>
      </c>
      <c r="M3539" t="s">
        <v>535</v>
      </c>
      <c r="N3539" t="s">
        <v>535</v>
      </c>
      <c r="O3539" t="s">
        <v>535</v>
      </c>
      <c r="P3539" t="s">
        <v>428</v>
      </c>
      <c r="Q3539" t="s">
        <v>1034</v>
      </c>
      <c r="R3539" t="s">
        <v>16323</v>
      </c>
      <c r="U3539" t="s">
        <v>16324</v>
      </c>
    </row>
    <row r="3540" spans="1:21" x14ac:dyDescent="0.25">
      <c r="A3540" t="s">
        <v>16325</v>
      </c>
      <c r="B3540" t="s">
        <v>38</v>
      </c>
      <c r="C3540" t="s">
        <v>16326</v>
      </c>
      <c r="D3540">
        <f t="shared" si="91"/>
        <v>-33139954</v>
      </c>
      <c r="E3540" t="s">
        <v>16326</v>
      </c>
      <c r="F3540" t="s">
        <v>15882</v>
      </c>
      <c r="G3540" t="s">
        <v>15883</v>
      </c>
      <c r="H3540">
        <v>17.056102752685501</v>
      </c>
      <c r="I3540">
        <v>61.302685286463301</v>
      </c>
      <c r="J3540">
        <v>110</v>
      </c>
      <c r="K3540" t="s">
        <v>1034</v>
      </c>
      <c r="L3540" t="s">
        <v>1034</v>
      </c>
      <c r="M3540" t="s">
        <v>1034</v>
      </c>
      <c r="N3540" t="s">
        <v>1034</v>
      </c>
      <c r="O3540" t="s">
        <v>1034</v>
      </c>
      <c r="P3540" t="s">
        <v>5873</v>
      </c>
      <c r="R3540" t="s">
        <v>16327</v>
      </c>
      <c r="U3540" t="s">
        <v>16328</v>
      </c>
    </row>
    <row r="3541" spans="1:21" x14ac:dyDescent="0.25">
      <c r="A3541" t="s">
        <v>16329</v>
      </c>
      <c r="B3541" t="s">
        <v>22</v>
      </c>
      <c r="C3541" t="s">
        <v>16330</v>
      </c>
      <c r="D3541">
        <f t="shared" si="91"/>
        <v>-33139954</v>
      </c>
      <c r="E3541" t="s">
        <v>16267</v>
      </c>
      <c r="F3541" t="s">
        <v>15882</v>
      </c>
      <c r="G3541" t="s">
        <v>15883</v>
      </c>
      <c r="H3541">
        <v>12.760408999999999</v>
      </c>
      <c r="I3541">
        <v>56.093573999999997</v>
      </c>
      <c r="J3541">
        <v>100</v>
      </c>
      <c r="K3541" t="s">
        <v>45</v>
      </c>
      <c r="L3541" t="s">
        <v>45</v>
      </c>
      <c r="M3541" t="s">
        <v>45</v>
      </c>
      <c r="N3541" t="s">
        <v>45</v>
      </c>
      <c r="O3541" t="s">
        <v>45</v>
      </c>
      <c r="P3541" t="s">
        <v>428</v>
      </c>
      <c r="Q3541" t="s">
        <v>428</v>
      </c>
      <c r="R3541" t="s">
        <v>16331</v>
      </c>
      <c r="U3541" t="s">
        <v>16332</v>
      </c>
    </row>
    <row r="3542" spans="1:21" x14ac:dyDescent="0.25">
      <c r="A3542" t="s">
        <v>16333</v>
      </c>
      <c r="B3542" t="s">
        <v>38</v>
      </c>
      <c r="C3542" t="s">
        <v>16334</v>
      </c>
      <c r="D3542">
        <f t="shared" si="91"/>
        <v>-33139954</v>
      </c>
      <c r="E3542" t="s">
        <v>16334</v>
      </c>
      <c r="F3542" t="s">
        <v>15882</v>
      </c>
      <c r="G3542" t="s">
        <v>15883</v>
      </c>
      <c r="H3542">
        <v>16.168248999999999</v>
      </c>
      <c r="I3542">
        <v>60.145882</v>
      </c>
      <c r="J3542">
        <v>110</v>
      </c>
      <c r="K3542" t="s">
        <v>428</v>
      </c>
      <c r="L3542" t="s">
        <v>428</v>
      </c>
      <c r="M3542" t="s">
        <v>428</v>
      </c>
      <c r="N3542" t="s">
        <v>428</v>
      </c>
      <c r="O3542" t="s">
        <v>428</v>
      </c>
      <c r="P3542" t="s">
        <v>5873</v>
      </c>
      <c r="R3542" t="s">
        <v>16335</v>
      </c>
      <c r="U3542" t="s">
        <v>16336</v>
      </c>
    </row>
    <row r="3543" spans="1:21" x14ac:dyDescent="0.25">
      <c r="A3543" t="s">
        <v>16337</v>
      </c>
      <c r="B3543" t="s">
        <v>22</v>
      </c>
      <c r="C3543" t="s">
        <v>16338</v>
      </c>
      <c r="D3543">
        <f t="shared" si="91"/>
        <v>-33139954</v>
      </c>
      <c r="E3543" t="s">
        <v>16339</v>
      </c>
      <c r="F3543" t="s">
        <v>15882</v>
      </c>
      <c r="G3543" t="s">
        <v>15883</v>
      </c>
      <c r="H3543">
        <v>20.9532788</v>
      </c>
      <c r="I3543">
        <v>64.751529099999999</v>
      </c>
      <c r="J3543">
        <v>100</v>
      </c>
      <c r="K3543" t="s">
        <v>1034</v>
      </c>
      <c r="L3543" t="s">
        <v>1034</v>
      </c>
      <c r="M3543" t="s">
        <v>1034</v>
      </c>
      <c r="N3543" t="s">
        <v>1034</v>
      </c>
      <c r="O3543" t="s">
        <v>1034</v>
      </c>
      <c r="P3543" t="s">
        <v>622</v>
      </c>
      <c r="Q3543" t="s">
        <v>6859</v>
      </c>
      <c r="R3543" t="s">
        <v>16340</v>
      </c>
      <c r="U3543" t="s">
        <v>16341</v>
      </c>
    </row>
    <row r="3544" spans="1:21" x14ac:dyDescent="0.25">
      <c r="A3544" t="s">
        <v>16342</v>
      </c>
      <c r="B3544" t="s">
        <v>22</v>
      </c>
      <c r="C3544" t="s">
        <v>16343</v>
      </c>
      <c r="D3544">
        <f t="shared" si="91"/>
        <v>-33139954</v>
      </c>
      <c r="E3544" t="s">
        <v>16344</v>
      </c>
      <c r="F3544" t="s">
        <v>15882</v>
      </c>
      <c r="G3544" t="s">
        <v>15883</v>
      </c>
      <c r="H3544">
        <v>22.150401500000001</v>
      </c>
      <c r="I3544">
        <v>65.584090799999998</v>
      </c>
      <c r="J3544">
        <v>110</v>
      </c>
      <c r="K3544" t="s">
        <v>428</v>
      </c>
      <c r="L3544" t="s">
        <v>428</v>
      </c>
      <c r="M3544" t="s">
        <v>428</v>
      </c>
      <c r="N3544" t="s">
        <v>428</v>
      </c>
      <c r="O3544" t="s">
        <v>428</v>
      </c>
      <c r="P3544" t="s">
        <v>622</v>
      </c>
      <c r="Q3544" t="s">
        <v>6859</v>
      </c>
      <c r="R3544" t="s">
        <v>16343</v>
      </c>
      <c r="U3544" t="s">
        <v>16345</v>
      </c>
    </row>
    <row r="3545" spans="1:21" x14ac:dyDescent="0.25">
      <c r="A3545" t="s">
        <v>16346</v>
      </c>
      <c r="B3545" t="s">
        <v>38</v>
      </c>
      <c r="C3545" t="s">
        <v>16347</v>
      </c>
      <c r="D3545">
        <f t="shared" si="91"/>
        <v>-33139954</v>
      </c>
      <c r="E3545" t="s">
        <v>16344</v>
      </c>
      <c r="F3545" t="s">
        <v>15882</v>
      </c>
      <c r="G3545" t="s">
        <v>15883</v>
      </c>
      <c r="H3545">
        <v>22.040548324584901</v>
      </c>
      <c r="I3545">
        <v>65.618054488908896</v>
      </c>
      <c r="J3545">
        <v>110</v>
      </c>
      <c r="K3545" t="s">
        <v>1034</v>
      </c>
      <c r="L3545" t="s">
        <v>1034</v>
      </c>
      <c r="M3545" t="s">
        <v>1034</v>
      </c>
      <c r="N3545" t="s">
        <v>1034</v>
      </c>
      <c r="O3545" t="s">
        <v>1034</v>
      </c>
      <c r="P3545" t="s">
        <v>564</v>
      </c>
      <c r="Q3545" t="s">
        <v>1289</v>
      </c>
      <c r="R3545" t="s">
        <v>16347</v>
      </c>
      <c r="U3545" t="s">
        <v>16348</v>
      </c>
    </row>
    <row r="3546" spans="1:21" x14ac:dyDescent="0.25">
      <c r="A3546" t="s">
        <v>16349</v>
      </c>
      <c r="B3546" t="s">
        <v>38</v>
      </c>
      <c r="C3546" t="s">
        <v>16350</v>
      </c>
      <c r="D3546">
        <f t="shared" si="91"/>
        <v>-33139954</v>
      </c>
      <c r="E3546" t="s">
        <v>16350</v>
      </c>
      <c r="F3546" t="s">
        <v>15882</v>
      </c>
      <c r="G3546" t="s">
        <v>15883</v>
      </c>
      <c r="H3546">
        <v>16.638539999999999</v>
      </c>
      <c r="I3546">
        <v>57.752852400000002</v>
      </c>
      <c r="J3546">
        <v>100</v>
      </c>
      <c r="K3546" t="s">
        <v>1034</v>
      </c>
      <c r="L3546" t="s">
        <v>1034</v>
      </c>
      <c r="M3546" t="s">
        <v>1034</v>
      </c>
      <c r="N3546" t="s">
        <v>1034</v>
      </c>
      <c r="O3546" t="s">
        <v>1034</v>
      </c>
      <c r="P3546" t="s">
        <v>5873</v>
      </c>
      <c r="R3546" t="s">
        <v>16351</v>
      </c>
      <c r="U3546" t="s">
        <v>16352</v>
      </c>
    </row>
    <row r="3547" spans="1:21" x14ac:dyDescent="0.25">
      <c r="A3547" t="s">
        <v>16353</v>
      </c>
      <c r="B3547" t="s">
        <v>38</v>
      </c>
      <c r="C3547" t="s">
        <v>16354</v>
      </c>
      <c r="D3547">
        <f t="shared" si="91"/>
        <v>-33139954</v>
      </c>
      <c r="E3547" t="s">
        <v>16355</v>
      </c>
      <c r="F3547" t="s">
        <v>15882</v>
      </c>
      <c r="G3547" t="s">
        <v>15883</v>
      </c>
      <c r="H3547">
        <v>14.536565599999999</v>
      </c>
      <c r="I3547">
        <v>61.003275000000002</v>
      </c>
      <c r="J3547">
        <v>110</v>
      </c>
      <c r="K3547" t="s">
        <v>1034</v>
      </c>
      <c r="L3547" t="s">
        <v>1034</v>
      </c>
      <c r="M3547" t="s">
        <v>1034</v>
      </c>
      <c r="N3547" t="s">
        <v>1034</v>
      </c>
      <c r="O3547" t="s">
        <v>1034</v>
      </c>
      <c r="P3547" t="s">
        <v>5818</v>
      </c>
      <c r="R3547" t="s">
        <v>16356</v>
      </c>
      <c r="U3547" t="s">
        <v>16357</v>
      </c>
    </row>
    <row r="3548" spans="1:21" x14ac:dyDescent="0.25">
      <c r="A3548" t="s">
        <v>16358</v>
      </c>
      <c r="B3548" t="s">
        <v>22</v>
      </c>
      <c r="C3548" t="s">
        <v>16359</v>
      </c>
      <c r="D3548">
        <f t="shared" si="91"/>
        <v>-33139954</v>
      </c>
      <c r="E3548" t="s">
        <v>16360</v>
      </c>
      <c r="F3548" t="s">
        <v>15882</v>
      </c>
      <c r="G3548" t="s">
        <v>15883</v>
      </c>
      <c r="H3548">
        <v>17.140098200000001</v>
      </c>
      <c r="I3548">
        <v>60.674033000000001</v>
      </c>
      <c r="J3548">
        <v>110</v>
      </c>
      <c r="K3548" t="s">
        <v>535</v>
      </c>
      <c r="L3548" t="s">
        <v>535</v>
      </c>
      <c r="M3548" t="s">
        <v>535</v>
      </c>
      <c r="N3548" t="s">
        <v>535</v>
      </c>
      <c r="O3548" t="s">
        <v>535</v>
      </c>
      <c r="P3548" t="s">
        <v>428</v>
      </c>
      <c r="Q3548" t="s">
        <v>5842</v>
      </c>
      <c r="R3548" t="s">
        <v>16361</v>
      </c>
      <c r="U3548" t="s">
        <v>16362</v>
      </c>
    </row>
    <row r="3549" spans="1:21" x14ac:dyDescent="0.25">
      <c r="A3549" t="s">
        <v>16363</v>
      </c>
      <c r="B3549" t="s">
        <v>22</v>
      </c>
      <c r="C3549" t="s">
        <v>16364</v>
      </c>
      <c r="D3549">
        <f t="shared" si="91"/>
        <v>-33139954</v>
      </c>
      <c r="E3549" t="s">
        <v>16301</v>
      </c>
      <c r="F3549" t="s">
        <v>15882</v>
      </c>
      <c r="G3549" t="s">
        <v>15883</v>
      </c>
      <c r="H3549">
        <v>17.341591699999999</v>
      </c>
      <c r="I3549">
        <v>62.447687700000003</v>
      </c>
      <c r="J3549">
        <v>110</v>
      </c>
      <c r="K3549" t="s">
        <v>717</v>
      </c>
      <c r="L3549" t="s">
        <v>717</v>
      </c>
      <c r="M3549" t="s">
        <v>717</v>
      </c>
      <c r="N3549" t="s">
        <v>717</v>
      </c>
      <c r="O3549" t="s">
        <v>717</v>
      </c>
      <c r="P3549" t="s">
        <v>564</v>
      </c>
      <c r="Q3549" t="s">
        <v>564</v>
      </c>
      <c r="R3549" t="s">
        <v>16365</v>
      </c>
      <c r="U3549" t="s">
        <v>16366</v>
      </c>
    </row>
    <row r="3550" spans="1:21" x14ac:dyDescent="0.25">
      <c r="A3550" t="s">
        <v>16367</v>
      </c>
      <c r="B3550" t="s">
        <v>22</v>
      </c>
      <c r="C3550" t="s">
        <v>16368</v>
      </c>
      <c r="D3550">
        <f t="shared" si="91"/>
        <v>-33139954</v>
      </c>
      <c r="E3550" t="s">
        <v>16368</v>
      </c>
      <c r="F3550" t="s">
        <v>15882</v>
      </c>
      <c r="G3550" t="s">
        <v>15883</v>
      </c>
      <c r="H3550">
        <v>13.821147</v>
      </c>
      <c r="I3550">
        <v>55.428918600000003</v>
      </c>
      <c r="J3550">
        <v>100</v>
      </c>
      <c r="K3550" t="s">
        <v>1034</v>
      </c>
      <c r="L3550" t="s">
        <v>1034</v>
      </c>
      <c r="M3550" t="s">
        <v>1034</v>
      </c>
      <c r="N3550" t="s">
        <v>1034</v>
      </c>
      <c r="O3550" t="s">
        <v>1034</v>
      </c>
      <c r="P3550" t="s">
        <v>5818</v>
      </c>
      <c r="R3550" t="s">
        <v>16369</v>
      </c>
      <c r="U3550" t="s">
        <v>16370</v>
      </c>
    </row>
    <row r="3551" spans="1:21" x14ac:dyDescent="0.25">
      <c r="A3551" t="s">
        <v>16371</v>
      </c>
      <c r="B3551" t="s">
        <v>22</v>
      </c>
      <c r="C3551" t="s">
        <v>16372</v>
      </c>
      <c r="D3551">
        <f t="shared" si="91"/>
        <v>-33139954</v>
      </c>
      <c r="E3551" t="s">
        <v>16373</v>
      </c>
      <c r="F3551" t="s">
        <v>15882</v>
      </c>
      <c r="G3551" t="s">
        <v>15883</v>
      </c>
      <c r="H3551">
        <v>11.812722000000001</v>
      </c>
      <c r="I3551">
        <v>58.354100000000003</v>
      </c>
      <c r="J3551">
        <v>100</v>
      </c>
      <c r="K3551" t="s">
        <v>45</v>
      </c>
      <c r="L3551" t="s">
        <v>45</v>
      </c>
      <c r="M3551" t="s">
        <v>45</v>
      </c>
      <c r="N3551" t="s">
        <v>45</v>
      </c>
      <c r="O3551" t="s">
        <v>45</v>
      </c>
      <c r="P3551" t="s">
        <v>428</v>
      </c>
      <c r="Q3551" t="s">
        <v>428</v>
      </c>
      <c r="R3551" t="s">
        <v>16372</v>
      </c>
      <c r="U3551" t="s">
        <v>16374</v>
      </c>
    </row>
    <row r="3552" spans="1:21" x14ac:dyDescent="0.25">
      <c r="A3552" t="s">
        <v>16375</v>
      </c>
      <c r="B3552" t="s">
        <v>22</v>
      </c>
      <c r="C3552" t="s">
        <v>16376</v>
      </c>
      <c r="D3552">
        <f t="shared" si="91"/>
        <v>-33139954</v>
      </c>
      <c r="E3552" t="s">
        <v>16360</v>
      </c>
      <c r="F3552" t="s">
        <v>15882</v>
      </c>
      <c r="G3552" t="s">
        <v>15883</v>
      </c>
      <c r="H3552">
        <v>16.992609999999999</v>
      </c>
      <c r="I3552">
        <v>60.633066999999997</v>
      </c>
      <c r="J3552">
        <v>110</v>
      </c>
      <c r="K3552" t="s">
        <v>45</v>
      </c>
      <c r="L3552" t="s">
        <v>45</v>
      </c>
      <c r="M3552" t="s">
        <v>45</v>
      </c>
      <c r="N3552" t="s">
        <v>45</v>
      </c>
      <c r="O3552" t="s">
        <v>45</v>
      </c>
      <c r="P3552" t="s">
        <v>428</v>
      </c>
      <c r="Q3552" t="s">
        <v>1034</v>
      </c>
      <c r="R3552" t="s">
        <v>16377</v>
      </c>
      <c r="U3552" t="s">
        <v>16378</v>
      </c>
    </row>
    <row r="3553" spans="1:21" x14ac:dyDescent="0.25">
      <c r="A3553" t="s">
        <v>16379</v>
      </c>
      <c r="B3553" t="s">
        <v>38</v>
      </c>
      <c r="C3553" t="s">
        <v>16380</v>
      </c>
      <c r="D3553">
        <f t="shared" si="91"/>
        <v>-33139954</v>
      </c>
      <c r="E3553" t="s">
        <v>16380</v>
      </c>
      <c r="F3553" t="s">
        <v>15882</v>
      </c>
      <c r="G3553" t="s">
        <v>15883</v>
      </c>
      <c r="H3553">
        <v>18.714952468871999</v>
      </c>
      <c r="I3553">
        <v>63.2911647478604</v>
      </c>
      <c r="J3553">
        <v>110</v>
      </c>
      <c r="K3553" t="s">
        <v>535</v>
      </c>
      <c r="L3553" t="s">
        <v>535</v>
      </c>
      <c r="M3553" t="s">
        <v>535</v>
      </c>
      <c r="N3553" t="s">
        <v>535</v>
      </c>
      <c r="O3553" t="s">
        <v>535</v>
      </c>
      <c r="P3553" t="s">
        <v>622</v>
      </c>
      <c r="Q3553" t="s">
        <v>6859</v>
      </c>
      <c r="R3553" t="s">
        <v>16259</v>
      </c>
      <c r="U3553" t="s">
        <v>16381</v>
      </c>
    </row>
    <row r="3554" spans="1:21" x14ac:dyDescent="0.25">
      <c r="A3554" t="s">
        <v>16382</v>
      </c>
      <c r="B3554" t="s">
        <v>22</v>
      </c>
      <c r="C3554" t="s">
        <v>16383</v>
      </c>
      <c r="D3554">
        <f t="shared" si="91"/>
        <v>-33139954</v>
      </c>
      <c r="E3554" t="s">
        <v>16383</v>
      </c>
      <c r="F3554" t="s">
        <v>15882</v>
      </c>
      <c r="G3554" t="s">
        <v>15883</v>
      </c>
      <c r="H3554">
        <v>13.157431299999899</v>
      </c>
      <c r="I3554">
        <v>58.5031611</v>
      </c>
      <c r="J3554">
        <v>100</v>
      </c>
      <c r="K3554" t="s">
        <v>428</v>
      </c>
      <c r="L3554" t="s">
        <v>428</v>
      </c>
      <c r="M3554" t="s">
        <v>428</v>
      </c>
      <c r="N3554" t="s">
        <v>428</v>
      </c>
      <c r="O3554" t="s">
        <v>428</v>
      </c>
      <c r="P3554" t="s">
        <v>5873</v>
      </c>
      <c r="R3554" t="s">
        <v>16384</v>
      </c>
      <c r="U3554" t="s">
        <v>16385</v>
      </c>
    </row>
    <row r="3555" spans="1:21" x14ac:dyDescent="0.25">
      <c r="A3555" t="s">
        <v>16386</v>
      </c>
      <c r="B3555" t="s">
        <v>22</v>
      </c>
      <c r="C3555" t="s">
        <v>16387</v>
      </c>
      <c r="D3555">
        <f t="shared" si="91"/>
        <v>-33139954</v>
      </c>
      <c r="E3555" t="s">
        <v>16387</v>
      </c>
      <c r="F3555" t="s">
        <v>15882</v>
      </c>
      <c r="G3555" t="s">
        <v>15883</v>
      </c>
      <c r="H3555">
        <v>17.006008000000001</v>
      </c>
      <c r="I3555">
        <v>58.752464661114203</v>
      </c>
      <c r="J3555">
        <v>100</v>
      </c>
      <c r="K3555" t="s">
        <v>428</v>
      </c>
      <c r="L3555" t="s">
        <v>428</v>
      </c>
      <c r="M3555" t="s">
        <v>428</v>
      </c>
      <c r="N3555" t="s">
        <v>428</v>
      </c>
      <c r="O3555" t="s">
        <v>428</v>
      </c>
      <c r="P3555" t="s">
        <v>622</v>
      </c>
      <c r="Q3555" t="s">
        <v>6859</v>
      </c>
      <c r="R3555" t="s">
        <v>16388</v>
      </c>
      <c r="U3555" t="s">
        <v>16389</v>
      </c>
    </row>
    <row r="3556" spans="1:21" x14ac:dyDescent="0.25">
      <c r="A3556" t="s">
        <v>16390</v>
      </c>
      <c r="B3556" t="s">
        <v>22</v>
      </c>
      <c r="C3556" t="s">
        <v>16391</v>
      </c>
      <c r="D3556">
        <f t="shared" si="91"/>
        <v>-33139954</v>
      </c>
      <c r="E3556" t="s">
        <v>16391</v>
      </c>
      <c r="F3556" t="s">
        <v>15882</v>
      </c>
      <c r="G3556" t="s">
        <v>15883</v>
      </c>
      <c r="H3556">
        <v>15.625104</v>
      </c>
      <c r="I3556">
        <v>58.409799999999997</v>
      </c>
      <c r="J3556">
        <v>100</v>
      </c>
      <c r="K3556" t="s">
        <v>428</v>
      </c>
      <c r="L3556" t="s">
        <v>428</v>
      </c>
      <c r="M3556" t="s">
        <v>428</v>
      </c>
      <c r="N3556" t="s">
        <v>428</v>
      </c>
      <c r="O3556" t="s">
        <v>428</v>
      </c>
      <c r="P3556" t="s">
        <v>622</v>
      </c>
      <c r="Q3556" t="s">
        <v>16392</v>
      </c>
      <c r="R3556" t="s">
        <v>16393</v>
      </c>
      <c r="U3556" t="s">
        <v>16394</v>
      </c>
    </row>
    <row r="3557" spans="1:21" x14ac:dyDescent="0.25">
      <c r="A3557" t="s">
        <v>16395</v>
      </c>
      <c r="B3557" t="s">
        <v>38</v>
      </c>
      <c r="C3557" t="s">
        <v>16396</v>
      </c>
      <c r="D3557">
        <f t="shared" si="91"/>
        <v>-33139954</v>
      </c>
      <c r="E3557" t="s">
        <v>16396</v>
      </c>
      <c r="F3557" t="s">
        <v>15882</v>
      </c>
      <c r="G3557" t="s">
        <v>15883</v>
      </c>
      <c r="H3557">
        <v>15.0840335</v>
      </c>
      <c r="I3557">
        <v>57.426628700000002</v>
      </c>
      <c r="J3557">
        <v>100</v>
      </c>
      <c r="K3557" t="s">
        <v>1034</v>
      </c>
      <c r="L3557" t="s">
        <v>1034</v>
      </c>
      <c r="M3557" t="s">
        <v>1034</v>
      </c>
      <c r="N3557" t="s">
        <v>1034</v>
      </c>
      <c r="O3557" t="s">
        <v>1034</v>
      </c>
      <c r="P3557" t="s">
        <v>5818</v>
      </c>
      <c r="R3557" t="s">
        <v>16397</v>
      </c>
      <c r="U3557" t="s">
        <v>16398</v>
      </c>
    </row>
    <row r="3558" spans="1:21" x14ac:dyDescent="0.25">
      <c r="A3558" t="s">
        <v>16399</v>
      </c>
      <c r="B3558" t="s">
        <v>22</v>
      </c>
      <c r="C3558" t="s">
        <v>16400</v>
      </c>
      <c r="D3558">
        <f t="shared" si="91"/>
        <v>-33139954</v>
      </c>
      <c r="E3558" t="s">
        <v>16400</v>
      </c>
      <c r="F3558" t="s">
        <v>15882</v>
      </c>
      <c r="G3558" t="s">
        <v>15883</v>
      </c>
      <c r="H3558">
        <v>15.584372999999999</v>
      </c>
      <c r="I3558">
        <v>56.162106299999998</v>
      </c>
      <c r="J3558">
        <v>100</v>
      </c>
      <c r="K3558" t="s">
        <v>1034</v>
      </c>
      <c r="L3558" t="s">
        <v>1034</v>
      </c>
      <c r="M3558" t="s">
        <v>1034</v>
      </c>
      <c r="N3558" t="s">
        <v>1034</v>
      </c>
      <c r="O3558" t="s">
        <v>1034</v>
      </c>
      <c r="P3558" t="s">
        <v>622</v>
      </c>
      <c r="R3558" t="s">
        <v>16401</v>
      </c>
      <c r="U3558" t="s">
        <v>16402</v>
      </c>
    </row>
    <row r="3559" spans="1:21" x14ac:dyDescent="0.25">
      <c r="A3559" t="s">
        <v>16403</v>
      </c>
      <c r="B3559" t="s">
        <v>38</v>
      </c>
      <c r="C3559" t="s">
        <v>16404</v>
      </c>
      <c r="D3559">
        <f t="shared" si="91"/>
        <v>-33139954</v>
      </c>
      <c r="E3559" t="s">
        <v>16405</v>
      </c>
      <c r="F3559" t="s">
        <v>15882</v>
      </c>
      <c r="G3559" t="s">
        <v>15883</v>
      </c>
      <c r="H3559">
        <v>11.2168539627075</v>
      </c>
      <c r="I3559">
        <v>59.063242274417398</v>
      </c>
      <c r="J3559">
        <v>100</v>
      </c>
      <c r="K3559" t="s">
        <v>45</v>
      </c>
      <c r="L3559" t="s">
        <v>45</v>
      </c>
      <c r="M3559" t="s">
        <v>45</v>
      </c>
      <c r="N3559" t="s">
        <v>45</v>
      </c>
      <c r="O3559" t="s">
        <v>45</v>
      </c>
      <c r="P3559" t="s">
        <v>535</v>
      </c>
      <c r="Q3559" t="s">
        <v>535</v>
      </c>
      <c r="R3559" t="s">
        <v>16406</v>
      </c>
      <c r="U3559" t="s">
        <v>16407</v>
      </c>
    </row>
    <row r="3560" spans="1:21" x14ac:dyDescent="0.25">
      <c r="A3560" t="s">
        <v>16408</v>
      </c>
      <c r="B3560" t="s">
        <v>22</v>
      </c>
      <c r="C3560" t="s">
        <v>16409</v>
      </c>
      <c r="D3560">
        <f t="shared" si="91"/>
        <v>-33139954</v>
      </c>
      <c r="E3560" t="s">
        <v>16110</v>
      </c>
      <c r="F3560" t="s">
        <v>15882</v>
      </c>
      <c r="G3560" t="s">
        <v>15883</v>
      </c>
      <c r="H3560">
        <v>16.155851777648898</v>
      </c>
      <c r="I3560">
        <v>58.618972535972198</v>
      </c>
      <c r="J3560">
        <v>100</v>
      </c>
      <c r="K3560" t="s">
        <v>45</v>
      </c>
      <c r="L3560" t="s">
        <v>45</v>
      </c>
      <c r="M3560" t="s">
        <v>45</v>
      </c>
      <c r="N3560" t="s">
        <v>45</v>
      </c>
      <c r="O3560" t="s">
        <v>45</v>
      </c>
      <c r="P3560" t="s">
        <v>428</v>
      </c>
      <c r="Q3560" t="s">
        <v>428</v>
      </c>
      <c r="R3560" t="s">
        <v>16410</v>
      </c>
      <c r="U3560" t="s">
        <v>16411</v>
      </c>
    </row>
    <row r="3561" spans="1:21" x14ac:dyDescent="0.25">
      <c r="A3561" t="s">
        <v>16412</v>
      </c>
      <c r="B3561" t="s">
        <v>38</v>
      </c>
      <c r="C3561" t="s">
        <v>16413</v>
      </c>
      <c r="D3561">
        <f t="shared" si="91"/>
        <v>-33139954</v>
      </c>
      <c r="E3561" t="s">
        <v>16413</v>
      </c>
      <c r="F3561" t="s">
        <v>15882</v>
      </c>
      <c r="G3561" t="s">
        <v>15883</v>
      </c>
      <c r="H3561">
        <v>14.523522</v>
      </c>
      <c r="I3561">
        <v>59.324549400000002</v>
      </c>
      <c r="J3561">
        <v>100</v>
      </c>
      <c r="K3561" t="s">
        <v>428</v>
      </c>
      <c r="L3561" t="s">
        <v>428</v>
      </c>
      <c r="M3561" t="s">
        <v>428</v>
      </c>
      <c r="N3561" t="s">
        <v>428</v>
      </c>
      <c r="O3561" t="s">
        <v>428</v>
      </c>
      <c r="P3561" t="s">
        <v>5873</v>
      </c>
      <c r="R3561" t="s">
        <v>16414</v>
      </c>
      <c r="U3561" t="s">
        <v>16415</v>
      </c>
    </row>
    <row r="3562" spans="1:21" x14ac:dyDescent="0.25">
      <c r="A3562" t="s">
        <v>16416</v>
      </c>
      <c r="B3562" t="s">
        <v>22</v>
      </c>
      <c r="C3562" t="s">
        <v>16417</v>
      </c>
      <c r="D3562">
        <f t="shared" si="91"/>
        <v>-33139954</v>
      </c>
      <c r="E3562" t="s">
        <v>16391</v>
      </c>
      <c r="F3562" t="s">
        <v>15882</v>
      </c>
      <c r="G3562" t="s">
        <v>15883</v>
      </c>
      <c r="H3562">
        <v>15.586093</v>
      </c>
      <c r="I3562">
        <v>58.434930000000001</v>
      </c>
      <c r="J3562">
        <v>100</v>
      </c>
      <c r="K3562" t="s">
        <v>45</v>
      </c>
      <c r="L3562" t="s">
        <v>45</v>
      </c>
      <c r="M3562" t="s">
        <v>45</v>
      </c>
      <c r="N3562" t="s">
        <v>45</v>
      </c>
      <c r="O3562" t="s">
        <v>45</v>
      </c>
      <c r="P3562" t="s">
        <v>428</v>
      </c>
      <c r="Q3562" t="s">
        <v>428</v>
      </c>
      <c r="R3562" t="s">
        <v>16418</v>
      </c>
      <c r="U3562" t="s">
        <v>16419</v>
      </c>
    </row>
    <row r="3563" spans="1:21" x14ac:dyDescent="0.25">
      <c r="A3563" t="s">
        <v>16420</v>
      </c>
      <c r="B3563" t="s">
        <v>32</v>
      </c>
      <c r="C3563" t="s">
        <v>16421</v>
      </c>
      <c r="D3563">
        <f>65-62351459</f>
        <v>-62351394</v>
      </c>
      <c r="E3563" t="s">
        <v>16422</v>
      </c>
      <c r="F3563" t="s">
        <v>16422</v>
      </c>
      <c r="G3563" t="s">
        <v>16423</v>
      </c>
      <c r="H3563">
        <v>103.837255</v>
      </c>
      <c r="I3563">
        <v>1.301755</v>
      </c>
      <c r="J3563">
        <v>227</v>
      </c>
      <c r="K3563" t="s">
        <v>27</v>
      </c>
      <c r="L3563" t="s">
        <v>27</v>
      </c>
      <c r="M3563" t="s">
        <v>27</v>
      </c>
      <c r="N3563" t="s">
        <v>27</v>
      </c>
      <c r="O3563" t="s">
        <v>27</v>
      </c>
      <c r="P3563" t="s">
        <v>27</v>
      </c>
      <c r="Q3563" t="s">
        <v>27</v>
      </c>
      <c r="R3563" t="s">
        <v>16424</v>
      </c>
      <c r="S3563" t="s">
        <v>16425</v>
      </c>
      <c r="U3563" t="s">
        <v>16426</v>
      </c>
    </row>
    <row r="3564" spans="1:21" x14ac:dyDescent="0.25">
      <c r="A3564" t="s">
        <v>16427</v>
      </c>
      <c r="B3564" t="s">
        <v>22</v>
      </c>
      <c r="C3564" t="s">
        <v>16428</v>
      </c>
      <c r="D3564">
        <f>65-65098702</f>
        <v>-65098637</v>
      </c>
      <c r="E3564" t="s">
        <v>16422</v>
      </c>
      <c r="F3564" t="s">
        <v>16422</v>
      </c>
      <c r="G3564" t="s">
        <v>16423</v>
      </c>
      <c r="H3564">
        <v>103.83194899999999</v>
      </c>
      <c r="I3564">
        <v>1.304187</v>
      </c>
      <c r="J3564">
        <v>227</v>
      </c>
      <c r="K3564" t="s">
        <v>27</v>
      </c>
      <c r="L3564" t="s">
        <v>27</v>
      </c>
      <c r="M3564" t="s">
        <v>27</v>
      </c>
      <c r="N3564" t="s">
        <v>27</v>
      </c>
      <c r="O3564" t="s">
        <v>27</v>
      </c>
      <c r="P3564" t="s">
        <v>27</v>
      </c>
      <c r="Q3564" t="s">
        <v>27</v>
      </c>
      <c r="R3564" t="s">
        <v>16429</v>
      </c>
      <c r="S3564" t="s">
        <v>16430</v>
      </c>
      <c r="U3564" t="s">
        <v>16431</v>
      </c>
    </row>
    <row r="3565" spans="1:21" x14ac:dyDescent="0.25">
      <c r="A3565" t="s">
        <v>16432</v>
      </c>
      <c r="B3565" t="s">
        <v>22</v>
      </c>
      <c r="C3565" t="s">
        <v>16433</v>
      </c>
      <c r="D3565">
        <f>65-67347601</f>
        <v>-67347536</v>
      </c>
      <c r="E3565" t="s">
        <v>16422</v>
      </c>
      <c r="F3565" t="s">
        <v>16422</v>
      </c>
      <c r="G3565" t="s">
        <v>16423</v>
      </c>
      <c r="H3565">
        <v>103.743353</v>
      </c>
      <c r="I3565">
        <v>1.333583</v>
      </c>
      <c r="J3565">
        <v>227</v>
      </c>
      <c r="K3565" t="s">
        <v>27</v>
      </c>
      <c r="L3565" t="s">
        <v>27</v>
      </c>
      <c r="M3565" t="s">
        <v>27</v>
      </c>
      <c r="N3565" t="s">
        <v>27</v>
      </c>
      <c r="O3565" t="s">
        <v>27</v>
      </c>
      <c r="P3565" t="s">
        <v>27</v>
      </c>
      <c r="Q3565" t="s">
        <v>27</v>
      </c>
      <c r="R3565" t="s">
        <v>16434</v>
      </c>
      <c r="S3565" t="s">
        <v>16435</v>
      </c>
      <c r="U3565" t="s">
        <v>16436</v>
      </c>
    </row>
    <row r="3566" spans="1:21" x14ac:dyDescent="0.25">
      <c r="A3566" t="s">
        <v>16437</v>
      </c>
      <c r="B3566" t="s">
        <v>22</v>
      </c>
      <c r="C3566" t="s">
        <v>2438</v>
      </c>
      <c r="D3566">
        <f>65-63769109</f>
        <v>-63769044</v>
      </c>
      <c r="E3566" t="s">
        <v>16422</v>
      </c>
      <c r="F3566" t="s">
        <v>16422</v>
      </c>
      <c r="G3566" t="s">
        <v>16423</v>
      </c>
      <c r="H3566">
        <v>103.822287</v>
      </c>
      <c r="I3566">
        <v>1.264823</v>
      </c>
      <c r="J3566">
        <v>227</v>
      </c>
      <c r="K3566" t="s">
        <v>27</v>
      </c>
      <c r="L3566" t="s">
        <v>27</v>
      </c>
      <c r="M3566" t="s">
        <v>27</v>
      </c>
      <c r="N3566" t="s">
        <v>27</v>
      </c>
      <c r="O3566" t="s">
        <v>27</v>
      </c>
      <c r="P3566" t="s">
        <v>27</v>
      </c>
      <c r="Q3566" t="s">
        <v>27</v>
      </c>
      <c r="R3566" t="s">
        <v>16438</v>
      </c>
      <c r="S3566" t="s">
        <v>16439</v>
      </c>
      <c r="U3566" t="s">
        <v>16440</v>
      </c>
    </row>
    <row r="3567" spans="1:21" x14ac:dyDescent="0.25">
      <c r="A3567" t="s">
        <v>16441</v>
      </c>
      <c r="B3567" t="s">
        <v>22</v>
      </c>
      <c r="C3567" t="s">
        <v>16442</v>
      </c>
      <c r="D3567">
        <f>65-62380908</f>
        <v>-62380843</v>
      </c>
      <c r="E3567" t="s">
        <v>16422</v>
      </c>
      <c r="F3567" t="s">
        <v>16422</v>
      </c>
      <c r="G3567" t="s">
        <v>16423</v>
      </c>
      <c r="H3567">
        <v>103.85781900000001</v>
      </c>
      <c r="I3567">
        <v>1.295636</v>
      </c>
      <c r="J3567">
        <v>227</v>
      </c>
      <c r="K3567" t="s">
        <v>27</v>
      </c>
      <c r="L3567" t="s">
        <v>27</v>
      </c>
      <c r="M3567" t="s">
        <v>27</v>
      </c>
      <c r="N3567" t="s">
        <v>27</v>
      </c>
      <c r="O3567" t="s">
        <v>27</v>
      </c>
      <c r="P3567" t="s">
        <v>27</v>
      </c>
      <c r="Q3567" t="s">
        <v>27</v>
      </c>
      <c r="R3567" t="s">
        <v>16443</v>
      </c>
      <c r="S3567" t="s">
        <v>16444</v>
      </c>
      <c r="U3567" t="s">
        <v>16445</v>
      </c>
    </row>
    <row r="3568" spans="1:21" x14ac:dyDescent="0.25">
      <c r="A3568" t="s">
        <v>16446</v>
      </c>
      <c r="B3568" t="s">
        <v>22</v>
      </c>
      <c r="C3568" t="s">
        <v>16447</v>
      </c>
      <c r="D3568">
        <f>65-67027170</f>
        <v>-67027105</v>
      </c>
      <c r="E3568" t="s">
        <v>16422</v>
      </c>
      <c r="F3568" t="s">
        <v>16422</v>
      </c>
      <c r="G3568" t="s">
        <v>16423</v>
      </c>
      <c r="H3568">
        <v>103.872755</v>
      </c>
      <c r="I3568">
        <v>1.304449</v>
      </c>
      <c r="J3568">
        <v>215</v>
      </c>
      <c r="K3568" t="s">
        <v>27</v>
      </c>
      <c r="L3568" t="s">
        <v>27</v>
      </c>
      <c r="M3568" t="s">
        <v>27</v>
      </c>
      <c r="N3568" t="s">
        <v>27</v>
      </c>
      <c r="O3568" t="s">
        <v>27</v>
      </c>
      <c r="P3568" t="s">
        <v>27</v>
      </c>
      <c r="Q3568" t="s">
        <v>27</v>
      </c>
      <c r="R3568" t="s">
        <v>16448</v>
      </c>
      <c r="S3568" t="s">
        <v>16449</v>
      </c>
      <c r="U3568" t="s">
        <v>16450</v>
      </c>
    </row>
    <row r="3569" spans="1:21" x14ac:dyDescent="0.25">
      <c r="A3569" t="s">
        <v>16451</v>
      </c>
      <c r="B3569" t="s">
        <v>22</v>
      </c>
      <c r="C3569" t="s">
        <v>16452</v>
      </c>
      <c r="D3569">
        <f>65-66347472</f>
        <v>-66347407</v>
      </c>
      <c r="E3569" t="s">
        <v>16422</v>
      </c>
      <c r="F3569" t="s">
        <v>16422</v>
      </c>
      <c r="G3569" t="s">
        <v>16423</v>
      </c>
      <c r="H3569">
        <v>103.872203</v>
      </c>
      <c r="I3569">
        <v>1.351148</v>
      </c>
      <c r="J3569">
        <v>227</v>
      </c>
      <c r="K3569" t="s">
        <v>27</v>
      </c>
      <c r="L3569" t="s">
        <v>27</v>
      </c>
      <c r="M3569" t="s">
        <v>27</v>
      </c>
      <c r="N3569" t="s">
        <v>27</v>
      </c>
      <c r="O3569" t="s">
        <v>27</v>
      </c>
      <c r="P3569" t="s">
        <v>27</v>
      </c>
      <c r="Q3569" t="s">
        <v>27</v>
      </c>
      <c r="R3569" t="s">
        <v>16453</v>
      </c>
      <c r="S3569" t="s">
        <v>16454</v>
      </c>
      <c r="U3569" t="s">
        <v>16455</v>
      </c>
    </row>
    <row r="3570" spans="1:21" x14ac:dyDescent="0.25">
      <c r="A3570" t="s">
        <v>16456</v>
      </c>
      <c r="B3570" t="s">
        <v>38</v>
      </c>
      <c r="C3570" t="s">
        <v>16457</v>
      </c>
      <c r="D3570">
        <f>65-62537102</f>
        <v>-62537037</v>
      </c>
      <c r="E3570" t="s">
        <v>16422</v>
      </c>
      <c r="F3570" t="s">
        <v>16422</v>
      </c>
      <c r="G3570" t="s">
        <v>16423</v>
      </c>
      <c r="H3570">
        <v>103.84357900000001</v>
      </c>
      <c r="I3570">
        <v>1.317266</v>
      </c>
      <c r="J3570">
        <v>227</v>
      </c>
      <c r="K3570" t="s">
        <v>27</v>
      </c>
      <c r="L3570" t="s">
        <v>27</v>
      </c>
      <c r="M3570" t="s">
        <v>27</v>
      </c>
      <c r="N3570" t="s">
        <v>27</v>
      </c>
      <c r="O3570" t="s">
        <v>27</v>
      </c>
      <c r="P3570" t="s">
        <v>27</v>
      </c>
      <c r="Q3570" t="s">
        <v>27</v>
      </c>
      <c r="R3570" t="s">
        <v>16458</v>
      </c>
      <c r="S3570" t="s">
        <v>16459</v>
      </c>
      <c r="U3570" t="s">
        <v>16460</v>
      </c>
    </row>
    <row r="3571" spans="1:21" x14ac:dyDescent="0.25">
      <c r="A3571" t="s">
        <v>16461</v>
      </c>
      <c r="B3571" t="s">
        <v>38</v>
      </c>
      <c r="C3571" t="s">
        <v>16462</v>
      </c>
      <c r="D3571">
        <f>65-65735625</f>
        <v>-65735560</v>
      </c>
      <c r="E3571" t="s">
        <v>16422</v>
      </c>
      <c r="F3571" t="s">
        <v>16422</v>
      </c>
      <c r="G3571" t="s">
        <v>16423</v>
      </c>
      <c r="H3571">
        <v>103.8946</v>
      </c>
      <c r="I3571">
        <v>1.3179000000000001</v>
      </c>
      <c r="J3571">
        <v>227</v>
      </c>
      <c r="K3571" t="s">
        <v>27</v>
      </c>
      <c r="L3571" t="s">
        <v>27</v>
      </c>
      <c r="M3571" t="s">
        <v>27</v>
      </c>
      <c r="N3571" t="s">
        <v>27</v>
      </c>
      <c r="O3571" t="s">
        <v>27</v>
      </c>
      <c r="P3571" t="s">
        <v>27</v>
      </c>
      <c r="Q3571" t="s">
        <v>27</v>
      </c>
      <c r="R3571" t="s">
        <v>16463</v>
      </c>
      <c r="S3571" t="s">
        <v>16464</v>
      </c>
      <c r="U3571" t="s">
        <v>16465</v>
      </c>
    </row>
    <row r="3572" spans="1:21" x14ac:dyDescent="0.25">
      <c r="A3572" t="s">
        <v>16466</v>
      </c>
      <c r="B3572" t="s">
        <v>22</v>
      </c>
      <c r="C3572" t="s">
        <v>16467</v>
      </c>
      <c r="D3572">
        <f>38-612410421</f>
        <v>-612410383</v>
      </c>
      <c r="E3572" t="s">
        <v>16468</v>
      </c>
      <c r="F3572" t="s">
        <v>16469</v>
      </c>
      <c r="G3572" t="s">
        <v>16470</v>
      </c>
      <c r="H3572">
        <v>14.5038828447745</v>
      </c>
      <c r="I3572">
        <v>46.052337092731101</v>
      </c>
      <c r="J3572">
        <v>95</v>
      </c>
      <c r="K3572" t="s">
        <v>312</v>
      </c>
      <c r="L3572" t="s">
        <v>312</v>
      </c>
      <c r="M3572" t="s">
        <v>312</v>
      </c>
      <c r="N3572" t="s">
        <v>312</v>
      </c>
      <c r="O3572" t="s">
        <v>312</v>
      </c>
      <c r="P3572" t="s">
        <v>312</v>
      </c>
      <c r="R3572" t="s">
        <v>16467</v>
      </c>
      <c r="U3572" t="s">
        <v>16471</v>
      </c>
    </row>
    <row r="3573" spans="1:21" x14ac:dyDescent="0.25">
      <c r="A3573" t="s">
        <v>16472</v>
      </c>
      <c r="B3573" t="s">
        <v>22</v>
      </c>
      <c r="C3573" t="s">
        <v>16473</v>
      </c>
      <c r="D3573">
        <f>386-15471888</f>
        <v>-15471502</v>
      </c>
      <c r="E3573" t="s">
        <v>16468</v>
      </c>
      <c r="F3573" t="s">
        <v>16469</v>
      </c>
      <c r="G3573" t="s">
        <v>16470</v>
      </c>
      <c r="H3573">
        <v>14.5458984375</v>
      </c>
      <c r="I3573">
        <v>46.068466896242697</v>
      </c>
      <c r="J3573">
        <v>100</v>
      </c>
      <c r="K3573" t="s">
        <v>312</v>
      </c>
      <c r="L3573" t="s">
        <v>312</v>
      </c>
      <c r="M3573" t="s">
        <v>312</v>
      </c>
      <c r="N3573" t="s">
        <v>312</v>
      </c>
      <c r="O3573" t="s">
        <v>312</v>
      </c>
      <c r="P3573" t="s">
        <v>1735</v>
      </c>
      <c r="R3573" t="s">
        <v>16474</v>
      </c>
      <c r="U3573" t="s">
        <v>16475</v>
      </c>
    </row>
    <row r="3574" spans="1:21" x14ac:dyDescent="0.25">
      <c r="A3574" t="s">
        <v>16476</v>
      </c>
      <c r="B3574" t="s">
        <v>38</v>
      </c>
      <c r="C3574" t="s">
        <v>16477</v>
      </c>
      <c r="D3574">
        <f>386-22350803</f>
        <v>-22350417</v>
      </c>
      <c r="E3574" t="s">
        <v>16478</v>
      </c>
      <c r="F3574" t="s">
        <v>16469</v>
      </c>
      <c r="G3574" t="s">
        <v>16470</v>
      </c>
      <c r="H3574">
        <v>15.6479299883606</v>
      </c>
      <c r="I3574">
        <v>46.559132616677601</v>
      </c>
      <c r="J3574">
        <v>95</v>
      </c>
      <c r="K3574" t="s">
        <v>192</v>
      </c>
      <c r="L3574" t="s">
        <v>192</v>
      </c>
      <c r="M3574" t="s">
        <v>192</v>
      </c>
      <c r="N3574" t="s">
        <v>192</v>
      </c>
      <c r="O3574" t="s">
        <v>192</v>
      </c>
      <c r="P3574" t="s">
        <v>16479</v>
      </c>
      <c r="R3574" t="s">
        <v>16477</v>
      </c>
      <c r="U3574" t="s">
        <v>16480</v>
      </c>
    </row>
    <row r="3575" spans="1:21" x14ac:dyDescent="0.25">
      <c r="A3575" t="s">
        <v>16481</v>
      </c>
      <c r="B3575" t="s">
        <v>22</v>
      </c>
      <c r="C3575" t="s">
        <v>16482</v>
      </c>
      <c r="D3575">
        <f>386-34263350</f>
        <v>-34262964</v>
      </c>
      <c r="E3575" t="s">
        <v>16483</v>
      </c>
      <c r="F3575" t="s">
        <v>16469</v>
      </c>
      <c r="G3575" t="s">
        <v>16470</v>
      </c>
      <c r="H3575">
        <v>15.27641415596</v>
      </c>
      <c r="I3575">
        <v>46.241735321913602</v>
      </c>
      <c r="J3575">
        <v>100</v>
      </c>
      <c r="K3575" t="s">
        <v>312</v>
      </c>
      <c r="L3575" t="s">
        <v>312</v>
      </c>
      <c r="M3575" t="s">
        <v>312</v>
      </c>
      <c r="N3575" t="s">
        <v>312</v>
      </c>
      <c r="O3575" t="s">
        <v>312</v>
      </c>
      <c r="P3575" t="s">
        <v>1735</v>
      </c>
      <c r="R3575" t="s">
        <v>16484</v>
      </c>
      <c r="U3575" t="s">
        <v>16485</v>
      </c>
    </row>
    <row r="3576" spans="1:21" x14ac:dyDescent="0.25">
      <c r="A3576" t="s">
        <v>16486</v>
      </c>
      <c r="B3576" t="s">
        <v>22</v>
      </c>
      <c r="C3576" t="s">
        <v>16487</v>
      </c>
      <c r="D3576">
        <f>386-23333260</f>
        <v>-23332874</v>
      </c>
      <c r="E3576" t="s">
        <v>16478</v>
      </c>
      <c r="F3576" t="s">
        <v>16469</v>
      </c>
      <c r="G3576" t="s">
        <v>16470</v>
      </c>
      <c r="H3576">
        <v>15.653489799999999</v>
      </c>
      <c r="I3576">
        <v>46.554736900000002</v>
      </c>
      <c r="J3576">
        <v>100</v>
      </c>
      <c r="K3576" t="s">
        <v>312</v>
      </c>
      <c r="L3576" t="s">
        <v>312</v>
      </c>
      <c r="M3576" t="s">
        <v>312</v>
      </c>
      <c r="N3576" t="s">
        <v>312</v>
      </c>
      <c r="O3576" t="s">
        <v>312</v>
      </c>
      <c r="P3576" t="s">
        <v>1735</v>
      </c>
      <c r="R3576" t="s">
        <v>16488</v>
      </c>
      <c r="U3576" t="s">
        <v>16489</v>
      </c>
    </row>
    <row r="3577" spans="1:21" x14ac:dyDescent="0.25">
      <c r="A3577" t="s">
        <v>16490</v>
      </c>
      <c r="B3577" t="s">
        <v>22</v>
      </c>
      <c r="C3577" t="s">
        <v>16491</v>
      </c>
      <c r="D3577">
        <f>386-12836666</f>
        <v>-12836280</v>
      </c>
      <c r="E3577" t="s">
        <v>16468</v>
      </c>
      <c r="F3577" t="s">
        <v>16469</v>
      </c>
      <c r="G3577" t="s">
        <v>16470</v>
      </c>
      <c r="H3577">
        <v>14.5353198051452</v>
      </c>
      <c r="I3577">
        <v>46.021596692449599</v>
      </c>
      <c r="J3577">
        <v>100</v>
      </c>
      <c r="K3577" t="s">
        <v>312</v>
      </c>
      <c r="L3577" t="s">
        <v>312</v>
      </c>
      <c r="M3577" t="s">
        <v>312</v>
      </c>
      <c r="N3577" t="s">
        <v>312</v>
      </c>
      <c r="O3577" t="s">
        <v>312</v>
      </c>
      <c r="P3577" t="s">
        <v>1735</v>
      </c>
      <c r="R3577" t="s">
        <v>16492</v>
      </c>
      <c r="U3577" t="s">
        <v>16493</v>
      </c>
    </row>
    <row r="3578" spans="1:21" x14ac:dyDescent="0.25">
      <c r="A3578" t="s">
        <v>16494</v>
      </c>
      <c r="B3578" t="s">
        <v>38</v>
      </c>
      <c r="C3578" t="s">
        <v>16495</v>
      </c>
      <c r="D3578">
        <f>386-53384740</f>
        <v>-53384354</v>
      </c>
      <c r="E3578" t="s">
        <v>16496</v>
      </c>
      <c r="F3578" t="s">
        <v>16469</v>
      </c>
      <c r="G3578" t="s">
        <v>16470</v>
      </c>
      <c r="H3578">
        <v>13.654171228408799</v>
      </c>
      <c r="I3578">
        <v>45.953835024768601</v>
      </c>
      <c r="J3578">
        <v>95</v>
      </c>
      <c r="K3578" t="s">
        <v>312</v>
      </c>
      <c r="L3578" t="s">
        <v>312</v>
      </c>
      <c r="M3578" t="s">
        <v>312</v>
      </c>
      <c r="N3578" t="s">
        <v>312</v>
      </c>
      <c r="O3578" t="s">
        <v>312</v>
      </c>
      <c r="P3578" t="s">
        <v>1735</v>
      </c>
      <c r="R3578" t="s">
        <v>16497</v>
      </c>
      <c r="U3578" t="s">
        <v>16498</v>
      </c>
    </row>
    <row r="3579" spans="1:21" x14ac:dyDescent="0.25">
      <c r="A3579" t="s">
        <v>16499</v>
      </c>
      <c r="B3579" t="s">
        <v>38</v>
      </c>
      <c r="C3579" t="s">
        <v>16500</v>
      </c>
      <c r="D3579">
        <f>386-57313370</f>
        <v>-57312984</v>
      </c>
      <c r="E3579" t="s">
        <v>16501</v>
      </c>
      <c r="F3579" t="s">
        <v>16469</v>
      </c>
      <c r="G3579" t="s">
        <v>16470</v>
      </c>
      <c r="H3579">
        <v>13.7357747554779</v>
      </c>
      <c r="I3579">
        <v>45.540702424911998</v>
      </c>
      <c r="J3579">
        <v>100</v>
      </c>
      <c r="K3579" t="s">
        <v>312</v>
      </c>
      <c r="L3579" t="s">
        <v>312</v>
      </c>
      <c r="M3579" t="s">
        <v>312</v>
      </c>
      <c r="N3579" t="s">
        <v>312</v>
      </c>
      <c r="O3579" t="s">
        <v>312</v>
      </c>
      <c r="P3579" t="s">
        <v>312</v>
      </c>
      <c r="R3579" t="s">
        <v>16502</v>
      </c>
      <c r="U3579" t="s">
        <v>16503</v>
      </c>
    </row>
    <row r="3580" spans="1:21" x14ac:dyDescent="0.25">
      <c r="A3580" t="s">
        <v>16504</v>
      </c>
      <c r="B3580" t="s">
        <v>38</v>
      </c>
      <c r="C3580" t="s">
        <v>16505</v>
      </c>
      <c r="D3580">
        <f>386-25301380</f>
        <v>-25300994</v>
      </c>
      <c r="E3580" t="s">
        <v>16506</v>
      </c>
      <c r="F3580" t="s">
        <v>16469</v>
      </c>
      <c r="G3580" t="s">
        <v>16470</v>
      </c>
      <c r="H3580">
        <v>16.145879030227601</v>
      </c>
      <c r="I3580">
        <v>46.662190701577899</v>
      </c>
      <c r="J3580">
        <v>95</v>
      </c>
      <c r="K3580" t="s">
        <v>192</v>
      </c>
      <c r="L3580" t="s">
        <v>192</v>
      </c>
      <c r="M3580" t="s">
        <v>192</v>
      </c>
      <c r="N3580" t="s">
        <v>192</v>
      </c>
      <c r="O3580" t="s">
        <v>192</v>
      </c>
      <c r="P3580" t="s">
        <v>16507</v>
      </c>
      <c r="R3580" t="s">
        <v>16508</v>
      </c>
      <c r="U3580" t="s">
        <v>16509</v>
      </c>
    </row>
    <row r="3581" spans="1:21" x14ac:dyDescent="0.25">
      <c r="A3581" t="s">
        <v>16510</v>
      </c>
      <c r="B3581" t="s">
        <v>38</v>
      </c>
      <c r="C3581" t="s">
        <v>16511</v>
      </c>
      <c r="D3581">
        <f>386-73344580</f>
        <v>-73344194</v>
      </c>
      <c r="E3581" t="s">
        <v>16512</v>
      </c>
      <c r="F3581" t="s">
        <v>16469</v>
      </c>
      <c r="G3581" t="s">
        <v>16470</v>
      </c>
      <c r="H3581">
        <v>15.1842427253723</v>
      </c>
      <c r="I3581">
        <v>45.827864756198998</v>
      </c>
      <c r="J3581">
        <v>95</v>
      </c>
      <c r="K3581" t="s">
        <v>312</v>
      </c>
      <c r="L3581" t="s">
        <v>312</v>
      </c>
      <c r="M3581" t="s">
        <v>312</v>
      </c>
      <c r="N3581" t="s">
        <v>312</v>
      </c>
      <c r="O3581" t="s">
        <v>312</v>
      </c>
      <c r="P3581" t="s">
        <v>1735</v>
      </c>
      <c r="R3581" t="s">
        <v>16513</v>
      </c>
      <c r="U3581" t="s">
        <v>16514</v>
      </c>
    </row>
    <row r="3582" spans="1:21" x14ac:dyDescent="0.25">
      <c r="A3582" t="s">
        <v>16515</v>
      </c>
      <c r="B3582" t="s">
        <v>38</v>
      </c>
      <c r="C3582" t="s">
        <v>16516</v>
      </c>
      <c r="D3582">
        <f>386-38983330</f>
        <v>-38982944</v>
      </c>
      <c r="E3582" t="s">
        <v>16517</v>
      </c>
      <c r="F3582" t="s">
        <v>16469</v>
      </c>
      <c r="G3582" t="s">
        <v>16470</v>
      </c>
      <c r="H3582">
        <v>15.126156806945801</v>
      </c>
      <c r="I3582">
        <v>46.352615129300197</v>
      </c>
      <c r="J3582">
        <v>95</v>
      </c>
      <c r="K3582" t="s">
        <v>192</v>
      </c>
      <c r="L3582" t="s">
        <v>192</v>
      </c>
      <c r="M3582" t="s">
        <v>192</v>
      </c>
      <c r="N3582" t="s">
        <v>192</v>
      </c>
      <c r="O3582" t="s">
        <v>192</v>
      </c>
      <c r="P3582" t="s">
        <v>192</v>
      </c>
      <c r="R3582" t="s">
        <v>16518</v>
      </c>
      <c r="U3582" t="s">
        <v>16519</v>
      </c>
    </row>
    <row r="3583" spans="1:21" x14ac:dyDescent="0.25">
      <c r="A3583" t="s">
        <v>16520</v>
      </c>
      <c r="B3583" t="s">
        <v>38</v>
      </c>
      <c r="C3583" t="s">
        <v>16521</v>
      </c>
      <c r="D3583">
        <f>386-15134500</f>
        <v>-15134114</v>
      </c>
      <c r="E3583" t="s">
        <v>16468</v>
      </c>
      <c r="F3583" t="s">
        <v>16469</v>
      </c>
      <c r="G3583" t="s">
        <v>16470</v>
      </c>
      <c r="H3583">
        <v>14.4876755</v>
      </c>
      <c r="I3583">
        <v>46.0706937</v>
      </c>
      <c r="J3583">
        <v>100</v>
      </c>
      <c r="K3583" t="s">
        <v>312</v>
      </c>
      <c r="L3583" t="s">
        <v>312</v>
      </c>
      <c r="M3583" t="s">
        <v>312</v>
      </c>
      <c r="N3583" t="s">
        <v>312</v>
      </c>
      <c r="O3583" t="s">
        <v>312</v>
      </c>
      <c r="P3583" t="s">
        <v>1735</v>
      </c>
      <c r="R3583" t="s">
        <v>16522</v>
      </c>
      <c r="U3583" t="s">
        <v>16523</v>
      </c>
    </row>
    <row r="3584" spans="1:21" x14ac:dyDescent="0.25">
      <c r="A3584" t="s">
        <v>16524</v>
      </c>
      <c r="B3584" t="s">
        <v>22</v>
      </c>
      <c r="C3584" t="s">
        <v>16525</v>
      </c>
      <c r="D3584">
        <f>421-2-48700321</f>
        <v>-48699902</v>
      </c>
      <c r="E3584" t="s">
        <v>16526</v>
      </c>
      <c r="F3584" t="s">
        <v>16527</v>
      </c>
      <c r="G3584" t="s">
        <v>1477</v>
      </c>
      <c r="H3584">
        <v>17.17998</v>
      </c>
      <c r="I3584">
        <v>48.167529999999999</v>
      </c>
      <c r="J3584">
        <v>100</v>
      </c>
      <c r="K3584" t="s">
        <v>536</v>
      </c>
      <c r="L3584" t="s">
        <v>536</v>
      </c>
      <c r="M3584" t="s">
        <v>536</v>
      </c>
      <c r="N3584" t="s">
        <v>536</v>
      </c>
      <c r="O3584" t="s">
        <v>536</v>
      </c>
      <c r="P3584" t="s">
        <v>312</v>
      </c>
      <c r="Q3584" t="s">
        <v>312</v>
      </c>
      <c r="R3584" t="s">
        <v>16525</v>
      </c>
      <c r="S3584" t="s">
        <v>16528</v>
      </c>
      <c r="U3584" t="s">
        <v>16529</v>
      </c>
    </row>
    <row r="3585" spans="1:21" x14ac:dyDescent="0.25">
      <c r="A3585" t="s">
        <v>16530</v>
      </c>
      <c r="B3585" t="s">
        <v>22</v>
      </c>
      <c r="C3585" t="s">
        <v>16531</v>
      </c>
      <c r="D3585">
        <f>421-2-68266560</f>
        <v>-68266141</v>
      </c>
      <c r="E3585" t="s">
        <v>16526</v>
      </c>
      <c r="F3585" t="s">
        <v>16527</v>
      </c>
      <c r="G3585" t="s">
        <v>1477</v>
      </c>
      <c r="H3585">
        <v>17.10605</v>
      </c>
      <c r="I3585">
        <v>48.133490000000002</v>
      </c>
      <c r="J3585">
        <v>100</v>
      </c>
      <c r="K3585" t="s">
        <v>536</v>
      </c>
      <c r="L3585" t="s">
        <v>536</v>
      </c>
      <c r="M3585" t="s">
        <v>536</v>
      </c>
      <c r="N3585" t="s">
        <v>536</v>
      </c>
      <c r="O3585" t="s">
        <v>536</v>
      </c>
      <c r="P3585" t="s">
        <v>312</v>
      </c>
      <c r="Q3585" t="s">
        <v>312</v>
      </c>
      <c r="R3585" t="s">
        <v>16531</v>
      </c>
      <c r="S3585" t="s">
        <v>16532</v>
      </c>
      <c r="U3585" t="s">
        <v>16533</v>
      </c>
    </row>
    <row r="3586" spans="1:21" x14ac:dyDescent="0.25">
      <c r="A3586" t="s">
        <v>16534</v>
      </c>
      <c r="B3586" t="s">
        <v>22</v>
      </c>
      <c r="C3586" t="s">
        <v>16535</v>
      </c>
      <c r="D3586">
        <f>421-2-20915210</f>
        <v>-20914791</v>
      </c>
      <c r="E3586" t="s">
        <v>16526</v>
      </c>
      <c r="F3586" t="s">
        <v>16527</v>
      </c>
      <c r="G3586" t="s">
        <v>1477</v>
      </c>
      <c r="H3586">
        <v>17.121169999999999</v>
      </c>
      <c r="I3586">
        <v>48.140500000000003</v>
      </c>
      <c r="J3586">
        <v>100</v>
      </c>
      <c r="K3586" t="s">
        <v>536</v>
      </c>
      <c r="L3586" t="s">
        <v>536</v>
      </c>
      <c r="M3586" t="s">
        <v>536</v>
      </c>
      <c r="N3586" t="s">
        <v>536</v>
      </c>
      <c r="O3586" t="s">
        <v>536</v>
      </c>
      <c r="P3586" t="s">
        <v>536</v>
      </c>
      <c r="Q3586" t="s">
        <v>536</v>
      </c>
      <c r="R3586" t="s">
        <v>16535</v>
      </c>
      <c r="S3586" t="s">
        <v>16536</v>
      </c>
      <c r="U3586" t="s">
        <v>16537</v>
      </c>
    </row>
    <row r="3587" spans="1:21" x14ac:dyDescent="0.25">
      <c r="A3587" t="s">
        <v>16538</v>
      </c>
      <c r="B3587" t="s">
        <v>22</v>
      </c>
      <c r="C3587" t="s">
        <v>16539</v>
      </c>
      <c r="D3587">
        <f>421-55-3211240</f>
        <v>-3210874</v>
      </c>
      <c r="E3587" t="s">
        <v>16540</v>
      </c>
      <c r="F3587" t="s">
        <v>16527</v>
      </c>
      <c r="G3587" t="s">
        <v>1477</v>
      </c>
      <c r="H3587">
        <v>21.239319999999999</v>
      </c>
      <c r="I3587">
        <v>48.694800000000001</v>
      </c>
      <c r="J3587">
        <v>100</v>
      </c>
      <c r="K3587" t="s">
        <v>312</v>
      </c>
      <c r="L3587" t="s">
        <v>312</v>
      </c>
      <c r="M3587" t="s">
        <v>312</v>
      </c>
      <c r="N3587" t="s">
        <v>312</v>
      </c>
      <c r="O3587" t="s">
        <v>312</v>
      </c>
      <c r="P3587" t="s">
        <v>312</v>
      </c>
      <c r="Q3587" t="s">
        <v>312</v>
      </c>
      <c r="R3587" t="s">
        <v>16539</v>
      </c>
      <c r="S3587" t="s">
        <v>16541</v>
      </c>
      <c r="U3587" t="s">
        <v>16542</v>
      </c>
    </row>
    <row r="3588" spans="1:21" x14ac:dyDescent="0.25">
      <c r="A3588" t="s">
        <v>16543</v>
      </c>
      <c r="B3588" t="s">
        <v>22</v>
      </c>
      <c r="C3588" t="s">
        <v>16544</v>
      </c>
      <c r="D3588">
        <f>421-37-3211381</f>
        <v>-3210997</v>
      </c>
      <c r="E3588" t="s">
        <v>16545</v>
      </c>
      <c r="F3588" t="s">
        <v>16527</v>
      </c>
      <c r="G3588" t="s">
        <v>1477</v>
      </c>
      <c r="H3588">
        <v>18.086110000000001</v>
      </c>
      <c r="I3588">
        <v>48.306759999999997</v>
      </c>
      <c r="J3588">
        <v>100</v>
      </c>
      <c r="K3588" t="s">
        <v>312</v>
      </c>
      <c r="L3588" t="s">
        <v>312</v>
      </c>
      <c r="M3588" t="s">
        <v>312</v>
      </c>
      <c r="N3588" t="s">
        <v>312</v>
      </c>
      <c r="O3588" t="s">
        <v>312</v>
      </c>
      <c r="P3588" t="s">
        <v>312</v>
      </c>
      <c r="Q3588" t="s">
        <v>312</v>
      </c>
      <c r="R3588" t="s">
        <v>16544</v>
      </c>
      <c r="S3588" t="s">
        <v>16546</v>
      </c>
      <c r="U3588" t="s">
        <v>16547</v>
      </c>
    </row>
    <row r="3589" spans="1:21" x14ac:dyDescent="0.25">
      <c r="A3589" t="s">
        <v>16548</v>
      </c>
      <c r="B3589" t="s">
        <v>22</v>
      </c>
      <c r="C3589" t="s">
        <v>16549</v>
      </c>
      <c r="D3589">
        <f>421-41-3213500</f>
        <v>-3213120</v>
      </c>
      <c r="E3589" t="s">
        <v>16550</v>
      </c>
      <c r="F3589" t="s">
        <v>16527</v>
      </c>
      <c r="G3589" t="s">
        <v>1477</v>
      </c>
      <c r="H3589">
        <v>18.740300000000001</v>
      </c>
      <c r="I3589">
        <v>49.220529999999997</v>
      </c>
      <c r="J3589">
        <v>100</v>
      </c>
      <c r="K3589" t="s">
        <v>312</v>
      </c>
      <c r="L3589" t="s">
        <v>312</v>
      </c>
      <c r="M3589" t="s">
        <v>312</v>
      </c>
      <c r="N3589" t="s">
        <v>312</v>
      </c>
      <c r="O3589" t="s">
        <v>312</v>
      </c>
      <c r="P3589" t="s">
        <v>312</v>
      </c>
      <c r="Q3589" t="s">
        <v>312</v>
      </c>
      <c r="R3589" t="s">
        <v>16549</v>
      </c>
      <c r="S3589" t="s">
        <v>16551</v>
      </c>
      <c r="U3589" t="s">
        <v>16552</v>
      </c>
    </row>
    <row r="3590" spans="1:21" x14ac:dyDescent="0.25">
      <c r="A3590" t="s">
        <v>16553</v>
      </c>
      <c r="B3590" t="s">
        <v>38</v>
      </c>
      <c r="C3590" t="s">
        <v>16554</v>
      </c>
      <c r="D3590">
        <f>421-2-44451071</f>
        <v>-44450652</v>
      </c>
      <c r="E3590" t="s">
        <v>16526</v>
      </c>
      <c r="F3590" t="s">
        <v>16527</v>
      </c>
      <c r="G3590" t="s">
        <v>1477</v>
      </c>
      <c r="H3590">
        <v>17.140429999999999</v>
      </c>
      <c r="I3590">
        <v>48.16845</v>
      </c>
      <c r="J3590">
        <v>100</v>
      </c>
      <c r="K3590" t="s">
        <v>536</v>
      </c>
      <c r="L3590" t="s">
        <v>536</v>
      </c>
      <c r="M3590" t="s">
        <v>536</v>
      </c>
      <c r="N3590" t="s">
        <v>536</v>
      </c>
      <c r="O3590" t="s">
        <v>536</v>
      </c>
      <c r="P3590" t="s">
        <v>536</v>
      </c>
      <c r="Q3590" t="s">
        <v>536</v>
      </c>
      <c r="R3590" t="s">
        <v>16554</v>
      </c>
      <c r="S3590" t="s">
        <v>16555</v>
      </c>
      <c r="U3590" t="s">
        <v>16556</v>
      </c>
    </row>
    <row r="3591" spans="1:21" x14ac:dyDescent="0.25">
      <c r="A3591" t="s">
        <v>16557</v>
      </c>
      <c r="B3591" t="s">
        <v>22</v>
      </c>
      <c r="C3591" t="s">
        <v>16558</v>
      </c>
      <c r="D3591">
        <f>421-2-57203061</f>
        <v>-57202642</v>
      </c>
      <c r="E3591" t="s">
        <v>16526</v>
      </c>
      <c r="F3591" t="s">
        <v>16527</v>
      </c>
      <c r="G3591" t="s">
        <v>1477</v>
      </c>
      <c r="H3591">
        <v>17.111809999999998</v>
      </c>
      <c r="I3591">
        <v>48.148350000000001</v>
      </c>
      <c r="J3591">
        <v>100</v>
      </c>
      <c r="K3591" t="s">
        <v>185</v>
      </c>
      <c r="L3591" t="s">
        <v>185</v>
      </c>
      <c r="M3591" t="s">
        <v>185</v>
      </c>
      <c r="N3591" t="s">
        <v>185</v>
      </c>
      <c r="O3591" t="s">
        <v>185</v>
      </c>
      <c r="P3591" t="s">
        <v>185</v>
      </c>
      <c r="Q3591" t="s">
        <v>1034</v>
      </c>
      <c r="R3591" t="s">
        <v>16558</v>
      </c>
      <c r="S3591" t="s">
        <v>16559</v>
      </c>
      <c r="U3591" t="s">
        <v>16560</v>
      </c>
    </row>
    <row r="3592" spans="1:21" x14ac:dyDescent="0.25">
      <c r="A3592" t="s">
        <v>16561</v>
      </c>
      <c r="B3592" t="s">
        <v>22</v>
      </c>
      <c r="C3592" t="s">
        <v>16562</v>
      </c>
      <c r="D3592">
        <f>421-2-20302052</f>
        <v>-20301633</v>
      </c>
      <c r="E3592" t="s">
        <v>16526</v>
      </c>
      <c r="F3592" t="s">
        <v>16527</v>
      </c>
      <c r="G3592" t="s">
        <v>1477</v>
      </c>
      <c r="H3592">
        <v>17.034279999999999</v>
      </c>
      <c r="I3592">
        <v>48.206479999999999</v>
      </c>
      <c r="J3592">
        <v>100</v>
      </c>
      <c r="K3592" t="s">
        <v>536</v>
      </c>
      <c r="L3592" t="s">
        <v>536</v>
      </c>
      <c r="M3592" t="s">
        <v>536</v>
      </c>
      <c r="N3592" t="s">
        <v>536</v>
      </c>
      <c r="O3592" t="s">
        <v>536</v>
      </c>
      <c r="P3592" t="s">
        <v>312</v>
      </c>
      <c r="Q3592" t="s">
        <v>312</v>
      </c>
      <c r="R3592" t="s">
        <v>16562</v>
      </c>
      <c r="S3592" t="s">
        <v>16563</v>
      </c>
      <c r="U3592" t="s">
        <v>16564</v>
      </c>
    </row>
    <row r="3593" spans="1:21" x14ac:dyDescent="0.25">
      <c r="A3593" t="s">
        <v>16565</v>
      </c>
      <c r="B3593" t="s">
        <v>38</v>
      </c>
      <c r="C3593" t="s">
        <v>16566</v>
      </c>
      <c r="D3593">
        <f>421-32-6519091</f>
        <v>-6518702</v>
      </c>
      <c r="E3593" t="s">
        <v>16567</v>
      </c>
      <c r="F3593" t="s">
        <v>16527</v>
      </c>
      <c r="G3593" t="s">
        <v>1477</v>
      </c>
      <c r="H3593">
        <v>18.02431</v>
      </c>
      <c r="I3593">
        <v>48.864310000000003</v>
      </c>
      <c r="J3593">
        <v>100</v>
      </c>
      <c r="K3593" t="s">
        <v>312</v>
      </c>
      <c r="L3593" t="s">
        <v>312</v>
      </c>
      <c r="M3593" t="s">
        <v>312</v>
      </c>
      <c r="N3593" t="s">
        <v>312</v>
      </c>
      <c r="O3593" t="s">
        <v>312</v>
      </c>
      <c r="P3593" t="s">
        <v>312</v>
      </c>
      <c r="Q3593" t="s">
        <v>312</v>
      </c>
      <c r="R3593" t="s">
        <v>16566</v>
      </c>
      <c r="S3593" t="s">
        <v>16568</v>
      </c>
      <c r="U3593" t="s">
        <v>16569</v>
      </c>
    </row>
    <row r="3594" spans="1:21" x14ac:dyDescent="0.25">
      <c r="A3594" t="s">
        <v>16570</v>
      </c>
      <c r="B3594" t="s">
        <v>38</v>
      </c>
      <c r="C3594" t="s">
        <v>16571</v>
      </c>
      <c r="D3594">
        <f>421-46-3211501</f>
        <v>-3211126</v>
      </c>
      <c r="E3594" t="s">
        <v>16572</v>
      </c>
      <c r="F3594" t="s">
        <v>16527</v>
      </c>
      <c r="G3594" t="s">
        <v>1477</v>
      </c>
      <c r="H3594">
        <v>18.60699</v>
      </c>
      <c r="I3594">
        <v>48.77984</v>
      </c>
      <c r="J3594">
        <v>100</v>
      </c>
      <c r="K3594" t="s">
        <v>312</v>
      </c>
      <c r="L3594" t="s">
        <v>312</v>
      </c>
      <c r="M3594" t="s">
        <v>312</v>
      </c>
      <c r="N3594" t="s">
        <v>312</v>
      </c>
      <c r="O3594" t="s">
        <v>312</v>
      </c>
      <c r="P3594" t="s">
        <v>312</v>
      </c>
      <c r="Q3594" t="s">
        <v>312</v>
      </c>
      <c r="R3594" t="s">
        <v>16571</v>
      </c>
      <c r="S3594" t="s">
        <v>16573</v>
      </c>
      <c r="U3594" t="s">
        <v>16574</v>
      </c>
    </row>
    <row r="3595" spans="1:21" x14ac:dyDescent="0.25">
      <c r="A3595" t="s">
        <v>16575</v>
      </c>
      <c r="B3595" t="s">
        <v>22</v>
      </c>
      <c r="C3595" t="s">
        <v>16576</v>
      </c>
      <c r="D3595">
        <f>421-48-3211440</f>
        <v>-3211067</v>
      </c>
      <c r="E3595" t="s">
        <v>16577</v>
      </c>
      <c r="F3595" t="s">
        <v>16527</v>
      </c>
      <c r="G3595" t="s">
        <v>1477</v>
      </c>
      <c r="H3595">
        <v>19.134910000000001</v>
      </c>
      <c r="I3595">
        <v>48.729759999999999</v>
      </c>
      <c r="J3595">
        <v>100</v>
      </c>
      <c r="K3595" t="s">
        <v>312</v>
      </c>
      <c r="L3595" t="s">
        <v>312</v>
      </c>
      <c r="M3595" t="s">
        <v>312</v>
      </c>
      <c r="N3595" t="s">
        <v>312</v>
      </c>
      <c r="O3595" t="s">
        <v>312</v>
      </c>
      <c r="P3595" t="s">
        <v>312</v>
      </c>
      <c r="Q3595" t="s">
        <v>312</v>
      </c>
      <c r="R3595" t="s">
        <v>16576</v>
      </c>
      <c r="S3595" t="s">
        <v>16578</v>
      </c>
      <c r="U3595" t="s">
        <v>16579</v>
      </c>
    </row>
    <row r="3596" spans="1:21" x14ac:dyDescent="0.25">
      <c r="A3596" t="s">
        <v>16580</v>
      </c>
      <c r="B3596" t="s">
        <v>22</v>
      </c>
      <c r="C3596" t="s">
        <v>16581</v>
      </c>
      <c r="D3596">
        <f>421-55-3213570</f>
        <v>-3213204</v>
      </c>
      <c r="E3596" t="s">
        <v>16540</v>
      </c>
      <c r="F3596" t="s">
        <v>16527</v>
      </c>
      <c r="G3596" t="s">
        <v>1477</v>
      </c>
      <c r="H3596">
        <v>21.26191</v>
      </c>
      <c r="I3596">
        <v>48.71705</v>
      </c>
      <c r="J3596">
        <v>100</v>
      </c>
      <c r="K3596" t="s">
        <v>312</v>
      </c>
      <c r="L3596" t="s">
        <v>312</v>
      </c>
      <c r="M3596" t="s">
        <v>312</v>
      </c>
      <c r="N3596" t="s">
        <v>312</v>
      </c>
      <c r="O3596" t="s">
        <v>312</v>
      </c>
      <c r="P3596" t="s">
        <v>312</v>
      </c>
      <c r="Q3596" t="s">
        <v>312</v>
      </c>
      <c r="R3596" t="s">
        <v>16581</v>
      </c>
      <c r="S3596" t="s">
        <v>16582</v>
      </c>
      <c r="U3596" t="s">
        <v>16583</v>
      </c>
    </row>
    <row r="3597" spans="1:21" x14ac:dyDescent="0.25">
      <c r="A3597" t="s">
        <v>16584</v>
      </c>
      <c r="B3597" t="s">
        <v>22</v>
      </c>
      <c r="C3597" t="s">
        <v>16585</v>
      </c>
      <c r="D3597">
        <f>421-332240011</f>
        <v>-332239590</v>
      </c>
      <c r="E3597" t="s">
        <v>16586</v>
      </c>
      <c r="F3597" t="s">
        <v>16527</v>
      </c>
      <c r="G3597" t="s">
        <v>1477</v>
      </c>
      <c r="H3597">
        <v>17.593029999999999</v>
      </c>
      <c r="I3597">
        <v>48.373539999999998</v>
      </c>
      <c r="J3597">
        <v>100</v>
      </c>
      <c r="K3597" t="s">
        <v>312</v>
      </c>
      <c r="L3597" t="s">
        <v>312</v>
      </c>
      <c r="M3597" t="s">
        <v>312</v>
      </c>
      <c r="N3597" t="s">
        <v>312</v>
      </c>
      <c r="O3597" t="s">
        <v>312</v>
      </c>
      <c r="P3597" t="s">
        <v>312</v>
      </c>
      <c r="Q3597" t="s">
        <v>312</v>
      </c>
      <c r="R3597" t="s">
        <v>16585</v>
      </c>
      <c r="S3597" t="s">
        <v>16587</v>
      </c>
      <c r="U3597" t="s">
        <v>16588</v>
      </c>
    </row>
    <row r="3598" spans="1:21" x14ac:dyDescent="0.25">
      <c r="A3598" t="s">
        <v>16589</v>
      </c>
      <c r="B3598" t="s">
        <v>38</v>
      </c>
      <c r="C3598" t="s">
        <v>16590</v>
      </c>
      <c r="D3598">
        <f>421-522240001</f>
        <v>-522239580</v>
      </c>
      <c r="E3598" t="s">
        <v>16591</v>
      </c>
      <c r="F3598" t="s">
        <v>16527</v>
      </c>
      <c r="G3598" t="s">
        <v>1477</v>
      </c>
      <c r="H3598">
        <v>20.29852</v>
      </c>
      <c r="I3598">
        <v>49.05377</v>
      </c>
      <c r="J3598">
        <v>100</v>
      </c>
      <c r="K3598" t="s">
        <v>312</v>
      </c>
      <c r="L3598" t="s">
        <v>312</v>
      </c>
      <c r="M3598" t="s">
        <v>312</v>
      </c>
      <c r="N3598" t="s">
        <v>312</v>
      </c>
      <c r="O3598" t="s">
        <v>312</v>
      </c>
      <c r="P3598" t="s">
        <v>312</v>
      </c>
      <c r="Q3598" t="s">
        <v>312</v>
      </c>
      <c r="R3598" t="s">
        <v>16590</v>
      </c>
      <c r="S3598" t="s">
        <v>16592</v>
      </c>
      <c r="U3598" t="s">
        <v>16593</v>
      </c>
    </row>
    <row r="3599" spans="1:21" x14ac:dyDescent="0.25">
      <c r="A3599" t="s">
        <v>16594</v>
      </c>
      <c r="B3599" t="s">
        <v>38</v>
      </c>
      <c r="C3599" t="s">
        <v>16595</v>
      </c>
      <c r="D3599">
        <f>421-53-2850021</f>
        <v>-2849653</v>
      </c>
      <c r="E3599" t="s">
        <v>16596</v>
      </c>
      <c r="F3599" t="s">
        <v>16527</v>
      </c>
      <c r="G3599" t="s">
        <v>1477</v>
      </c>
      <c r="H3599">
        <v>20.576149999999998</v>
      </c>
      <c r="I3599">
        <v>48.93506</v>
      </c>
      <c r="J3599">
        <v>100</v>
      </c>
      <c r="K3599" t="s">
        <v>192</v>
      </c>
      <c r="L3599" t="s">
        <v>192</v>
      </c>
      <c r="M3599" t="s">
        <v>192</v>
      </c>
      <c r="N3599" t="s">
        <v>192</v>
      </c>
      <c r="O3599" t="s">
        <v>192</v>
      </c>
      <c r="P3599" t="s">
        <v>192</v>
      </c>
      <c r="Q3599" t="s">
        <v>192</v>
      </c>
      <c r="R3599" t="s">
        <v>16595</v>
      </c>
      <c r="S3599" t="s">
        <v>16597</v>
      </c>
      <c r="U3599" t="s">
        <v>16598</v>
      </c>
    </row>
    <row r="3600" spans="1:21" x14ac:dyDescent="0.25">
      <c r="A3600" t="s">
        <v>16599</v>
      </c>
      <c r="B3600" t="s">
        <v>38</v>
      </c>
      <c r="C3600" t="s">
        <v>16600</v>
      </c>
      <c r="D3600">
        <f>421-36-2850021</f>
        <v>-2849636</v>
      </c>
      <c r="E3600" t="s">
        <v>16601</v>
      </c>
      <c r="F3600" t="s">
        <v>16527</v>
      </c>
      <c r="G3600" t="s">
        <v>1477</v>
      </c>
      <c r="H3600">
        <v>18.60745</v>
      </c>
      <c r="I3600">
        <v>48.218029999999999</v>
      </c>
      <c r="J3600">
        <v>100</v>
      </c>
      <c r="K3600" t="s">
        <v>192</v>
      </c>
      <c r="L3600" t="s">
        <v>192</v>
      </c>
      <c r="M3600" t="s">
        <v>192</v>
      </c>
      <c r="N3600" t="s">
        <v>192</v>
      </c>
      <c r="O3600" t="s">
        <v>192</v>
      </c>
      <c r="P3600" t="s">
        <v>192</v>
      </c>
      <c r="Q3600" t="s">
        <v>192</v>
      </c>
      <c r="R3600" t="s">
        <v>16600</v>
      </c>
      <c r="S3600" t="s">
        <v>16602</v>
      </c>
      <c r="U3600" t="s">
        <v>16603</v>
      </c>
    </row>
    <row r="3601" spans="1:21" x14ac:dyDescent="0.25">
      <c r="A3601" t="s">
        <v>16604</v>
      </c>
      <c r="B3601" t="s">
        <v>38</v>
      </c>
      <c r="C3601" t="s">
        <v>16605</v>
      </c>
      <c r="D3601">
        <f>421-472240000</f>
        <v>-472239579</v>
      </c>
      <c r="E3601" t="s">
        <v>16606</v>
      </c>
      <c r="F3601" t="s">
        <v>16527</v>
      </c>
      <c r="G3601" t="s">
        <v>1477</v>
      </c>
      <c r="H3601">
        <v>19.661249999999999</v>
      </c>
      <c r="I3601">
        <v>48.331220000000002</v>
      </c>
      <c r="J3601">
        <v>100</v>
      </c>
      <c r="K3601" t="s">
        <v>312</v>
      </c>
      <c r="L3601" t="s">
        <v>312</v>
      </c>
      <c r="M3601" t="s">
        <v>312</v>
      </c>
      <c r="N3601" t="s">
        <v>312</v>
      </c>
      <c r="O3601" t="s">
        <v>312</v>
      </c>
      <c r="P3601" t="s">
        <v>312</v>
      </c>
      <c r="Q3601" t="s">
        <v>312</v>
      </c>
      <c r="R3601" t="s">
        <v>16605</v>
      </c>
      <c r="S3601" t="s">
        <v>16607</v>
      </c>
      <c r="U3601" t="s">
        <v>16608</v>
      </c>
    </row>
    <row r="3602" spans="1:21" x14ac:dyDescent="0.25">
      <c r="A3602" t="s">
        <v>16609</v>
      </c>
      <c r="B3602" t="s">
        <v>22</v>
      </c>
      <c r="C3602" t="s">
        <v>16610</v>
      </c>
      <c r="D3602">
        <f>421-512240005</f>
        <v>-512239584</v>
      </c>
      <c r="E3602" t="s">
        <v>16611</v>
      </c>
      <c r="F3602" t="s">
        <v>16527</v>
      </c>
      <c r="G3602" t="s">
        <v>1477</v>
      </c>
      <c r="H3602">
        <v>21.26219</v>
      </c>
      <c r="I3602">
        <v>48.988689999999998</v>
      </c>
      <c r="J3602">
        <v>100</v>
      </c>
      <c r="K3602" t="s">
        <v>312</v>
      </c>
      <c r="L3602" t="s">
        <v>312</v>
      </c>
      <c r="M3602" t="s">
        <v>312</v>
      </c>
      <c r="N3602" t="s">
        <v>312</v>
      </c>
      <c r="O3602" t="s">
        <v>312</v>
      </c>
      <c r="P3602" t="s">
        <v>312</v>
      </c>
      <c r="Q3602" t="s">
        <v>312</v>
      </c>
      <c r="R3602" t="s">
        <v>16610</v>
      </c>
      <c r="S3602" t="s">
        <v>16612</v>
      </c>
      <c r="U3602" t="s">
        <v>16613</v>
      </c>
    </row>
    <row r="3603" spans="1:21" x14ac:dyDescent="0.25">
      <c r="A3603" t="s">
        <v>16614</v>
      </c>
      <c r="B3603" t="s">
        <v>38</v>
      </c>
      <c r="C3603" t="s">
        <v>16615</v>
      </c>
      <c r="D3603">
        <f>421-432240095</f>
        <v>-432239674</v>
      </c>
      <c r="E3603" t="s">
        <v>16616</v>
      </c>
      <c r="F3603" t="s">
        <v>16527</v>
      </c>
      <c r="G3603" t="s">
        <v>1477</v>
      </c>
      <c r="H3603">
        <v>18.91958</v>
      </c>
      <c r="I3603">
        <v>49.062539999999998</v>
      </c>
      <c r="J3603">
        <v>100</v>
      </c>
      <c r="K3603" t="s">
        <v>192</v>
      </c>
      <c r="L3603" t="s">
        <v>192</v>
      </c>
      <c r="M3603" t="s">
        <v>192</v>
      </c>
      <c r="N3603" t="s">
        <v>192</v>
      </c>
      <c r="O3603" t="s">
        <v>192</v>
      </c>
      <c r="P3603" t="s">
        <v>192</v>
      </c>
      <c r="Q3603" t="s">
        <v>192</v>
      </c>
      <c r="R3603" t="s">
        <v>16615</v>
      </c>
      <c r="S3603" t="s">
        <v>16617</v>
      </c>
      <c r="U3603" t="s">
        <v>16618</v>
      </c>
    </row>
    <row r="3604" spans="1:21" x14ac:dyDescent="0.25">
      <c r="A3604" t="s">
        <v>16619</v>
      </c>
      <c r="B3604" t="s">
        <v>38</v>
      </c>
      <c r="C3604" t="s">
        <v>16620</v>
      </c>
      <c r="D3604">
        <f>421-372240050</f>
        <v>-372239629</v>
      </c>
      <c r="E3604" t="s">
        <v>16545</v>
      </c>
      <c r="F3604" t="s">
        <v>16527</v>
      </c>
      <c r="G3604" t="s">
        <v>1477</v>
      </c>
      <c r="H3604">
        <v>18.086729999999999</v>
      </c>
      <c r="I3604">
        <v>48.307319999999997</v>
      </c>
      <c r="J3604">
        <v>100</v>
      </c>
      <c r="K3604" t="s">
        <v>312</v>
      </c>
      <c r="L3604" t="s">
        <v>312</v>
      </c>
      <c r="M3604" t="s">
        <v>312</v>
      </c>
      <c r="N3604" t="s">
        <v>312</v>
      </c>
      <c r="O3604" t="s">
        <v>312</v>
      </c>
      <c r="P3604" t="s">
        <v>312</v>
      </c>
      <c r="Q3604" t="s">
        <v>312</v>
      </c>
      <c r="R3604" t="s">
        <v>16620</v>
      </c>
      <c r="S3604" t="s">
        <v>16621</v>
      </c>
      <c r="U3604" t="s">
        <v>16622</v>
      </c>
    </row>
    <row r="3605" spans="1:21" x14ac:dyDescent="0.25">
      <c r="A3605" t="s">
        <v>16623</v>
      </c>
      <c r="B3605" t="s">
        <v>38</v>
      </c>
      <c r="C3605" t="s">
        <v>16624</v>
      </c>
      <c r="D3605">
        <f>421-552240010</f>
        <v>-552239589</v>
      </c>
      <c r="E3605" t="s">
        <v>16540</v>
      </c>
      <c r="F3605" t="s">
        <v>16527</v>
      </c>
      <c r="G3605" t="s">
        <v>1477</v>
      </c>
      <c r="H3605">
        <v>21.267969999999998</v>
      </c>
      <c r="I3605">
        <v>48.740769999999998</v>
      </c>
      <c r="J3605">
        <v>100</v>
      </c>
      <c r="K3605" t="s">
        <v>192</v>
      </c>
      <c r="L3605" t="s">
        <v>192</v>
      </c>
      <c r="M3605" t="s">
        <v>192</v>
      </c>
      <c r="N3605" t="s">
        <v>192</v>
      </c>
      <c r="O3605" t="s">
        <v>192</v>
      </c>
      <c r="P3605" t="s">
        <v>192</v>
      </c>
      <c r="Q3605" t="s">
        <v>192</v>
      </c>
      <c r="R3605" t="s">
        <v>16624</v>
      </c>
      <c r="S3605" t="s">
        <v>16625</v>
      </c>
      <c r="U3605" t="s">
        <v>16626</v>
      </c>
    </row>
    <row r="3606" spans="1:21" x14ac:dyDescent="0.25">
      <c r="A3606" t="s">
        <v>16627</v>
      </c>
      <c r="B3606" t="s">
        <v>38</v>
      </c>
      <c r="C3606" t="s">
        <v>16628</v>
      </c>
      <c r="D3606">
        <f>421-299990070</f>
        <v>-299989649</v>
      </c>
      <c r="E3606" t="s">
        <v>16526</v>
      </c>
      <c r="F3606" t="s">
        <v>16527</v>
      </c>
      <c r="G3606" t="s">
        <v>1477</v>
      </c>
      <c r="H3606">
        <v>17.096820000000001</v>
      </c>
      <c r="I3606">
        <v>48.108820999999999</v>
      </c>
      <c r="J3606">
        <v>100</v>
      </c>
      <c r="K3606" t="s">
        <v>312</v>
      </c>
      <c r="L3606" t="s">
        <v>312</v>
      </c>
      <c r="M3606" t="s">
        <v>312</v>
      </c>
      <c r="N3606" t="s">
        <v>312</v>
      </c>
      <c r="O3606" t="s">
        <v>312</v>
      </c>
      <c r="P3606" t="s">
        <v>312</v>
      </c>
      <c r="Q3606" t="s">
        <v>312</v>
      </c>
      <c r="R3606" t="s">
        <v>16628</v>
      </c>
      <c r="S3606" t="s">
        <v>16629</v>
      </c>
      <c r="U3606" t="s">
        <v>16630</v>
      </c>
    </row>
    <row r="3607" spans="1:21" x14ac:dyDescent="0.25">
      <c r="A3607" t="s">
        <v>16631</v>
      </c>
      <c r="B3607" t="s">
        <v>38</v>
      </c>
      <c r="C3607" t="s">
        <v>16632</v>
      </c>
      <c r="D3607">
        <f>421-332240015</f>
        <v>-332239594</v>
      </c>
      <c r="E3607" t="s">
        <v>16586</v>
      </c>
      <c r="F3607" t="s">
        <v>16527</v>
      </c>
      <c r="G3607" t="s">
        <v>1477</v>
      </c>
      <c r="H3607">
        <v>17.573830000000001</v>
      </c>
      <c r="I3607">
        <v>48.385820000000002</v>
      </c>
      <c r="J3607">
        <v>100</v>
      </c>
      <c r="K3607" t="s">
        <v>192</v>
      </c>
      <c r="L3607" t="s">
        <v>192</v>
      </c>
      <c r="M3607" t="s">
        <v>192</v>
      </c>
      <c r="N3607" t="s">
        <v>192</v>
      </c>
      <c r="O3607" t="s">
        <v>192</v>
      </c>
      <c r="P3607" t="s">
        <v>192</v>
      </c>
      <c r="Q3607" t="s">
        <v>192</v>
      </c>
      <c r="R3607" t="s">
        <v>16632</v>
      </c>
      <c r="S3607" t="s">
        <v>16633</v>
      </c>
      <c r="U3607" t="s">
        <v>16634</v>
      </c>
    </row>
    <row r="3608" spans="1:21" x14ac:dyDescent="0.25">
      <c r="A3608" t="s">
        <v>16635</v>
      </c>
      <c r="B3608" t="s">
        <v>38</v>
      </c>
      <c r="C3608" t="s">
        <v>16636</v>
      </c>
      <c r="D3608">
        <f>42-412240015</f>
        <v>-412239973</v>
      </c>
      <c r="E3608" t="s">
        <v>16550</v>
      </c>
      <c r="F3608" t="s">
        <v>16527</v>
      </c>
      <c r="G3608" t="s">
        <v>1477</v>
      </c>
      <c r="H3608">
        <v>18.752179999999999</v>
      </c>
      <c r="I3608">
        <v>49.211680000000001</v>
      </c>
      <c r="J3608">
        <v>100</v>
      </c>
      <c r="K3608" t="s">
        <v>312</v>
      </c>
      <c r="L3608" t="s">
        <v>312</v>
      </c>
      <c r="M3608" t="s">
        <v>312</v>
      </c>
      <c r="N3608" t="s">
        <v>312</v>
      </c>
      <c r="O3608" t="s">
        <v>312</v>
      </c>
      <c r="P3608" t="s">
        <v>312</v>
      </c>
      <c r="Q3608" t="s">
        <v>312</v>
      </c>
      <c r="R3608" t="s">
        <v>16636</v>
      </c>
      <c r="S3608" t="s">
        <v>16637</v>
      </c>
      <c r="U3608" t="s">
        <v>16638</v>
      </c>
    </row>
    <row r="3609" spans="1:21" x14ac:dyDescent="0.25">
      <c r="A3609" t="s">
        <v>16639</v>
      </c>
      <c r="B3609" t="s">
        <v>38</v>
      </c>
      <c r="C3609" t="s">
        <v>16640</v>
      </c>
      <c r="D3609">
        <f>421-512240010</f>
        <v>-512239589</v>
      </c>
      <c r="E3609" t="s">
        <v>16611</v>
      </c>
      <c r="F3609" t="s">
        <v>16527</v>
      </c>
      <c r="G3609" t="s">
        <v>1477</v>
      </c>
      <c r="H3609">
        <v>21.243785824636799</v>
      </c>
      <c r="I3609">
        <v>48.993153184694201</v>
      </c>
      <c r="J3609">
        <v>100</v>
      </c>
      <c r="K3609" t="s">
        <v>312</v>
      </c>
      <c r="L3609" t="s">
        <v>312</v>
      </c>
      <c r="M3609" t="s">
        <v>312</v>
      </c>
      <c r="N3609" t="s">
        <v>312</v>
      </c>
      <c r="O3609" t="s">
        <v>312</v>
      </c>
      <c r="P3609" t="s">
        <v>312</v>
      </c>
      <c r="Q3609" t="s">
        <v>312</v>
      </c>
      <c r="R3609" t="s">
        <v>16640</v>
      </c>
      <c r="S3609" t="s">
        <v>16640</v>
      </c>
      <c r="U3609" t="s">
        <v>16641</v>
      </c>
    </row>
    <row r="3610" spans="1:21" x14ac:dyDescent="0.25">
      <c r="A3610" t="s">
        <v>16642</v>
      </c>
      <c r="B3610" t="s">
        <v>38</v>
      </c>
      <c r="C3610" t="s">
        <v>16643</v>
      </c>
      <c r="D3610">
        <f>421-442240000</f>
        <v>-442239579</v>
      </c>
      <c r="E3610" t="s">
        <v>16644</v>
      </c>
      <c r="F3610" t="s">
        <v>16527</v>
      </c>
      <c r="G3610" t="s">
        <v>1477</v>
      </c>
      <c r="H3610">
        <v>19.6026614259337</v>
      </c>
      <c r="I3610">
        <v>49.076793318366498</v>
      </c>
      <c r="J3610">
        <v>100</v>
      </c>
      <c r="K3610" t="s">
        <v>192</v>
      </c>
      <c r="L3610" t="s">
        <v>192</v>
      </c>
      <c r="M3610" t="s">
        <v>192</v>
      </c>
      <c r="N3610" t="s">
        <v>192</v>
      </c>
      <c r="O3610" t="s">
        <v>192</v>
      </c>
      <c r="P3610" t="s">
        <v>192</v>
      </c>
      <c r="Q3610" t="s">
        <v>192</v>
      </c>
      <c r="R3610" t="s">
        <v>16643</v>
      </c>
      <c r="S3610" t="s">
        <v>16645</v>
      </c>
      <c r="U3610" t="s">
        <v>16646</v>
      </c>
    </row>
    <row r="3611" spans="1:21" x14ac:dyDescent="0.25">
      <c r="A3611" t="s">
        <v>16647</v>
      </c>
      <c r="B3611" t="s">
        <v>38</v>
      </c>
      <c r="C3611" t="s">
        <v>16648</v>
      </c>
      <c r="D3611">
        <f>421-312240010</f>
        <v>-312239589</v>
      </c>
      <c r="E3611" t="s">
        <v>16649</v>
      </c>
      <c r="F3611" t="s">
        <v>16527</v>
      </c>
      <c r="G3611" t="s">
        <v>1477</v>
      </c>
      <c r="H3611">
        <v>17.633399822090102</v>
      </c>
      <c r="I3611">
        <v>47.988881632989397</v>
      </c>
      <c r="J3611">
        <v>100</v>
      </c>
      <c r="K3611" t="s">
        <v>192</v>
      </c>
      <c r="L3611" t="s">
        <v>192</v>
      </c>
      <c r="M3611" t="s">
        <v>192</v>
      </c>
      <c r="N3611" t="s">
        <v>192</v>
      </c>
      <c r="O3611" t="s">
        <v>192</v>
      </c>
      <c r="P3611" t="s">
        <v>192</v>
      </c>
      <c r="Q3611" t="s">
        <v>192</v>
      </c>
      <c r="R3611" t="s">
        <v>16648</v>
      </c>
      <c r="S3611" t="s">
        <v>16650</v>
      </c>
      <c r="U3611" t="s">
        <v>16651</v>
      </c>
    </row>
    <row r="3612" spans="1:21" x14ac:dyDescent="0.25">
      <c r="A3612" t="s">
        <v>16652</v>
      </c>
      <c r="B3612" t="s">
        <v>22</v>
      </c>
      <c r="C3612" t="s">
        <v>16653</v>
      </c>
      <c r="D3612">
        <f t="shared" ref="D3612:D3632" si="92">66-20309777</f>
        <v>-20309711</v>
      </c>
      <c r="E3612" t="s">
        <v>16654</v>
      </c>
      <c r="F3612" t="s">
        <v>16655</v>
      </c>
      <c r="G3612" t="s">
        <v>16656</v>
      </c>
      <c r="H3612">
        <v>100.642492</v>
      </c>
      <c r="I3612">
        <v>13.766056000000001</v>
      </c>
      <c r="J3612">
        <v>205</v>
      </c>
      <c r="K3612" t="s">
        <v>3814</v>
      </c>
      <c r="L3612" t="s">
        <v>3814</v>
      </c>
      <c r="M3612" t="s">
        <v>3814</v>
      </c>
      <c r="N3612" t="s">
        <v>3814</v>
      </c>
      <c r="O3612" t="s">
        <v>27</v>
      </c>
      <c r="P3612" t="s">
        <v>27</v>
      </c>
      <c r="Q3612" t="s">
        <v>27</v>
      </c>
      <c r="R3612" t="s">
        <v>16653</v>
      </c>
      <c r="S3612" t="s">
        <v>16657</v>
      </c>
      <c r="U3612" t="s">
        <v>16658</v>
      </c>
    </row>
    <row r="3613" spans="1:21" x14ac:dyDescent="0.25">
      <c r="A3613" t="s">
        <v>16659</v>
      </c>
      <c r="B3613" t="s">
        <v>32</v>
      </c>
      <c r="C3613" t="s">
        <v>16660</v>
      </c>
      <c r="D3613">
        <f t="shared" si="92"/>
        <v>-20309711</v>
      </c>
      <c r="E3613" t="s">
        <v>16654</v>
      </c>
      <c r="F3613" t="s">
        <v>16655</v>
      </c>
      <c r="G3613" t="s">
        <v>16656</v>
      </c>
      <c r="H3613">
        <v>100.53506899999999</v>
      </c>
      <c r="I3613">
        <v>13.746815</v>
      </c>
      <c r="J3613">
        <v>205</v>
      </c>
      <c r="K3613" t="s">
        <v>27</v>
      </c>
      <c r="L3613" t="s">
        <v>27</v>
      </c>
      <c r="M3613" t="s">
        <v>27</v>
      </c>
      <c r="N3613" t="s">
        <v>27</v>
      </c>
      <c r="O3613" t="s">
        <v>27</v>
      </c>
      <c r="P3613" t="s">
        <v>27</v>
      </c>
      <c r="Q3613" t="s">
        <v>27</v>
      </c>
      <c r="R3613" t="s">
        <v>16660</v>
      </c>
      <c r="S3613" t="s">
        <v>16661</v>
      </c>
      <c r="U3613" t="s">
        <v>16662</v>
      </c>
    </row>
    <row r="3614" spans="1:21" x14ac:dyDescent="0.25">
      <c r="A3614" t="s">
        <v>16663</v>
      </c>
      <c r="B3614" t="s">
        <v>32</v>
      </c>
      <c r="C3614" t="s">
        <v>16664</v>
      </c>
      <c r="D3614">
        <f t="shared" si="92"/>
        <v>-20309711</v>
      </c>
      <c r="E3614" t="s">
        <v>16654</v>
      </c>
      <c r="F3614" t="s">
        <v>16655</v>
      </c>
      <c r="G3614" t="s">
        <v>16656</v>
      </c>
      <c r="H3614">
        <v>100.538884</v>
      </c>
      <c r="I3614">
        <v>13.747110299999999</v>
      </c>
      <c r="J3614">
        <v>205</v>
      </c>
      <c r="K3614" t="s">
        <v>27</v>
      </c>
      <c r="L3614" t="s">
        <v>27</v>
      </c>
      <c r="M3614" t="s">
        <v>27</v>
      </c>
      <c r="N3614" t="s">
        <v>27</v>
      </c>
      <c r="O3614" t="s">
        <v>27</v>
      </c>
      <c r="P3614" t="s">
        <v>27</v>
      </c>
      <c r="Q3614" t="s">
        <v>27</v>
      </c>
      <c r="R3614" t="s">
        <v>16664</v>
      </c>
      <c r="S3614" t="s">
        <v>16665</v>
      </c>
      <c r="U3614" t="s">
        <v>16666</v>
      </c>
    </row>
    <row r="3615" spans="1:21" x14ac:dyDescent="0.25">
      <c r="A3615" t="s">
        <v>16667</v>
      </c>
      <c r="B3615" t="s">
        <v>32</v>
      </c>
      <c r="C3615" t="s">
        <v>16668</v>
      </c>
      <c r="D3615">
        <f t="shared" si="92"/>
        <v>-20309711</v>
      </c>
      <c r="E3615" t="s">
        <v>16654</v>
      </c>
      <c r="F3615" t="s">
        <v>16655</v>
      </c>
      <c r="G3615" t="s">
        <v>16656</v>
      </c>
      <c r="H3615">
        <v>100.569721</v>
      </c>
      <c r="I3615">
        <v>13.732006</v>
      </c>
      <c r="J3615">
        <v>205</v>
      </c>
      <c r="K3615" t="s">
        <v>27</v>
      </c>
      <c r="L3615" t="s">
        <v>27</v>
      </c>
      <c r="M3615" t="s">
        <v>27</v>
      </c>
      <c r="N3615" t="s">
        <v>27</v>
      </c>
      <c r="O3615" t="s">
        <v>27</v>
      </c>
      <c r="P3615" t="s">
        <v>27</v>
      </c>
      <c r="Q3615" t="s">
        <v>27</v>
      </c>
      <c r="R3615" t="s">
        <v>16668</v>
      </c>
      <c r="S3615" t="s">
        <v>16669</v>
      </c>
      <c r="U3615" t="s">
        <v>16670</v>
      </c>
    </row>
    <row r="3616" spans="1:21" x14ac:dyDescent="0.25">
      <c r="A3616" t="s">
        <v>16671</v>
      </c>
      <c r="B3616" t="s">
        <v>22</v>
      </c>
      <c r="C3616" t="s">
        <v>16672</v>
      </c>
      <c r="D3616">
        <f t="shared" si="92"/>
        <v>-20309711</v>
      </c>
      <c r="E3616" t="s">
        <v>16654</v>
      </c>
      <c r="F3616" t="s">
        <v>16655</v>
      </c>
      <c r="G3616" t="s">
        <v>16656</v>
      </c>
      <c r="H3616">
        <v>100.56025099999999</v>
      </c>
      <c r="I3616">
        <v>13.738153000000001</v>
      </c>
      <c r="J3616">
        <v>205</v>
      </c>
      <c r="K3616" t="s">
        <v>27</v>
      </c>
      <c r="L3616" t="s">
        <v>27</v>
      </c>
      <c r="M3616" t="s">
        <v>27</v>
      </c>
      <c r="N3616" t="s">
        <v>27</v>
      </c>
      <c r="O3616" t="s">
        <v>27</v>
      </c>
      <c r="P3616" t="s">
        <v>27</v>
      </c>
      <c r="Q3616" t="s">
        <v>27</v>
      </c>
      <c r="R3616" t="s">
        <v>16672</v>
      </c>
      <c r="S3616" t="s">
        <v>16673</v>
      </c>
      <c r="U3616" t="s">
        <v>16674</v>
      </c>
    </row>
    <row r="3617" spans="1:21" x14ac:dyDescent="0.25">
      <c r="A3617" t="s">
        <v>16675</v>
      </c>
      <c r="B3617" t="s">
        <v>22</v>
      </c>
      <c r="C3617" t="s">
        <v>16676</v>
      </c>
      <c r="D3617">
        <f t="shared" si="92"/>
        <v>-20309711</v>
      </c>
      <c r="E3617" t="s">
        <v>16654</v>
      </c>
      <c r="F3617" t="s">
        <v>16655</v>
      </c>
      <c r="G3617" t="s">
        <v>16656</v>
      </c>
      <c r="H3617">
        <v>99.018122000000005</v>
      </c>
      <c r="I3617">
        <v>18.807268000000001</v>
      </c>
      <c r="J3617">
        <v>205</v>
      </c>
      <c r="K3617" t="s">
        <v>27</v>
      </c>
      <c r="L3617" t="s">
        <v>27</v>
      </c>
      <c r="M3617" t="s">
        <v>27</v>
      </c>
      <c r="N3617" t="s">
        <v>27</v>
      </c>
      <c r="O3617" t="s">
        <v>27</v>
      </c>
      <c r="P3617" t="s">
        <v>27</v>
      </c>
      <c r="Q3617" t="s">
        <v>27</v>
      </c>
      <c r="R3617" t="s">
        <v>16676</v>
      </c>
      <c r="S3617" t="s">
        <v>16677</v>
      </c>
      <c r="U3617" t="s">
        <v>16678</v>
      </c>
    </row>
    <row r="3618" spans="1:21" x14ac:dyDescent="0.25">
      <c r="A3618" t="s">
        <v>16679</v>
      </c>
      <c r="B3618" t="s">
        <v>22</v>
      </c>
      <c r="C3618" t="s">
        <v>16680</v>
      </c>
      <c r="D3618">
        <f t="shared" si="92"/>
        <v>-20309711</v>
      </c>
      <c r="E3618" t="s">
        <v>16654</v>
      </c>
      <c r="F3618" t="s">
        <v>16655</v>
      </c>
      <c r="G3618" t="s">
        <v>16656</v>
      </c>
      <c r="H3618">
        <v>100.48294</v>
      </c>
      <c r="I3618">
        <v>6.9915940000000001</v>
      </c>
      <c r="J3618">
        <v>205</v>
      </c>
      <c r="K3618" t="s">
        <v>27</v>
      </c>
      <c r="L3618" t="s">
        <v>27</v>
      </c>
      <c r="M3618" t="s">
        <v>27</v>
      </c>
      <c r="N3618" t="s">
        <v>27</v>
      </c>
      <c r="O3618" t="s">
        <v>27</v>
      </c>
      <c r="P3618" t="s">
        <v>27</v>
      </c>
      <c r="Q3618" t="s">
        <v>27</v>
      </c>
      <c r="R3618" t="s">
        <v>16680</v>
      </c>
      <c r="S3618" t="s">
        <v>16681</v>
      </c>
      <c r="U3618" t="s">
        <v>16682</v>
      </c>
    </row>
    <row r="3619" spans="1:21" x14ac:dyDescent="0.25">
      <c r="A3619" t="s">
        <v>16683</v>
      </c>
      <c r="B3619" t="s">
        <v>22</v>
      </c>
      <c r="C3619" t="s">
        <v>16684</v>
      </c>
      <c r="D3619">
        <f t="shared" si="92"/>
        <v>-20309711</v>
      </c>
      <c r="E3619" t="s">
        <v>16654</v>
      </c>
      <c r="F3619" t="s">
        <v>16655</v>
      </c>
      <c r="G3619" t="s">
        <v>16656</v>
      </c>
      <c r="H3619">
        <v>100.63467</v>
      </c>
      <c r="I3619">
        <v>13.670646</v>
      </c>
      <c r="J3619">
        <v>205</v>
      </c>
      <c r="K3619" t="s">
        <v>27</v>
      </c>
      <c r="L3619" t="s">
        <v>27</v>
      </c>
      <c r="M3619" t="s">
        <v>27</v>
      </c>
      <c r="N3619" t="s">
        <v>27</v>
      </c>
      <c r="O3619" t="s">
        <v>27</v>
      </c>
      <c r="P3619" t="s">
        <v>27</v>
      </c>
      <c r="Q3619" t="s">
        <v>27</v>
      </c>
      <c r="R3619" t="s">
        <v>16684</v>
      </c>
      <c r="S3619" t="s">
        <v>16685</v>
      </c>
      <c r="U3619" t="s">
        <v>16686</v>
      </c>
    </row>
    <row r="3620" spans="1:21" x14ac:dyDescent="0.25">
      <c r="A3620" t="s">
        <v>16687</v>
      </c>
      <c r="B3620" t="s">
        <v>22</v>
      </c>
      <c r="C3620" t="s">
        <v>16688</v>
      </c>
      <c r="D3620">
        <f t="shared" si="92"/>
        <v>-20309711</v>
      </c>
      <c r="E3620" t="s">
        <v>16654</v>
      </c>
      <c r="F3620" t="s">
        <v>16655</v>
      </c>
      <c r="G3620" t="s">
        <v>16656</v>
      </c>
      <c r="H3620">
        <v>100.678276</v>
      </c>
      <c r="I3620">
        <v>13.825085</v>
      </c>
      <c r="J3620">
        <v>205</v>
      </c>
      <c r="K3620" t="s">
        <v>536</v>
      </c>
      <c r="L3620" t="s">
        <v>536</v>
      </c>
      <c r="M3620" t="s">
        <v>536</v>
      </c>
      <c r="N3620" t="s">
        <v>536</v>
      </c>
      <c r="O3620" t="s">
        <v>536</v>
      </c>
      <c r="P3620" t="s">
        <v>536</v>
      </c>
      <c r="Q3620" t="s">
        <v>536</v>
      </c>
      <c r="R3620" t="s">
        <v>16688</v>
      </c>
      <c r="S3620" t="s">
        <v>16689</v>
      </c>
      <c r="U3620" t="s">
        <v>16690</v>
      </c>
    </row>
    <row r="3621" spans="1:21" x14ac:dyDescent="0.25">
      <c r="A3621" t="s">
        <v>16691</v>
      </c>
      <c r="B3621" t="s">
        <v>22</v>
      </c>
      <c r="C3621" t="s">
        <v>16692</v>
      </c>
      <c r="D3621">
        <f t="shared" si="92"/>
        <v>-20309711</v>
      </c>
      <c r="E3621" t="s">
        <v>16693</v>
      </c>
      <c r="F3621" t="s">
        <v>16655</v>
      </c>
      <c r="G3621" t="s">
        <v>16656</v>
      </c>
      <c r="H3621">
        <v>100.884255</v>
      </c>
      <c r="I3621">
        <v>12.993422000000001</v>
      </c>
      <c r="J3621">
        <v>205</v>
      </c>
      <c r="K3621" t="s">
        <v>27</v>
      </c>
      <c r="L3621" t="s">
        <v>27</v>
      </c>
      <c r="M3621" t="s">
        <v>27</v>
      </c>
      <c r="N3621" t="s">
        <v>27</v>
      </c>
      <c r="O3621" t="s">
        <v>27</v>
      </c>
      <c r="P3621" t="s">
        <v>27</v>
      </c>
      <c r="Q3621" t="s">
        <v>27</v>
      </c>
      <c r="R3621" t="s">
        <v>16692</v>
      </c>
      <c r="S3621" t="s">
        <v>16694</v>
      </c>
      <c r="U3621" t="s">
        <v>16695</v>
      </c>
    </row>
    <row r="3622" spans="1:21" x14ac:dyDescent="0.25">
      <c r="A3622" t="s">
        <v>16696</v>
      </c>
      <c r="B3622" t="s">
        <v>22</v>
      </c>
      <c r="C3622" t="s">
        <v>16697</v>
      </c>
      <c r="D3622">
        <f t="shared" si="92"/>
        <v>-20309711</v>
      </c>
      <c r="E3622" t="s">
        <v>16698</v>
      </c>
      <c r="F3622" t="s">
        <v>16655</v>
      </c>
      <c r="G3622" t="s">
        <v>16656</v>
      </c>
      <c r="H3622">
        <v>98.368234000000001</v>
      </c>
      <c r="I3622">
        <v>7.8925489999999998</v>
      </c>
      <c r="J3622">
        <v>205</v>
      </c>
      <c r="K3622" t="s">
        <v>27</v>
      </c>
      <c r="L3622" t="s">
        <v>27</v>
      </c>
      <c r="M3622" t="s">
        <v>27</v>
      </c>
      <c r="N3622" t="s">
        <v>27</v>
      </c>
      <c r="O3622" t="s">
        <v>27</v>
      </c>
      <c r="P3622" t="s">
        <v>27</v>
      </c>
      <c r="Q3622" t="s">
        <v>27</v>
      </c>
      <c r="R3622" t="s">
        <v>16697</v>
      </c>
      <c r="S3622" t="s">
        <v>16699</v>
      </c>
      <c r="U3622" t="s">
        <v>16700</v>
      </c>
    </row>
    <row r="3623" spans="1:21" x14ac:dyDescent="0.25">
      <c r="A3623" t="s">
        <v>16701</v>
      </c>
      <c r="B3623" t="s">
        <v>22</v>
      </c>
      <c r="C3623" t="s">
        <v>16702</v>
      </c>
      <c r="D3623">
        <f t="shared" si="92"/>
        <v>-20309711</v>
      </c>
      <c r="E3623" t="s">
        <v>16654</v>
      </c>
      <c r="F3623" t="s">
        <v>16655</v>
      </c>
      <c r="G3623" t="s">
        <v>16656</v>
      </c>
      <c r="H3623">
        <v>100.80415600000001</v>
      </c>
      <c r="I3623">
        <v>13.594908999999999</v>
      </c>
      <c r="J3623">
        <v>205</v>
      </c>
      <c r="K3623" t="s">
        <v>27</v>
      </c>
      <c r="L3623" t="s">
        <v>27</v>
      </c>
      <c r="M3623" t="s">
        <v>27</v>
      </c>
      <c r="N3623" t="s">
        <v>27</v>
      </c>
      <c r="O3623" t="s">
        <v>27</v>
      </c>
      <c r="P3623" t="s">
        <v>27</v>
      </c>
      <c r="Q3623" t="s">
        <v>27</v>
      </c>
      <c r="R3623" t="s">
        <v>16702</v>
      </c>
      <c r="S3623" t="s">
        <v>16703</v>
      </c>
      <c r="U3623" t="s">
        <v>16704</v>
      </c>
    </row>
    <row r="3624" spans="1:21" x14ac:dyDescent="0.25">
      <c r="A3624" t="s">
        <v>16705</v>
      </c>
      <c r="B3624" t="s">
        <v>22</v>
      </c>
      <c r="C3624" t="s">
        <v>16706</v>
      </c>
      <c r="D3624">
        <f t="shared" si="92"/>
        <v>-20309711</v>
      </c>
      <c r="E3624" t="s">
        <v>16654</v>
      </c>
      <c r="F3624" t="s">
        <v>16655</v>
      </c>
      <c r="G3624" t="s">
        <v>16656</v>
      </c>
      <c r="H3624">
        <v>100.411282</v>
      </c>
      <c r="I3624">
        <v>13.876689000000001</v>
      </c>
      <c r="J3624">
        <v>205</v>
      </c>
      <c r="K3624" t="s">
        <v>27</v>
      </c>
      <c r="L3624" t="s">
        <v>27</v>
      </c>
      <c r="M3624" t="s">
        <v>27</v>
      </c>
      <c r="N3624" t="s">
        <v>27</v>
      </c>
      <c r="O3624" t="s">
        <v>27</v>
      </c>
      <c r="P3624" t="s">
        <v>27</v>
      </c>
      <c r="Q3624" t="s">
        <v>27</v>
      </c>
      <c r="R3624" t="s">
        <v>16706</v>
      </c>
      <c r="S3624" t="s">
        <v>16707</v>
      </c>
      <c r="U3624" t="s">
        <v>16708</v>
      </c>
    </row>
    <row r="3625" spans="1:21" x14ac:dyDescent="0.25">
      <c r="A3625" t="s">
        <v>16709</v>
      </c>
      <c r="B3625" t="s">
        <v>22</v>
      </c>
      <c r="C3625" t="s">
        <v>16710</v>
      </c>
      <c r="D3625">
        <f t="shared" si="92"/>
        <v>-20309711</v>
      </c>
      <c r="E3625" t="s">
        <v>16654</v>
      </c>
      <c r="F3625" t="s">
        <v>16655</v>
      </c>
      <c r="G3625" t="s">
        <v>16656</v>
      </c>
      <c r="H3625">
        <v>100.618127</v>
      </c>
      <c r="I3625">
        <v>13.987087000000001</v>
      </c>
      <c r="J3625">
        <v>205</v>
      </c>
      <c r="K3625" t="s">
        <v>27</v>
      </c>
      <c r="L3625" t="s">
        <v>27</v>
      </c>
      <c r="M3625" t="s">
        <v>27</v>
      </c>
      <c r="N3625" t="s">
        <v>27</v>
      </c>
      <c r="O3625" t="s">
        <v>27</v>
      </c>
      <c r="P3625" t="s">
        <v>27</v>
      </c>
      <c r="Q3625" t="s">
        <v>27</v>
      </c>
      <c r="R3625" t="s">
        <v>16710</v>
      </c>
      <c r="S3625" t="s">
        <v>16711</v>
      </c>
      <c r="U3625" t="s">
        <v>16712</v>
      </c>
    </row>
    <row r="3626" spans="1:21" x14ac:dyDescent="0.25">
      <c r="A3626" t="s">
        <v>16713</v>
      </c>
      <c r="B3626" t="s">
        <v>22</v>
      </c>
      <c r="C3626" t="s">
        <v>16714</v>
      </c>
      <c r="D3626">
        <f t="shared" si="92"/>
        <v>-20309711</v>
      </c>
      <c r="E3626" t="s">
        <v>16654</v>
      </c>
      <c r="F3626" t="s">
        <v>16655</v>
      </c>
      <c r="G3626" t="s">
        <v>16656</v>
      </c>
      <c r="H3626">
        <v>100.408084</v>
      </c>
      <c r="I3626">
        <v>13.713704</v>
      </c>
      <c r="J3626">
        <v>205</v>
      </c>
      <c r="K3626" t="s">
        <v>27</v>
      </c>
      <c r="L3626" t="s">
        <v>27</v>
      </c>
      <c r="M3626" t="s">
        <v>27</v>
      </c>
      <c r="N3626" t="s">
        <v>27</v>
      </c>
      <c r="O3626" t="s">
        <v>27</v>
      </c>
      <c r="P3626" t="s">
        <v>27</v>
      </c>
      <c r="Q3626" t="s">
        <v>27</v>
      </c>
      <c r="R3626" t="s">
        <v>16714</v>
      </c>
      <c r="S3626" t="s">
        <v>16715</v>
      </c>
      <c r="U3626" t="s">
        <v>16716</v>
      </c>
    </row>
    <row r="3627" spans="1:21" x14ac:dyDescent="0.25">
      <c r="A3627" t="s">
        <v>16717</v>
      </c>
      <c r="B3627" t="s">
        <v>22</v>
      </c>
      <c r="C3627" t="s">
        <v>16718</v>
      </c>
      <c r="D3627">
        <f t="shared" si="92"/>
        <v>-20309711</v>
      </c>
      <c r="E3627" t="s">
        <v>16654</v>
      </c>
      <c r="F3627" t="s">
        <v>16655</v>
      </c>
      <c r="G3627" t="s">
        <v>16656</v>
      </c>
      <c r="H3627">
        <v>100.647256</v>
      </c>
      <c r="I3627">
        <v>13.698169999999999</v>
      </c>
      <c r="J3627">
        <v>205</v>
      </c>
      <c r="K3627" t="s">
        <v>11495</v>
      </c>
      <c r="L3627" t="s">
        <v>11495</v>
      </c>
      <c r="M3627" t="s">
        <v>11495</v>
      </c>
      <c r="N3627" t="s">
        <v>11495</v>
      </c>
      <c r="O3627" t="s">
        <v>2137</v>
      </c>
      <c r="P3627" t="s">
        <v>2137</v>
      </c>
      <c r="Q3627" t="s">
        <v>2137</v>
      </c>
      <c r="R3627" t="s">
        <v>16718</v>
      </c>
      <c r="S3627" t="s">
        <v>16719</v>
      </c>
      <c r="U3627" t="s">
        <v>16720</v>
      </c>
    </row>
    <row r="3628" spans="1:21" x14ac:dyDescent="0.25">
      <c r="A3628" t="s">
        <v>16721</v>
      </c>
      <c r="B3628" t="s">
        <v>22</v>
      </c>
      <c r="C3628" t="s">
        <v>16722</v>
      </c>
      <c r="D3628">
        <f t="shared" si="92"/>
        <v>-20309711</v>
      </c>
      <c r="E3628" t="s">
        <v>16723</v>
      </c>
      <c r="F3628" t="s">
        <v>16655</v>
      </c>
      <c r="G3628" t="s">
        <v>16656</v>
      </c>
      <c r="H3628">
        <v>99.962097999999997</v>
      </c>
      <c r="I3628">
        <v>12.547734</v>
      </c>
      <c r="J3628">
        <v>205</v>
      </c>
      <c r="K3628" t="s">
        <v>27</v>
      </c>
      <c r="L3628" t="s">
        <v>27</v>
      </c>
      <c r="M3628" t="s">
        <v>27</v>
      </c>
      <c r="N3628" t="s">
        <v>27</v>
      </c>
      <c r="O3628" t="s">
        <v>27</v>
      </c>
      <c r="P3628" t="s">
        <v>27</v>
      </c>
      <c r="Q3628" t="s">
        <v>27</v>
      </c>
      <c r="R3628" t="s">
        <v>16722</v>
      </c>
      <c r="S3628" t="s">
        <v>16724</v>
      </c>
      <c r="U3628" t="s">
        <v>16725</v>
      </c>
    </row>
    <row r="3629" spans="1:21" x14ac:dyDescent="0.25">
      <c r="A3629" t="s">
        <v>16726</v>
      </c>
      <c r="B3629" t="s">
        <v>22</v>
      </c>
      <c r="C3629" t="s">
        <v>16727</v>
      </c>
      <c r="D3629">
        <f t="shared" si="92"/>
        <v>-20309711</v>
      </c>
      <c r="E3629" t="s">
        <v>16728</v>
      </c>
      <c r="F3629" t="s">
        <v>16655</v>
      </c>
      <c r="G3629" t="s">
        <v>16656</v>
      </c>
      <c r="H3629">
        <v>102.07641</v>
      </c>
      <c r="I3629">
        <v>14.980729999999999</v>
      </c>
      <c r="J3629">
        <v>205</v>
      </c>
      <c r="K3629" t="s">
        <v>27</v>
      </c>
      <c r="L3629" t="s">
        <v>27</v>
      </c>
      <c r="M3629" t="s">
        <v>27</v>
      </c>
      <c r="N3629" t="s">
        <v>27</v>
      </c>
      <c r="O3629" t="s">
        <v>27</v>
      </c>
      <c r="P3629" t="s">
        <v>27</v>
      </c>
      <c r="Q3629" t="s">
        <v>27</v>
      </c>
      <c r="R3629" t="s">
        <v>16727</v>
      </c>
      <c r="S3629" t="s">
        <v>16729</v>
      </c>
      <c r="U3629" t="s">
        <v>16730</v>
      </c>
    </row>
    <row r="3630" spans="1:21" x14ac:dyDescent="0.25">
      <c r="A3630" t="s">
        <v>16731</v>
      </c>
      <c r="B3630" t="s">
        <v>22</v>
      </c>
      <c r="C3630" t="s">
        <v>16732</v>
      </c>
      <c r="D3630">
        <f t="shared" si="92"/>
        <v>-20309711</v>
      </c>
      <c r="E3630" t="s">
        <v>16728</v>
      </c>
      <c r="F3630" t="s">
        <v>16655</v>
      </c>
      <c r="G3630" t="s">
        <v>16656</v>
      </c>
      <c r="H3630">
        <v>102.090571</v>
      </c>
      <c r="I3630">
        <v>14.981465999999999</v>
      </c>
      <c r="J3630">
        <v>205</v>
      </c>
      <c r="K3630" t="s">
        <v>27</v>
      </c>
      <c r="L3630" t="s">
        <v>27</v>
      </c>
      <c r="M3630" t="s">
        <v>27</v>
      </c>
      <c r="N3630" t="s">
        <v>27</v>
      </c>
      <c r="O3630" t="s">
        <v>27</v>
      </c>
      <c r="P3630" t="s">
        <v>27</v>
      </c>
      <c r="Q3630" t="s">
        <v>27</v>
      </c>
      <c r="R3630" t="s">
        <v>16732</v>
      </c>
      <c r="S3630" t="s">
        <v>16733</v>
      </c>
      <c r="U3630" t="s">
        <v>16734</v>
      </c>
    </row>
    <row r="3631" spans="1:21" x14ac:dyDescent="0.25">
      <c r="A3631" t="s">
        <v>16735</v>
      </c>
      <c r="B3631" t="s">
        <v>22</v>
      </c>
      <c r="C3631" t="s">
        <v>16736</v>
      </c>
      <c r="D3631">
        <f t="shared" si="92"/>
        <v>-20309711</v>
      </c>
      <c r="E3631" t="s">
        <v>16654</v>
      </c>
      <c r="F3631" t="s">
        <v>16655</v>
      </c>
      <c r="G3631" t="s">
        <v>16656</v>
      </c>
      <c r="H3631">
        <v>100.59150700000001</v>
      </c>
      <c r="I3631">
        <v>13.749176</v>
      </c>
      <c r="J3631">
        <v>205</v>
      </c>
      <c r="K3631" t="s">
        <v>27</v>
      </c>
      <c r="L3631" t="s">
        <v>27</v>
      </c>
      <c r="M3631" t="s">
        <v>27</v>
      </c>
      <c r="N3631" t="s">
        <v>27</v>
      </c>
      <c r="O3631" t="s">
        <v>27</v>
      </c>
      <c r="P3631" t="s">
        <v>27</v>
      </c>
      <c r="Q3631" t="s">
        <v>27</v>
      </c>
      <c r="R3631" t="s">
        <v>16736</v>
      </c>
      <c r="S3631" t="s">
        <v>16737</v>
      </c>
      <c r="U3631" t="s">
        <v>16738</v>
      </c>
    </row>
    <row r="3632" spans="1:21" x14ac:dyDescent="0.25">
      <c r="A3632" t="s">
        <v>16739</v>
      </c>
      <c r="B3632" t="s">
        <v>22</v>
      </c>
      <c r="C3632" t="s">
        <v>16740</v>
      </c>
      <c r="D3632">
        <f t="shared" si="92"/>
        <v>-20309711</v>
      </c>
      <c r="E3632" t="s">
        <v>16654</v>
      </c>
      <c r="F3632" t="s">
        <v>16655</v>
      </c>
      <c r="G3632" t="s">
        <v>16656</v>
      </c>
      <c r="H3632">
        <v>100.618331</v>
      </c>
      <c r="I3632">
        <v>13.811401999999999</v>
      </c>
      <c r="J3632">
        <v>205</v>
      </c>
      <c r="K3632" t="s">
        <v>27</v>
      </c>
      <c r="L3632" t="s">
        <v>27</v>
      </c>
      <c r="M3632" t="s">
        <v>27</v>
      </c>
      <c r="N3632" t="s">
        <v>27</v>
      </c>
      <c r="O3632" t="s">
        <v>27</v>
      </c>
      <c r="P3632" t="s">
        <v>27</v>
      </c>
      <c r="Q3632" t="s">
        <v>27</v>
      </c>
      <c r="R3632" t="s">
        <v>16740</v>
      </c>
      <c r="S3632" t="s">
        <v>16741</v>
      </c>
      <c r="U3632" t="s">
        <v>16742</v>
      </c>
    </row>
    <row r="3633" spans="1:21" x14ac:dyDescent="0.25">
      <c r="A3633" t="s">
        <v>16743</v>
      </c>
      <c r="B3633" t="s">
        <v>22</v>
      </c>
      <c r="C3633" t="s">
        <v>16744</v>
      </c>
      <c r="D3633">
        <f>66-42119207</f>
        <v>-42119141</v>
      </c>
      <c r="E3633" t="s">
        <v>16745</v>
      </c>
      <c r="F3633" t="s">
        <v>16655</v>
      </c>
      <c r="G3633" t="s">
        <v>16656</v>
      </c>
      <c r="H3633">
        <v>102.80024659999999</v>
      </c>
      <c r="I3633">
        <v>17.405719900000001</v>
      </c>
      <c r="J3633">
        <v>205</v>
      </c>
      <c r="K3633" t="s">
        <v>27</v>
      </c>
      <c r="L3633" t="s">
        <v>27</v>
      </c>
      <c r="M3633" t="s">
        <v>27</v>
      </c>
      <c r="N3633" t="s">
        <v>27</v>
      </c>
      <c r="O3633" t="s">
        <v>27</v>
      </c>
      <c r="P3633" t="s">
        <v>27</v>
      </c>
      <c r="Q3633" t="s">
        <v>27</v>
      </c>
      <c r="R3633" t="s">
        <v>16744</v>
      </c>
      <c r="S3633" t="s">
        <v>16746</v>
      </c>
      <c r="U3633" t="s">
        <v>16747</v>
      </c>
    </row>
    <row r="3634" spans="1:21" x14ac:dyDescent="0.25">
      <c r="A3634" t="s">
        <v>16748</v>
      </c>
      <c r="B3634" t="s">
        <v>22</v>
      </c>
      <c r="C3634" t="s">
        <v>16749</v>
      </c>
      <c r="D3634">
        <f>66-21171085</f>
        <v>-21171019</v>
      </c>
      <c r="E3634" t="s">
        <v>16654</v>
      </c>
      <c r="F3634" t="s">
        <v>16655</v>
      </c>
      <c r="G3634" t="s">
        <v>16656</v>
      </c>
      <c r="H3634">
        <v>100.5103409</v>
      </c>
      <c r="I3634">
        <v>13.7269939</v>
      </c>
      <c r="J3634">
        <v>205</v>
      </c>
      <c r="K3634" t="s">
        <v>27</v>
      </c>
      <c r="L3634" t="s">
        <v>27</v>
      </c>
      <c r="M3634" t="s">
        <v>27</v>
      </c>
      <c r="N3634" t="s">
        <v>27</v>
      </c>
      <c r="O3634" t="s">
        <v>27</v>
      </c>
      <c r="P3634" t="s">
        <v>27</v>
      </c>
      <c r="Q3634" t="s">
        <v>27</v>
      </c>
      <c r="R3634" t="s">
        <v>16749</v>
      </c>
      <c r="S3634" t="s">
        <v>16750</v>
      </c>
      <c r="U3634" t="s">
        <v>16751</v>
      </c>
    </row>
    <row r="3635" spans="1:21" x14ac:dyDescent="0.25">
      <c r="A3635" t="s">
        <v>16752</v>
      </c>
      <c r="B3635" t="s">
        <v>22</v>
      </c>
      <c r="C3635" t="s">
        <v>16753</v>
      </c>
      <c r="D3635">
        <f>66-20309777</f>
        <v>-20309711</v>
      </c>
      <c r="E3635" t="s">
        <v>16654</v>
      </c>
      <c r="F3635" t="s">
        <v>16655</v>
      </c>
      <c r="G3635" t="s">
        <v>16656</v>
      </c>
      <c r="H3635">
        <v>100.527699</v>
      </c>
      <c r="I3635">
        <v>13.904199999999999</v>
      </c>
      <c r="J3635">
        <v>205</v>
      </c>
      <c r="K3635" t="s">
        <v>27</v>
      </c>
      <c r="L3635" t="s">
        <v>27</v>
      </c>
      <c r="M3635" t="s">
        <v>27</v>
      </c>
      <c r="N3635" t="s">
        <v>27</v>
      </c>
      <c r="O3635" t="s">
        <v>27</v>
      </c>
      <c r="P3635" t="s">
        <v>27</v>
      </c>
      <c r="Q3635" t="s">
        <v>27</v>
      </c>
      <c r="R3635" t="s">
        <v>16753</v>
      </c>
      <c r="S3635" t="s">
        <v>16754</v>
      </c>
      <c r="U3635" t="s">
        <v>16755</v>
      </c>
    </row>
    <row r="3636" spans="1:21" x14ac:dyDescent="0.25">
      <c r="A3636" t="s">
        <v>16756</v>
      </c>
      <c r="B3636" t="s">
        <v>22</v>
      </c>
      <c r="C3636" t="s">
        <v>16757</v>
      </c>
      <c r="D3636">
        <f>66-20309777</f>
        <v>-20309711</v>
      </c>
      <c r="E3636" t="s">
        <v>16758</v>
      </c>
      <c r="F3636" t="s">
        <v>16655</v>
      </c>
      <c r="G3636" t="s">
        <v>16656</v>
      </c>
      <c r="H3636">
        <v>98.967269000000002</v>
      </c>
      <c r="I3636">
        <v>18.802444999999999</v>
      </c>
      <c r="J3636">
        <v>205</v>
      </c>
      <c r="K3636" t="s">
        <v>27</v>
      </c>
      <c r="L3636" t="s">
        <v>27</v>
      </c>
      <c r="M3636" t="s">
        <v>27</v>
      </c>
      <c r="N3636" t="s">
        <v>27</v>
      </c>
      <c r="O3636" t="s">
        <v>27</v>
      </c>
      <c r="P3636" t="s">
        <v>27</v>
      </c>
      <c r="Q3636" t="s">
        <v>27</v>
      </c>
      <c r="R3636" t="s">
        <v>16757</v>
      </c>
      <c r="S3636" t="s">
        <v>16759</v>
      </c>
      <c r="U3636" t="s">
        <v>16760</v>
      </c>
    </row>
    <row r="3637" spans="1:21" x14ac:dyDescent="0.25">
      <c r="A3637" t="s">
        <v>16761</v>
      </c>
      <c r="B3637" t="s">
        <v>22</v>
      </c>
      <c r="C3637" t="s">
        <v>16762</v>
      </c>
      <c r="D3637">
        <f>66-33252006</f>
        <v>-33251940</v>
      </c>
      <c r="E3637" t="s">
        <v>16693</v>
      </c>
      <c r="F3637" t="s">
        <v>16655</v>
      </c>
      <c r="G3637" t="s">
        <v>16656</v>
      </c>
      <c r="H3637">
        <v>100.88877410000001</v>
      </c>
      <c r="I3637">
        <v>12.9503238</v>
      </c>
      <c r="J3637">
        <v>205</v>
      </c>
      <c r="K3637" t="s">
        <v>27</v>
      </c>
      <c r="L3637" t="s">
        <v>27</v>
      </c>
      <c r="M3637" t="s">
        <v>27</v>
      </c>
      <c r="N3637" t="s">
        <v>27</v>
      </c>
      <c r="O3637" t="s">
        <v>27</v>
      </c>
      <c r="P3637" t="s">
        <v>27</v>
      </c>
      <c r="Q3637" t="s">
        <v>27</v>
      </c>
      <c r="R3637" t="s">
        <v>16762</v>
      </c>
      <c r="S3637" t="s">
        <v>16763</v>
      </c>
      <c r="U3637" t="s">
        <v>16764</v>
      </c>
    </row>
    <row r="3638" spans="1:21" x14ac:dyDescent="0.25">
      <c r="A3638" t="s">
        <v>16765</v>
      </c>
      <c r="B3638" t="s">
        <v>22</v>
      </c>
      <c r="C3638" t="s">
        <v>16766</v>
      </c>
      <c r="D3638">
        <f>66-20797356</f>
        <v>-20797290</v>
      </c>
      <c r="E3638" t="s">
        <v>16654</v>
      </c>
      <c r="F3638" t="s">
        <v>16655</v>
      </c>
      <c r="G3638" t="s">
        <v>16656</v>
      </c>
      <c r="H3638">
        <v>100.523781</v>
      </c>
      <c r="I3638">
        <v>13.805795</v>
      </c>
      <c r="J3638">
        <v>205</v>
      </c>
      <c r="K3638" t="s">
        <v>27</v>
      </c>
      <c r="L3638" t="s">
        <v>27</v>
      </c>
      <c r="M3638" t="s">
        <v>27</v>
      </c>
      <c r="N3638" t="s">
        <v>27</v>
      </c>
      <c r="O3638" t="s">
        <v>27</v>
      </c>
      <c r="P3638" t="s">
        <v>27</v>
      </c>
      <c r="Q3638" t="s">
        <v>27</v>
      </c>
      <c r="R3638" t="s">
        <v>16766</v>
      </c>
      <c r="S3638" t="s">
        <v>16767</v>
      </c>
      <c r="U3638" t="s">
        <v>16768</v>
      </c>
    </row>
    <row r="3639" spans="1:21" x14ac:dyDescent="0.25">
      <c r="A3639" t="s">
        <v>16769</v>
      </c>
      <c r="B3639" t="s">
        <v>22</v>
      </c>
      <c r="C3639" t="s">
        <v>16770</v>
      </c>
      <c r="E3639" t="s">
        <v>16771</v>
      </c>
      <c r="F3639" t="s">
        <v>16655</v>
      </c>
      <c r="G3639" t="s">
        <v>16656</v>
      </c>
      <c r="H3639">
        <v>102.825581</v>
      </c>
      <c r="I3639">
        <v>16.432901000000001</v>
      </c>
      <c r="J3639">
        <v>205</v>
      </c>
      <c r="K3639" t="s">
        <v>27</v>
      </c>
      <c r="L3639" t="s">
        <v>27</v>
      </c>
      <c r="M3639" t="s">
        <v>27</v>
      </c>
      <c r="N3639" t="s">
        <v>27</v>
      </c>
      <c r="O3639" t="s">
        <v>27</v>
      </c>
      <c r="P3639" t="s">
        <v>27</v>
      </c>
      <c r="Q3639" t="s">
        <v>27</v>
      </c>
      <c r="R3639" t="s">
        <v>16770</v>
      </c>
      <c r="S3639" t="s">
        <v>16772</v>
      </c>
      <c r="U3639" t="s">
        <v>16773</v>
      </c>
    </row>
    <row r="3640" spans="1:21" x14ac:dyDescent="0.25">
      <c r="A3640" t="s">
        <v>16774</v>
      </c>
      <c r="B3640" t="s">
        <v>22</v>
      </c>
      <c r="C3640" t="s">
        <v>16775</v>
      </c>
      <c r="D3640">
        <f>66-20309777</f>
        <v>-20309711</v>
      </c>
      <c r="E3640" t="s">
        <v>16654</v>
      </c>
      <c r="F3640" t="s">
        <v>16655</v>
      </c>
      <c r="G3640" t="s">
        <v>16656</v>
      </c>
      <c r="H3640">
        <v>100.566081</v>
      </c>
      <c r="I3640">
        <v>13.758407</v>
      </c>
      <c r="J3640">
        <v>205</v>
      </c>
      <c r="K3640" t="s">
        <v>27</v>
      </c>
      <c r="L3640" t="s">
        <v>27</v>
      </c>
      <c r="M3640" t="s">
        <v>27</v>
      </c>
      <c r="N3640" t="s">
        <v>27</v>
      </c>
      <c r="O3640" t="s">
        <v>27</v>
      </c>
      <c r="P3640" t="s">
        <v>27</v>
      </c>
      <c r="Q3640" t="s">
        <v>27</v>
      </c>
      <c r="R3640" t="s">
        <v>16775</v>
      </c>
      <c r="S3640" t="s">
        <v>16776</v>
      </c>
      <c r="U3640" t="s">
        <v>16777</v>
      </c>
    </row>
    <row r="3641" spans="1:21" x14ac:dyDescent="0.25">
      <c r="A3641" t="s">
        <v>16778</v>
      </c>
      <c r="B3641" t="s">
        <v>38</v>
      </c>
      <c r="C3641" t="s">
        <v>16779</v>
      </c>
      <c r="E3641" t="s">
        <v>16780</v>
      </c>
      <c r="F3641" t="s">
        <v>16655</v>
      </c>
      <c r="G3641" t="s">
        <v>16656</v>
      </c>
      <c r="H3641">
        <v>100.969725</v>
      </c>
      <c r="I3641">
        <v>13.336532999999999</v>
      </c>
      <c r="J3641">
        <v>205</v>
      </c>
      <c r="K3641" t="s">
        <v>27</v>
      </c>
      <c r="L3641" t="s">
        <v>27</v>
      </c>
      <c r="M3641" t="s">
        <v>27</v>
      </c>
      <c r="N3641" t="s">
        <v>27</v>
      </c>
      <c r="O3641" t="s">
        <v>27</v>
      </c>
      <c r="P3641" t="s">
        <v>27</v>
      </c>
      <c r="Q3641" t="s">
        <v>27</v>
      </c>
      <c r="R3641" t="s">
        <v>16781</v>
      </c>
      <c r="S3641" t="s">
        <v>16782</v>
      </c>
      <c r="U3641" t="s">
        <v>16783</v>
      </c>
    </row>
    <row r="3642" spans="1:21" x14ac:dyDescent="0.25">
      <c r="A3642" t="s">
        <v>16784</v>
      </c>
      <c r="B3642" t="s">
        <v>22</v>
      </c>
      <c r="C3642" t="s">
        <v>16785</v>
      </c>
      <c r="D3642">
        <f>66-20029835</f>
        <v>-20029769</v>
      </c>
      <c r="E3642" t="s">
        <v>16654</v>
      </c>
      <c r="F3642" t="s">
        <v>16655</v>
      </c>
      <c r="G3642" t="s">
        <v>16656</v>
      </c>
      <c r="H3642">
        <v>100.56115</v>
      </c>
      <c r="I3642">
        <v>13.816445</v>
      </c>
      <c r="J3642">
        <v>205</v>
      </c>
      <c r="K3642" t="s">
        <v>27</v>
      </c>
      <c r="L3642" t="s">
        <v>27</v>
      </c>
      <c r="M3642" t="s">
        <v>27</v>
      </c>
      <c r="N3642" t="s">
        <v>27</v>
      </c>
      <c r="O3642" t="s">
        <v>27</v>
      </c>
      <c r="P3642" t="s">
        <v>27</v>
      </c>
      <c r="Q3642" t="s">
        <v>27</v>
      </c>
      <c r="R3642" t="s">
        <v>16785</v>
      </c>
      <c r="S3642" t="s">
        <v>16786</v>
      </c>
      <c r="U3642" t="s">
        <v>16787</v>
      </c>
    </row>
    <row r="3643" spans="1:21" x14ac:dyDescent="0.25">
      <c r="A3643" t="s">
        <v>16788</v>
      </c>
      <c r="B3643" t="s">
        <v>38</v>
      </c>
      <c r="C3643" t="s">
        <v>16789</v>
      </c>
      <c r="D3643">
        <f>66-20730467</f>
        <v>-20730401</v>
      </c>
      <c r="E3643" t="s">
        <v>16790</v>
      </c>
      <c r="F3643" t="s">
        <v>16655</v>
      </c>
      <c r="G3643" t="s">
        <v>16656</v>
      </c>
      <c r="H3643">
        <v>100.609167</v>
      </c>
      <c r="I3643">
        <v>13.584417</v>
      </c>
      <c r="J3643">
        <v>205</v>
      </c>
      <c r="K3643" t="s">
        <v>27</v>
      </c>
      <c r="L3643" t="s">
        <v>27</v>
      </c>
      <c r="M3643" t="s">
        <v>27</v>
      </c>
      <c r="N3643" t="s">
        <v>27</v>
      </c>
      <c r="O3643" t="s">
        <v>27</v>
      </c>
      <c r="P3643" t="s">
        <v>27</v>
      </c>
      <c r="Q3643" t="s">
        <v>27</v>
      </c>
      <c r="R3643" t="s">
        <v>16789</v>
      </c>
      <c r="S3643" t="s">
        <v>16791</v>
      </c>
      <c r="U3643" t="s">
        <v>16792</v>
      </c>
    </row>
    <row r="3644" spans="1:21" x14ac:dyDescent="0.25">
      <c r="A3644" t="s">
        <v>16793</v>
      </c>
      <c r="B3644" t="s">
        <v>38</v>
      </c>
      <c r="C3644" t="s">
        <v>16794</v>
      </c>
      <c r="E3644" t="s">
        <v>16795</v>
      </c>
      <c r="F3644" t="s">
        <v>16655</v>
      </c>
      <c r="G3644" t="s">
        <v>16656</v>
      </c>
      <c r="H3644">
        <v>100.5421</v>
      </c>
      <c r="I3644">
        <v>13.8551296</v>
      </c>
      <c r="J3644">
        <v>205</v>
      </c>
      <c r="K3644" t="s">
        <v>27</v>
      </c>
      <c r="L3644" t="s">
        <v>27</v>
      </c>
      <c r="M3644" t="s">
        <v>27</v>
      </c>
      <c r="N3644" t="s">
        <v>27</v>
      </c>
      <c r="O3644" t="s">
        <v>27</v>
      </c>
      <c r="P3644" t="s">
        <v>27</v>
      </c>
      <c r="Q3644" t="s">
        <v>27</v>
      </c>
      <c r="R3644" t="s">
        <v>16794</v>
      </c>
      <c r="S3644" t="s">
        <v>16796</v>
      </c>
      <c r="U3644" t="s">
        <v>16797</v>
      </c>
    </row>
    <row r="3645" spans="1:21" x14ac:dyDescent="0.25">
      <c r="A3645" t="s">
        <v>16798</v>
      </c>
      <c r="B3645" t="s">
        <v>32</v>
      </c>
      <c r="C3645" t="s">
        <v>16799</v>
      </c>
      <c r="E3645" t="s">
        <v>16654</v>
      </c>
      <c r="F3645" t="s">
        <v>16655</v>
      </c>
      <c r="G3645" t="s">
        <v>16656</v>
      </c>
      <c r="H3645">
        <v>100.5372</v>
      </c>
      <c r="I3645">
        <v>13.7415</v>
      </c>
      <c r="J3645">
        <v>205</v>
      </c>
      <c r="K3645" t="s">
        <v>27</v>
      </c>
      <c r="L3645" t="s">
        <v>27</v>
      </c>
      <c r="M3645" t="s">
        <v>27</v>
      </c>
      <c r="N3645" t="s">
        <v>27</v>
      </c>
      <c r="O3645" t="s">
        <v>27</v>
      </c>
      <c r="P3645" t="s">
        <v>27</v>
      </c>
      <c r="Q3645" t="s">
        <v>27</v>
      </c>
      <c r="R3645" t="s">
        <v>16799</v>
      </c>
      <c r="S3645" t="s">
        <v>16800</v>
      </c>
      <c r="U3645" t="s">
        <v>16801</v>
      </c>
    </row>
    <row r="3646" spans="1:21" x14ac:dyDescent="0.25">
      <c r="A3646" t="s">
        <v>16802</v>
      </c>
      <c r="B3646" t="s">
        <v>22</v>
      </c>
      <c r="C3646" t="s">
        <v>16803</v>
      </c>
      <c r="E3646" t="s">
        <v>16804</v>
      </c>
      <c r="F3646" t="s">
        <v>16805</v>
      </c>
      <c r="G3646" t="s">
        <v>16806</v>
      </c>
      <c r="H3646">
        <v>10.2560635262204</v>
      </c>
      <c r="I3646">
        <v>36.725939060376902</v>
      </c>
      <c r="J3646">
        <v>113</v>
      </c>
      <c r="K3646" t="s">
        <v>27</v>
      </c>
      <c r="L3646" t="s">
        <v>27</v>
      </c>
      <c r="M3646" t="s">
        <v>27</v>
      </c>
      <c r="N3646" t="s">
        <v>27</v>
      </c>
      <c r="O3646" t="s">
        <v>27</v>
      </c>
      <c r="P3646" t="s">
        <v>34</v>
      </c>
      <c r="Q3646" t="s">
        <v>27</v>
      </c>
      <c r="R3646" t="s">
        <v>16803</v>
      </c>
      <c r="S3646" t="s">
        <v>16807</v>
      </c>
      <c r="U3646" t="s">
        <v>16808</v>
      </c>
    </row>
    <row r="3647" spans="1:21" x14ac:dyDescent="0.25">
      <c r="A3647" t="s">
        <v>16809</v>
      </c>
      <c r="B3647" t="s">
        <v>22</v>
      </c>
      <c r="C3647" t="s">
        <v>16810</v>
      </c>
      <c r="D3647">
        <f>216-31302402</f>
        <v>-31302186</v>
      </c>
      <c r="E3647" t="s">
        <v>16804</v>
      </c>
      <c r="F3647" t="s">
        <v>16805</v>
      </c>
      <c r="G3647" t="s">
        <v>16806</v>
      </c>
      <c r="H3647">
        <v>10.1237074641255</v>
      </c>
      <c r="I3647">
        <v>36.900332079428502</v>
      </c>
      <c r="J3647">
        <v>113</v>
      </c>
      <c r="K3647" t="s">
        <v>536</v>
      </c>
      <c r="L3647" t="s">
        <v>536</v>
      </c>
      <c r="M3647" t="s">
        <v>536</v>
      </c>
      <c r="N3647" t="s">
        <v>536</v>
      </c>
      <c r="O3647" t="s">
        <v>536</v>
      </c>
      <c r="P3647" t="s">
        <v>27</v>
      </c>
      <c r="Q3647" t="s">
        <v>536</v>
      </c>
      <c r="R3647" t="s">
        <v>16810</v>
      </c>
      <c r="S3647" t="s">
        <v>16811</v>
      </c>
      <c r="U3647" t="s">
        <v>16812</v>
      </c>
    </row>
    <row r="3648" spans="1:21" x14ac:dyDescent="0.25">
      <c r="A3648" t="s">
        <v>16813</v>
      </c>
      <c r="B3648" t="s">
        <v>22</v>
      </c>
      <c r="C3648" t="s">
        <v>16814</v>
      </c>
      <c r="D3648">
        <f>90-2126409470</f>
        <v>-2126409380</v>
      </c>
      <c r="E3648" t="s">
        <v>16815</v>
      </c>
      <c r="F3648" t="s">
        <v>16816</v>
      </c>
      <c r="G3648" t="s">
        <v>16817</v>
      </c>
      <c r="H3648">
        <v>28.897221999999999</v>
      </c>
      <c r="I3648">
        <v>41.045319999999997</v>
      </c>
      <c r="J3648">
        <v>130</v>
      </c>
      <c r="K3648" t="s">
        <v>27</v>
      </c>
      <c r="L3648" t="s">
        <v>27</v>
      </c>
      <c r="M3648" t="s">
        <v>27</v>
      </c>
      <c r="N3648" t="s">
        <v>27</v>
      </c>
      <c r="O3648" t="s">
        <v>27</v>
      </c>
      <c r="P3648" t="s">
        <v>27</v>
      </c>
      <c r="Q3648" t="s">
        <v>27</v>
      </c>
      <c r="R3648" t="s">
        <v>16818</v>
      </c>
      <c r="T3648" t="s">
        <v>16819</v>
      </c>
      <c r="U3648" t="s">
        <v>16820</v>
      </c>
    </row>
    <row r="3649" spans="1:21" x14ac:dyDescent="0.25">
      <c r="A3649" t="s">
        <v>16821</v>
      </c>
      <c r="B3649" t="s">
        <v>32</v>
      </c>
      <c r="C3649" t="s">
        <v>16822</v>
      </c>
      <c r="D3649">
        <f>90-2123456829</f>
        <v>-2123456739</v>
      </c>
      <c r="E3649" t="s">
        <v>16815</v>
      </c>
      <c r="F3649" t="s">
        <v>16816</v>
      </c>
      <c r="G3649" t="s">
        <v>16817</v>
      </c>
      <c r="H3649">
        <v>29.032734632492001</v>
      </c>
      <c r="I3649">
        <v>41.109873991205397</v>
      </c>
      <c r="J3649">
        <v>130</v>
      </c>
      <c r="K3649" t="s">
        <v>27</v>
      </c>
      <c r="L3649" t="s">
        <v>27</v>
      </c>
      <c r="M3649" t="s">
        <v>27</v>
      </c>
      <c r="N3649" t="s">
        <v>27</v>
      </c>
      <c r="O3649" t="s">
        <v>27</v>
      </c>
      <c r="P3649" t="s">
        <v>27</v>
      </c>
      <c r="Q3649" t="s">
        <v>27</v>
      </c>
      <c r="R3649" t="s">
        <v>16823</v>
      </c>
      <c r="T3649" t="s">
        <v>16819</v>
      </c>
      <c r="U3649" t="s">
        <v>16824</v>
      </c>
    </row>
    <row r="3650" spans="1:21" x14ac:dyDescent="0.25">
      <c r="A3650" t="s">
        <v>16825</v>
      </c>
      <c r="B3650" t="s">
        <v>22</v>
      </c>
      <c r="C3650" t="s">
        <v>16826</v>
      </c>
      <c r="D3650">
        <f>90-2125429018</f>
        <v>-2125428928</v>
      </c>
      <c r="E3650" t="s">
        <v>16815</v>
      </c>
      <c r="F3650" t="s">
        <v>16816</v>
      </c>
      <c r="G3650" t="s">
        <v>16817</v>
      </c>
      <c r="H3650">
        <v>28.886253833770699</v>
      </c>
      <c r="I3650">
        <v>40.996888892498497</v>
      </c>
      <c r="J3650">
        <v>130</v>
      </c>
      <c r="K3650" t="s">
        <v>27</v>
      </c>
      <c r="L3650" t="s">
        <v>27</v>
      </c>
      <c r="M3650" t="s">
        <v>27</v>
      </c>
      <c r="N3650" t="s">
        <v>27</v>
      </c>
      <c r="O3650" t="s">
        <v>27</v>
      </c>
      <c r="P3650" t="s">
        <v>27</v>
      </c>
      <c r="Q3650" t="s">
        <v>27</v>
      </c>
      <c r="R3650" t="s">
        <v>16827</v>
      </c>
      <c r="T3650" t="s">
        <v>16819</v>
      </c>
      <c r="U3650" t="s">
        <v>16828</v>
      </c>
    </row>
    <row r="3651" spans="1:21" x14ac:dyDescent="0.25">
      <c r="A3651" t="s">
        <v>16829</v>
      </c>
      <c r="B3651" t="s">
        <v>38</v>
      </c>
      <c r="C3651" t="s">
        <v>16830</v>
      </c>
      <c r="D3651">
        <f>90-2124501297</f>
        <v>-2124501207</v>
      </c>
      <c r="E3651" t="s">
        <v>16815</v>
      </c>
      <c r="F3651" t="s">
        <v>16816</v>
      </c>
      <c r="G3651" t="s">
        <v>16817</v>
      </c>
      <c r="H3651">
        <v>28.6879849433898</v>
      </c>
      <c r="I3651">
        <v>41.003933373707802</v>
      </c>
      <c r="J3651">
        <v>130</v>
      </c>
      <c r="K3651" t="s">
        <v>27</v>
      </c>
      <c r="L3651" t="s">
        <v>27</v>
      </c>
      <c r="M3651" t="s">
        <v>27</v>
      </c>
      <c r="N3651" t="s">
        <v>27</v>
      </c>
      <c r="O3651" t="s">
        <v>77</v>
      </c>
      <c r="P3651" t="s">
        <v>77</v>
      </c>
      <c r="Q3651" t="s">
        <v>27</v>
      </c>
      <c r="R3651" t="s">
        <v>16831</v>
      </c>
      <c r="T3651" t="s">
        <v>16819</v>
      </c>
      <c r="U3651" t="s">
        <v>16832</v>
      </c>
    </row>
    <row r="3652" spans="1:21" x14ac:dyDescent="0.25">
      <c r="A3652" t="s">
        <v>16833</v>
      </c>
      <c r="B3652" t="s">
        <v>22</v>
      </c>
      <c r="C3652" t="s">
        <v>16834</v>
      </c>
      <c r="D3652">
        <f>90-2123977240</f>
        <v>-2123977150</v>
      </c>
      <c r="E3652" t="s">
        <v>16815</v>
      </c>
      <c r="F3652" t="s">
        <v>16816</v>
      </c>
      <c r="G3652" t="s">
        <v>16817</v>
      </c>
      <c r="H3652">
        <v>28.668093681335399</v>
      </c>
      <c r="I3652">
        <v>41.056637809044403</v>
      </c>
      <c r="J3652">
        <v>130</v>
      </c>
      <c r="K3652" t="s">
        <v>27</v>
      </c>
      <c r="L3652" t="s">
        <v>27</v>
      </c>
      <c r="M3652" t="s">
        <v>27</v>
      </c>
      <c r="N3652" t="s">
        <v>27</v>
      </c>
      <c r="O3652" t="s">
        <v>27</v>
      </c>
      <c r="P3652" t="s">
        <v>27</v>
      </c>
      <c r="Q3652" t="s">
        <v>27</v>
      </c>
      <c r="R3652" t="s">
        <v>16835</v>
      </c>
      <c r="T3652" t="s">
        <v>16819</v>
      </c>
      <c r="U3652" t="s">
        <v>16836</v>
      </c>
    </row>
    <row r="3653" spans="1:21" x14ac:dyDescent="0.25">
      <c r="A3653" t="s">
        <v>16837</v>
      </c>
      <c r="B3653" t="s">
        <v>22</v>
      </c>
      <c r="C3653" t="s">
        <v>16838</v>
      </c>
      <c r="D3653">
        <f>90-3122194263</f>
        <v>-3122194173</v>
      </c>
      <c r="E3653" t="s">
        <v>16839</v>
      </c>
      <c r="F3653" t="s">
        <v>16816</v>
      </c>
      <c r="G3653" t="s">
        <v>16817</v>
      </c>
      <c r="H3653">
        <v>32.778517871025002</v>
      </c>
      <c r="I3653">
        <v>39.908593425610903</v>
      </c>
      <c r="J3653">
        <v>130</v>
      </c>
      <c r="K3653" t="s">
        <v>27</v>
      </c>
      <c r="L3653" t="s">
        <v>27</v>
      </c>
      <c r="M3653" t="s">
        <v>27</v>
      </c>
      <c r="N3653" t="s">
        <v>27</v>
      </c>
      <c r="O3653" t="s">
        <v>27</v>
      </c>
      <c r="P3653" t="s">
        <v>27</v>
      </c>
      <c r="Q3653" t="s">
        <v>27</v>
      </c>
      <c r="R3653" t="s">
        <v>16840</v>
      </c>
      <c r="T3653" t="s">
        <v>16841</v>
      </c>
      <c r="U3653" t="s">
        <v>16842</v>
      </c>
    </row>
    <row r="3654" spans="1:21" x14ac:dyDescent="0.25">
      <c r="A3654" t="s">
        <v>16843</v>
      </c>
      <c r="B3654" t="s">
        <v>22</v>
      </c>
      <c r="C3654" t="s">
        <v>16844</v>
      </c>
      <c r="D3654">
        <f>90-3122367653</f>
        <v>-3122367563</v>
      </c>
      <c r="E3654" t="s">
        <v>16839</v>
      </c>
      <c r="F3654" t="s">
        <v>16816</v>
      </c>
      <c r="G3654" t="s">
        <v>16817</v>
      </c>
      <c r="H3654">
        <v>32.691321372985797</v>
      </c>
      <c r="I3654">
        <v>39.900584286306497</v>
      </c>
      <c r="J3654">
        <v>130</v>
      </c>
      <c r="K3654" t="s">
        <v>27</v>
      </c>
      <c r="L3654" t="s">
        <v>27</v>
      </c>
      <c r="M3654" t="s">
        <v>27</v>
      </c>
      <c r="N3654" t="s">
        <v>27</v>
      </c>
      <c r="O3654" t="s">
        <v>27</v>
      </c>
      <c r="P3654" t="s">
        <v>27</v>
      </c>
      <c r="Q3654" t="s">
        <v>27</v>
      </c>
      <c r="R3654" t="s">
        <v>16845</v>
      </c>
      <c r="T3654" t="s">
        <v>16841</v>
      </c>
      <c r="U3654" t="s">
        <v>16846</v>
      </c>
    </row>
    <row r="3655" spans="1:21" x14ac:dyDescent="0.25">
      <c r="A3655" t="s">
        <v>16847</v>
      </c>
      <c r="B3655" t="s">
        <v>22</v>
      </c>
      <c r="C3655" t="s">
        <v>16848</v>
      </c>
      <c r="D3655">
        <f>90-2128543389</f>
        <v>-2128543299</v>
      </c>
      <c r="E3655" t="s">
        <v>16815</v>
      </c>
      <c r="F3655" t="s">
        <v>16816</v>
      </c>
      <c r="G3655" t="s">
        <v>16817</v>
      </c>
      <c r="H3655">
        <v>28.660068511962798</v>
      </c>
      <c r="I3655">
        <v>41.009082655992998</v>
      </c>
      <c r="J3655">
        <v>130</v>
      </c>
      <c r="K3655" t="s">
        <v>27</v>
      </c>
      <c r="L3655" t="s">
        <v>27</v>
      </c>
      <c r="M3655" t="s">
        <v>27</v>
      </c>
      <c r="N3655" t="s">
        <v>27</v>
      </c>
      <c r="O3655" t="s">
        <v>27</v>
      </c>
      <c r="P3655" t="s">
        <v>27</v>
      </c>
      <c r="Q3655" t="s">
        <v>27</v>
      </c>
      <c r="R3655" t="s">
        <v>16849</v>
      </c>
      <c r="T3655" t="s">
        <v>16819</v>
      </c>
      <c r="U3655" t="s">
        <v>16850</v>
      </c>
    </row>
    <row r="3656" spans="1:21" x14ac:dyDescent="0.25">
      <c r="A3656" t="s">
        <v>16851</v>
      </c>
      <c r="B3656" t="s">
        <v>22</v>
      </c>
      <c r="C3656" t="s">
        <v>16852</v>
      </c>
      <c r="D3656">
        <f>90-3122190250</f>
        <v>-3122190160</v>
      </c>
      <c r="E3656" t="s">
        <v>16839</v>
      </c>
      <c r="F3656" t="s">
        <v>16816</v>
      </c>
      <c r="G3656" t="s">
        <v>16817</v>
      </c>
      <c r="H3656">
        <v>32.810175418853703</v>
      </c>
      <c r="I3656">
        <v>39.912879877075703</v>
      </c>
      <c r="J3656">
        <v>130</v>
      </c>
      <c r="K3656" t="s">
        <v>27</v>
      </c>
      <c r="L3656" t="s">
        <v>27</v>
      </c>
      <c r="M3656" t="s">
        <v>27</v>
      </c>
      <c r="N3656" t="s">
        <v>27</v>
      </c>
      <c r="O3656" t="s">
        <v>27</v>
      </c>
      <c r="P3656" t="s">
        <v>27</v>
      </c>
      <c r="Q3656" t="s">
        <v>27</v>
      </c>
      <c r="R3656" t="s">
        <v>16853</v>
      </c>
      <c r="T3656" t="s">
        <v>16841</v>
      </c>
      <c r="U3656" t="s">
        <v>16854</v>
      </c>
    </row>
    <row r="3657" spans="1:21" x14ac:dyDescent="0.25">
      <c r="A3657" t="s">
        <v>16855</v>
      </c>
      <c r="B3657" t="s">
        <v>22</v>
      </c>
      <c r="C3657" t="s">
        <v>16856</v>
      </c>
      <c r="D3657">
        <f>90-3423381090</f>
        <v>-3423381000</v>
      </c>
      <c r="E3657" t="s">
        <v>16857</v>
      </c>
      <c r="F3657" t="s">
        <v>16816</v>
      </c>
      <c r="G3657" t="s">
        <v>16817</v>
      </c>
      <c r="H3657">
        <v>37.363686561584402</v>
      </c>
      <c r="I3657">
        <v>37.062814211358102</v>
      </c>
      <c r="J3657">
        <v>115</v>
      </c>
      <c r="K3657" t="s">
        <v>27</v>
      </c>
      <c r="L3657" t="s">
        <v>27</v>
      </c>
      <c r="M3657" t="s">
        <v>27</v>
      </c>
      <c r="N3657" t="s">
        <v>27</v>
      </c>
      <c r="O3657" t="s">
        <v>27</v>
      </c>
      <c r="P3657" t="s">
        <v>27</v>
      </c>
      <c r="Q3657" t="s">
        <v>27</v>
      </c>
      <c r="R3657" t="s">
        <v>16858</v>
      </c>
      <c r="T3657" t="s">
        <v>16859</v>
      </c>
      <c r="U3657" t="s">
        <v>16860</v>
      </c>
    </row>
    <row r="3658" spans="1:21" x14ac:dyDescent="0.25">
      <c r="A3658" t="s">
        <v>16861</v>
      </c>
      <c r="B3658" t="s">
        <v>22</v>
      </c>
      <c r="C3658" t="s">
        <v>16862</v>
      </c>
      <c r="D3658">
        <f>90-2122457246</f>
        <v>-2122457156</v>
      </c>
      <c r="E3658" t="s">
        <v>16815</v>
      </c>
      <c r="F3658" t="s">
        <v>16816</v>
      </c>
      <c r="G3658" t="s">
        <v>16817</v>
      </c>
      <c r="H3658">
        <v>28.981305956840501</v>
      </c>
      <c r="I3658">
        <v>41.035005120936397</v>
      </c>
      <c r="J3658">
        <v>130</v>
      </c>
      <c r="K3658" t="s">
        <v>27</v>
      </c>
      <c r="L3658" t="s">
        <v>27</v>
      </c>
      <c r="M3658" t="s">
        <v>27</v>
      </c>
      <c r="N3658" t="s">
        <v>27</v>
      </c>
      <c r="O3658" t="s">
        <v>27</v>
      </c>
      <c r="P3658" t="s">
        <v>27</v>
      </c>
      <c r="Q3658" t="s">
        <v>27</v>
      </c>
      <c r="R3658" t="s">
        <v>16863</v>
      </c>
      <c r="T3658" t="s">
        <v>16819</v>
      </c>
      <c r="U3658" t="s">
        <v>16864</v>
      </c>
    </row>
    <row r="3659" spans="1:21" x14ac:dyDescent="0.25">
      <c r="A3659" t="s">
        <v>16865</v>
      </c>
      <c r="B3659" t="s">
        <v>22</v>
      </c>
      <c r="C3659" t="s">
        <v>16866</v>
      </c>
      <c r="D3659">
        <f>90-2164699025</f>
        <v>-2164698935</v>
      </c>
      <c r="E3659" t="s">
        <v>16815</v>
      </c>
      <c r="F3659" t="s">
        <v>16816</v>
      </c>
      <c r="G3659" t="s">
        <v>16817</v>
      </c>
      <c r="H3659">
        <v>29.132266044616699</v>
      </c>
      <c r="I3659">
        <v>40.982489898493</v>
      </c>
      <c r="J3659">
        <v>115</v>
      </c>
      <c r="K3659" t="s">
        <v>27</v>
      </c>
      <c r="L3659" t="s">
        <v>27</v>
      </c>
      <c r="M3659" t="s">
        <v>27</v>
      </c>
      <c r="N3659" t="s">
        <v>27</v>
      </c>
      <c r="O3659" t="s">
        <v>27</v>
      </c>
      <c r="P3659" t="s">
        <v>27</v>
      </c>
      <c r="Q3659" t="s">
        <v>27</v>
      </c>
      <c r="R3659" t="s">
        <v>16867</v>
      </c>
      <c r="T3659" t="s">
        <v>16819</v>
      </c>
      <c r="U3659" t="s">
        <v>16868</v>
      </c>
    </row>
    <row r="3660" spans="1:21" x14ac:dyDescent="0.25">
      <c r="A3660" t="s">
        <v>16869</v>
      </c>
      <c r="B3660" t="s">
        <v>38</v>
      </c>
      <c r="C3660" t="s">
        <v>16870</v>
      </c>
      <c r="D3660">
        <f>90-2422909320</f>
        <v>-2422909230</v>
      </c>
      <c r="E3660" t="s">
        <v>16871</v>
      </c>
      <c r="F3660" t="s">
        <v>16816</v>
      </c>
      <c r="G3660" t="s">
        <v>16817</v>
      </c>
      <c r="H3660">
        <v>30.664300918579102</v>
      </c>
      <c r="I3660">
        <v>36.907318199518599</v>
      </c>
      <c r="J3660">
        <v>115</v>
      </c>
      <c r="K3660" t="s">
        <v>27</v>
      </c>
      <c r="L3660" t="s">
        <v>27</v>
      </c>
      <c r="M3660" t="s">
        <v>27</v>
      </c>
      <c r="N3660" t="s">
        <v>27</v>
      </c>
      <c r="O3660" t="s">
        <v>27</v>
      </c>
      <c r="P3660" t="s">
        <v>27</v>
      </c>
      <c r="Q3660" t="s">
        <v>27</v>
      </c>
      <c r="R3660" t="s">
        <v>16872</v>
      </c>
      <c r="T3660" t="s">
        <v>16873</v>
      </c>
      <c r="U3660" t="s">
        <v>16874</v>
      </c>
    </row>
    <row r="3661" spans="1:21" x14ac:dyDescent="0.25">
      <c r="A3661" t="s">
        <v>16875</v>
      </c>
      <c r="B3661" t="s">
        <v>22</v>
      </c>
      <c r="C3661" t="s">
        <v>16876</v>
      </c>
      <c r="D3661">
        <f>90-3622903447</f>
        <v>-3622903357</v>
      </c>
      <c r="E3661" t="s">
        <v>16877</v>
      </c>
      <c r="F3661" t="s">
        <v>16816</v>
      </c>
      <c r="G3661" t="s">
        <v>16817</v>
      </c>
      <c r="H3661">
        <v>36.352386474609297</v>
      </c>
      <c r="I3661">
        <v>41.277096925511998</v>
      </c>
      <c r="J3661">
        <v>130</v>
      </c>
      <c r="K3661" t="s">
        <v>27</v>
      </c>
      <c r="L3661" t="s">
        <v>27</v>
      </c>
      <c r="M3661" t="s">
        <v>27</v>
      </c>
      <c r="N3661" t="s">
        <v>27</v>
      </c>
      <c r="O3661" t="s">
        <v>27</v>
      </c>
      <c r="P3661" t="s">
        <v>27</v>
      </c>
      <c r="Q3661" t="s">
        <v>27</v>
      </c>
      <c r="R3661" t="s">
        <v>16878</v>
      </c>
      <c r="T3661" t="s">
        <v>16879</v>
      </c>
      <c r="U3661" t="s">
        <v>16880</v>
      </c>
    </row>
    <row r="3662" spans="1:21" x14ac:dyDescent="0.25">
      <c r="A3662" t="s">
        <v>16881</v>
      </c>
      <c r="B3662" t="s">
        <v>38</v>
      </c>
      <c r="C3662" t="s">
        <v>16882</v>
      </c>
      <c r="D3662">
        <f>90-3122841560</f>
        <v>-3122841470</v>
      </c>
      <c r="E3662" t="s">
        <v>16839</v>
      </c>
      <c r="F3662" t="s">
        <v>16816</v>
      </c>
      <c r="G3662" t="s">
        <v>16817</v>
      </c>
      <c r="H3662">
        <v>32.811870574951101</v>
      </c>
      <c r="I3662">
        <v>39.889784732156301</v>
      </c>
      <c r="J3662">
        <v>130</v>
      </c>
      <c r="K3662" t="s">
        <v>27</v>
      </c>
      <c r="L3662" t="s">
        <v>27</v>
      </c>
      <c r="M3662" t="s">
        <v>27</v>
      </c>
      <c r="N3662" t="s">
        <v>27</v>
      </c>
      <c r="O3662" t="s">
        <v>27</v>
      </c>
      <c r="P3662" t="s">
        <v>27</v>
      </c>
      <c r="Q3662" t="s">
        <v>27</v>
      </c>
      <c r="R3662" t="s">
        <v>16883</v>
      </c>
      <c r="T3662" t="s">
        <v>16841</v>
      </c>
      <c r="U3662" t="s">
        <v>16884</v>
      </c>
    </row>
    <row r="3663" spans="1:21" x14ac:dyDescent="0.25">
      <c r="A3663" t="s">
        <v>16885</v>
      </c>
      <c r="B3663" t="s">
        <v>22</v>
      </c>
      <c r="C3663" t="s">
        <v>16886</v>
      </c>
      <c r="D3663">
        <f>90-2123536003</f>
        <v>-2123535913</v>
      </c>
      <c r="E3663" t="s">
        <v>16815</v>
      </c>
      <c r="F3663" t="s">
        <v>16816</v>
      </c>
      <c r="G3663" t="s">
        <v>16817</v>
      </c>
      <c r="H3663">
        <v>29.014935493469199</v>
      </c>
      <c r="I3663">
        <v>41.067768973304197</v>
      </c>
      <c r="J3663">
        <v>130</v>
      </c>
      <c r="K3663" t="s">
        <v>27</v>
      </c>
      <c r="L3663" t="s">
        <v>27</v>
      </c>
      <c r="M3663" t="s">
        <v>27</v>
      </c>
      <c r="N3663" t="s">
        <v>27</v>
      </c>
      <c r="O3663" t="s">
        <v>27</v>
      </c>
      <c r="P3663" t="s">
        <v>27</v>
      </c>
      <c r="Q3663" t="s">
        <v>27</v>
      </c>
      <c r="R3663" t="s">
        <v>16887</v>
      </c>
      <c r="T3663" t="s">
        <v>16819</v>
      </c>
      <c r="U3663" t="s">
        <v>16888</v>
      </c>
    </row>
    <row r="3664" spans="1:21" x14ac:dyDescent="0.25">
      <c r="A3664" t="s">
        <v>16889</v>
      </c>
      <c r="B3664" t="s">
        <v>22</v>
      </c>
      <c r="C3664" t="s">
        <v>16890</v>
      </c>
      <c r="D3664">
        <f>90-3125412280</f>
        <v>-3125412190</v>
      </c>
      <c r="E3664" t="s">
        <v>16839</v>
      </c>
      <c r="F3664" t="s">
        <v>16816</v>
      </c>
      <c r="G3664" t="s">
        <v>16817</v>
      </c>
      <c r="H3664">
        <v>32.8315687179565</v>
      </c>
      <c r="I3664">
        <v>39.949819206129902</v>
      </c>
      <c r="J3664">
        <v>130</v>
      </c>
      <c r="K3664" t="s">
        <v>27</v>
      </c>
      <c r="L3664" t="s">
        <v>27</v>
      </c>
      <c r="M3664" t="s">
        <v>27</v>
      </c>
      <c r="N3664" t="s">
        <v>27</v>
      </c>
      <c r="O3664" t="s">
        <v>27</v>
      </c>
      <c r="P3664" t="s">
        <v>27</v>
      </c>
      <c r="Q3664" t="s">
        <v>27</v>
      </c>
      <c r="R3664" t="s">
        <v>16891</v>
      </c>
      <c r="T3664" t="s">
        <v>16841</v>
      </c>
      <c r="U3664" t="s">
        <v>16892</v>
      </c>
    </row>
    <row r="3665" spans="1:21" x14ac:dyDescent="0.25">
      <c r="A3665" t="s">
        <v>16893</v>
      </c>
      <c r="B3665" t="s">
        <v>22</v>
      </c>
      <c r="C3665" t="s">
        <v>16894</v>
      </c>
      <c r="D3665">
        <f>90-2422408480</f>
        <v>-2422408390</v>
      </c>
      <c r="E3665" t="s">
        <v>16871</v>
      </c>
      <c r="F3665" t="s">
        <v>16816</v>
      </c>
      <c r="G3665" t="s">
        <v>16817</v>
      </c>
      <c r="H3665">
        <v>30.703525543212798</v>
      </c>
      <c r="I3665">
        <v>36.8924410013041</v>
      </c>
      <c r="J3665">
        <v>115</v>
      </c>
      <c r="K3665" t="s">
        <v>27</v>
      </c>
      <c r="L3665" t="s">
        <v>27</v>
      </c>
      <c r="M3665" t="s">
        <v>27</v>
      </c>
      <c r="N3665" t="s">
        <v>27</v>
      </c>
      <c r="O3665" t="s">
        <v>27</v>
      </c>
      <c r="P3665" t="s">
        <v>27</v>
      </c>
      <c r="Q3665" t="s">
        <v>27</v>
      </c>
      <c r="R3665" t="s">
        <v>16895</v>
      </c>
      <c r="T3665" t="s">
        <v>16873</v>
      </c>
      <c r="U3665" t="s">
        <v>16896</v>
      </c>
    </row>
    <row r="3666" spans="1:21" x14ac:dyDescent="0.25">
      <c r="A3666" t="s">
        <v>16897</v>
      </c>
      <c r="B3666" t="s">
        <v>38</v>
      </c>
      <c r="C3666" t="s">
        <v>16898</v>
      </c>
      <c r="D3666">
        <f>90-3262902662</f>
        <v>-3262902572</v>
      </c>
      <c r="E3666" t="s">
        <v>16899</v>
      </c>
      <c r="F3666" t="s">
        <v>16816</v>
      </c>
      <c r="G3666" t="s">
        <v>16817</v>
      </c>
      <c r="H3666">
        <v>36.163086891174302</v>
      </c>
      <c r="I3666">
        <v>36.208433537261598</v>
      </c>
      <c r="J3666">
        <v>130</v>
      </c>
      <c r="K3666" t="s">
        <v>27</v>
      </c>
      <c r="L3666" t="s">
        <v>27</v>
      </c>
      <c r="M3666" t="s">
        <v>27</v>
      </c>
      <c r="N3666" t="s">
        <v>27</v>
      </c>
      <c r="O3666" t="s">
        <v>27</v>
      </c>
      <c r="P3666" t="s">
        <v>27</v>
      </c>
      <c r="Q3666" t="s">
        <v>27</v>
      </c>
      <c r="R3666" t="s">
        <v>16900</v>
      </c>
      <c r="T3666" t="s">
        <v>16873</v>
      </c>
      <c r="U3666" t="s">
        <v>16901</v>
      </c>
    </row>
    <row r="3667" spans="1:21" x14ac:dyDescent="0.25">
      <c r="A3667" t="s">
        <v>16902</v>
      </c>
      <c r="B3667" t="s">
        <v>22</v>
      </c>
      <c r="C3667" t="s">
        <v>16903</v>
      </c>
      <c r="D3667">
        <f>90-2128010407</f>
        <v>-2128010317</v>
      </c>
      <c r="E3667" t="s">
        <v>16815</v>
      </c>
      <c r="F3667" t="s">
        <v>16816</v>
      </c>
      <c r="G3667" t="s">
        <v>16817</v>
      </c>
      <c r="H3667">
        <v>28.8074372329101</v>
      </c>
      <c r="I3667">
        <v>41.063250885989298</v>
      </c>
      <c r="J3667">
        <v>130</v>
      </c>
      <c r="K3667" t="s">
        <v>27</v>
      </c>
      <c r="L3667" t="s">
        <v>27</v>
      </c>
      <c r="M3667" t="s">
        <v>27</v>
      </c>
      <c r="N3667" t="s">
        <v>27</v>
      </c>
      <c r="O3667" t="s">
        <v>27</v>
      </c>
      <c r="P3667" t="s">
        <v>27</v>
      </c>
      <c r="Q3667" t="s">
        <v>27</v>
      </c>
      <c r="R3667" t="s">
        <v>16904</v>
      </c>
      <c r="T3667" t="s">
        <v>16819</v>
      </c>
      <c r="U3667" t="s">
        <v>16905</v>
      </c>
    </row>
    <row r="3668" spans="1:21" x14ac:dyDescent="0.25">
      <c r="A3668" t="s">
        <v>16906</v>
      </c>
      <c r="B3668" t="s">
        <v>22</v>
      </c>
      <c r="C3668" t="s">
        <v>16907</v>
      </c>
      <c r="D3668">
        <f>90-2122841271</f>
        <v>-2122841181</v>
      </c>
      <c r="E3668" t="s">
        <v>16815</v>
      </c>
      <c r="F3668" t="s">
        <v>16816</v>
      </c>
      <c r="G3668" t="s">
        <v>16817</v>
      </c>
      <c r="H3668">
        <v>29.012837227783098</v>
      </c>
      <c r="I3668">
        <v>41.0776453742276</v>
      </c>
      <c r="J3668">
        <v>130</v>
      </c>
      <c r="K3668" t="s">
        <v>27</v>
      </c>
      <c r="L3668" t="s">
        <v>27</v>
      </c>
      <c r="M3668" t="s">
        <v>27</v>
      </c>
      <c r="N3668" t="s">
        <v>27</v>
      </c>
      <c r="O3668" t="s">
        <v>27</v>
      </c>
      <c r="P3668" t="s">
        <v>27</v>
      </c>
      <c r="Q3668" t="s">
        <v>27</v>
      </c>
      <c r="R3668" t="s">
        <v>16908</v>
      </c>
      <c r="T3668" t="s">
        <v>16819</v>
      </c>
      <c r="U3668" t="s">
        <v>16909</v>
      </c>
    </row>
    <row r="3669" spans="1:21" x14ac:dyDescent="0.25">
      <c r="A3669" t="s">
        <v>16910</v>
      </c>
      <c r="B3669" t="s">
        <v>32</v>
      </c>
      <c r="C3669" t="s">
        <v>16911</v>
      </c>
      <c r="D3669">
        <f>90-2163802234</f>
        <v>-2163802144</v>
      </c>
      <c r="E3669" t="s">
        <v>16815</v>
      </c>
      <c r="F3669" t="s">
        <v>16816</v>
      </c>
      <c r="G3669" t="s">
        <v>16817</v>
      </c>
      <c r="H3669">
        <v>29.080933150253198</v>
      </c>
      <c r="I3669">
        <v>40.960302857690898</v>
      </c>
      <c r="J3669">
        <v>115</v>
      </c>
      <c r="K3669" t="s">
        <v>27</v>
      </c>
      <c r="L3669" t="s">
        <v>27</v>
      </c>
      <c r="M3669" t="s">
        <v>27</v>
      </c>
      <c r="N3669" t="s">
        <v>27</v>
      </c>
      <c r="O3669" t="s">
        <v>27</v>
      </c>
      <c r="P3669" t="s">
        <v>27</v>
      </c>
      <c r="Q3669" t="s">
        <v>27</v>
      </c>
      <c r="R3669" t="s">
        <v>16912</v>
      </c>
      <c r="T3669" t="s">
        <v>16819</v>
      </c>
      <c r="U3669" t="s">
        <v>16913</v>
      </c>
    </row>
    <row r="3670" spans="1:21" x14ac:dyDescent="0.25">
      <c r="A3670" t="s">
        <v>16914</v>
      </c>
      <c r="B3670" t="s">
        <v>22</v>
      </c>
      <c r="C3670" t="s">
        <v>16915</v>
      </c>
      <c r="D3670">
        <f>90-2642777010</f>
        <v>-2642776920</v>
      </c>
      <c r="E3670" t="s">
        <v>16916</v>
      </c>
      <c r="F3670" t="s">
        <v>16816</v>
      </c>
      <c r="G3670" t="s">
        <v>16817</v>
      </c>
      <c r="H3670">
        <v>30.3653244018554</v>
      </c>
      <c r="I3670">
        <v>40.778328603161199</v>
      </c>
      <c r="J3670">
        <v>130</v>
      </c>
      <c r="K3670" t="s">
        <v>27</v>
      </c>
      <c r="L3670" t="s">
        <v>27</v>
      </c>
      <c r="M3670" t="s">
        <v>27</v>
      </c>
      <c r="N3670" t="s">
        <v>27</v>
      </c>
      <c r="O3670" t="s">
        <v>27</v>
      </c>
      <c r="P3670" t="s">
        <v>27</v>
      </c>
      <c r="Q3670" t="s">
        <v>27</v>
      </c>
      <c r="R3670" t="s">
        <v>16917</v>
      </c>
      <c r="T3670" t="s">
        <v>16819</v>
      </c>
      <c r="U3670" t="s">
        <v>16918</v>
      </c>
    </row>
    <row r="3671" spans="1:21" x14ac:dyDescent="0.25">
      <c r="A3671" t="s">
        <v>16919</v>
      </c>
      <c r="B3671" t="s">
        <v>22</v>
      </c>
      <c r="C3671" t="s">
        <v>16920</v>
      </c>
      <c r="D3671">
        <f>90-2126621279</f>
        <v>-2126621189</v>
      </c>
      <c r="E3671" t="s">
        <v>16815</v>
      </c>
      <c r="F3671" t="s">
        <v>16816</v>
      </c>
      <c r="G3671" t="s">
        <v>16817</v>
      </c>
      <c r="H3671">
        <v>28.7974216794067</v>
      </c>
      <c r="I3671">
        <v>40.965925188185302</v>
      </c>
      <c r="J3671">
        <v>130</v>
      </c>
      <c r="K3671" t="s">
        <v>27</v>
      </c>
      <c r="L3671" t="s">
        <v>27</v>
      </c>
      <c r="M3671" t="s">
        <v>27</v>
      </c>
      <c r="N3671" t="s">
        <v>27</v>
      </c>
      <c r="O3671" t="s">
        <v>27</v>
      </c>
      <c r="P3671" t="s">
        <v>27</v>
      </c>
      <c r="Q3671" t="s">
        <v>27</v>
      </c>
      <c r="R3671" t="s">
        <v>16921</v>
      </c>
      <c r="T3671" t="s">
        <v>16819</v>
      </c>
      <c r="U3671" t="s">
        <v>16922</v>
      </c>
    </row>
    <row r="3672" spans="1:21" x14ac:dyDescent="0.25">
      <c r="A3672" t="s">
        <v>16923</v>
      </c>
      <c r="B3672" t="s">
        <v>22</v>
      </c>
      <c r="C3672" t="s">
        <v>16924</v>
      </c>
      <c r="D3672">
        <f>90-2862200414</f>
        <v>-2862200324</v>
      </c>
      <c r="E3672" t="s">
        <v>16925</v>
      </c>
      <c r="F3672" t="s">
        <v>16816</v>
      </c>
      <c r="G3672" t="s">
        <v>16817</v>
      </c>
      <c r="H3672">
        <v>26.4108260629516</v>
      </c>
      <c r="I3672">
        <v>40.123923116246601</v>
      </c>
      <c r="J3672">
        <v>130</v>
      </c>
      <c r="K3672" t="s">
        <v>27</v>
      </c>
      <c r="L3672" t="s">
        <v>27</v>
      </c>
      <c r="M3672" t="s">
        <v>27</v>
      </c>
      <c r="N3672" t="s">
        <v>27</v>
      </c>
      <c r="O3672" t="s">
        <v>27</v>
      </c>
      <c r="P3672" t="s">
        <v>27</v>
      </c>
      <c r="Q3672" t="s">
        <v>27</v>
      </c>
      <c r="R3672" t="s">
        <v>16926</v>
      </c>
      <c r="T3672" t="s">
        <v>16819</v>
      </c>
      <c r="U3672" t="s">
        <v>16927</v>
      </c>
    </row>
    <row r="3673" spans="1:21" x14ac:dyDescent="0.25">
      <c r="A3673" t="s">
        <v>16928</v>
      </c>
      <c r="B3673" t="s">
        <v>22</v>
      </c>
      <c r="C3673" t="s">
        <v>16929</v>
      </c>
      <c r="D3673">
        <f>90-2523585514</f>
        <v>-2523585424</v>
      </c>
      <c r="E3673" t="s">
        <v>16930</v>
      </c>
      <c r="F3673" t="s">
        <v>16816</v>
      </c>
      <c r="G3673" t="s">
        <v>16817</v>
      </c>
      <c r="H3673">
        <v>27.3597567252502</v>
      </c>
      <c r="I3673">
        <v>37.056678314837903</v>
      </c>
      <c r="J3673">
        <v>130</v>
      </c>
      <c r="K3673" t="s">
        <v>28</v>
      </c>
      <c r="L3673" t="s">
        <v>28</v>
      </c>
      <c r="M3673" t="s">
        <v>28</v>
      </c>
      <c r="N3673" t="s">
        <v>28</v>
      </c>
      <c r="O3673" t="s">
        <v>28</v>
      </c>
      <c r="P3673" t="s">
        <v>28</v>
      </c>
      <c r="Q3673" t="s">
        <v>28</v>
      </c>
      <c r="R3673" t="s">
        <v>16931</v>
      </c>
      <c r="T3673" t="s">
        <v>16932</v>
      </c>
      <c r="U3673" t="s">
        <v>16933</v>
      </c>
    </row>
    <row r="3674" spans="1:21" x14ac:dyDescent="0.25">
      <c r="A3674" t="s">
        <v>16934</v>
      </c>
      <c r="B3674" t="s">
        <v>38</v>
      </c>
      <c r="C3674" t="s">
        <v>16935</v>
      </c>
      <c r="D3674">
        <f>90-2325022363</f>
        <v>-2325022273</v>
      </c>
      <c r="E3674" t="s">
        <v>16936</v>
      </c>
      <c r="F3674" t="s">
        <v>16816</v>
      </c>
      <c r="G3674" t="s">
        <v>16817</v>
      </c>
      <c r="H3674">
        <v>27.209706943933</v>
      </c>
      <c r="I3674">
        <v>38.431069258685802</v>
      </c>
      <c r="J3674">
        <v>115</v>
      </c>
      <c r="K3674" t="s">
        <v>27</v>
      </c>
      <c r="L3674" t="s">
        <v>27</v>
      </c>
      <c r="M3674" t="s">
        <v>27</v>
      </c>
      <c r="N3674" t="s">
        <v>27</v>
      </c>
      <c r="O3674" t="s">
        <v>27</v>
      </c>
      <c r="P3674" t="s">
        <v>27</v>
      </c>
      <c r="Q3674" t="s">
        <v>27</v>
      </c>
      <c r="R3674" t="s">
        <v>16937</v>
      </c>
      <c r="T3674" t="s">
        <v>16932</v>
      </c>
      <c r="U3674" t="s">
        <v>16938</v>
      </c>
    </row>
    <row r="3675" spans="1:21" x14ac:dyDescent="0.25">
      <c r="A3675" t="s">
        <v>16939</v>
      </c>
      <c r="B3675" t="s">
        <v>38</v>
      </c>
      <c r="C3675" t="s">
        <v>16940</v>
      </c>
      <c r="D3675">
        <f>90-2625020730</f>
        <v>-2625020640</v>
      </c>
      <c r="E3675" t="s">
        <v>16941</v>
      </c>
      <c r="F3675" t="s">
        <v>16816</v>
      </c>
      <c r="G3675" t="s">
        <v>16817</v>
      </c>
      <c r="H3675">
        <v>29.979072114624</v>
      </c>
      <c r="I3675">
        <v>40.759429079641301</v>
      </c>
      <c r="J3675">
        <v>130</v>
      </c>
      <c r="K3675" t="s">
        <v>27</v>
      </c>
      <c r="L3675" t="s">
        <v>27</v>
      </c>
      <c r="M3675" t="s">
        <v>27</v>
      </c>
      <c r="N3675" t="s">
        <v>27</v>
      </c>
      <c r="O3675" t="s">
        <v>27</v>
      </c>
      <c r="P3675" t="s">
        <v>27</v>
      </c>
      <c r="Q3675" t="s">
        <v>27</v>
      </c>
      <c r="R3675" t="s">
        <v>16942</v>
      </c>
      <c r="T3675" t="s">
        <v>16819</v>
      </c>
      <c r="U3675" t="s">
        <v>16943</v>
      </c>
    </row>
    <row r="3676" spans="1:21" x14ac:dyDescent="0.25">
      <c r="A3676" t="s">
        <v>16944</v>
      </c>
      <c r="B3676" t="s">
        <v>22</v>
      </c>
      <c r="C3676" t="s">
        <v>16945</v>
      </c>
      <c r="D3676">
        <f>90-2623433009</f>
        <v>-2623432919</v>
      </c>
      <c r="E3676" t="s">
        <v>16941</v>
      </c>
      <c r="F3676" t="s">
        <v>16816</v>
      </c>
      <c r="G3676" t="s">
        <v>16817</v>
      </c>
      <c r="H3676">
        <v>29.944359613183501</v>
      </c>
      <c r="I3676">
        <v>40.740448794870701</v>
      </c>
      <c r="J3676">
        <v>130</v>
      </c>
      <c r="K3676" t="s">
        <v>27</v>
      </c>
      <c r="L3676" t="s">
        <v>27</v>
      </c>
      <c r="M3676" t="s">
        <v>27</v>
      </c>
      <c r="N3676" t="s">
        <v>27</v>
      </c>
      <c r="O3676" t="s">
        <v>27</v>
      </c>
      <c r="P3676" t="s">
        <v>27</v>
      </c>
      <c r="Q3676" t="s">
        <v>27</v>
      </c>
      <c r="R3676" t="s">
        <v>16946</v>
      </c>
      <c r="T3676" t="s">
        <v>16819</v>
      </c>
      <c r="U3676" t="s">
        <v>16947</v>
      </c>
    </row>
    <row r="3677" spans="1:21" x14ac:dyDescent="0.25">
      <c r="A3677" t="s">
        <v>16948</v>
      </c>
      <c r="B3677" t="s">
        <v>38</v>
      </c>
      <c r="C3677" t="s">
        <v>16949</v>
      </c>
      <c r="D3677">
        <f>90-3742741152</f>
        <v>-3742741062</v>
      </c>
      <c r="E3677" t="s">
        <v>16950</v>
      </c>
      <c r="F3677" t="s">
        <v>16816</v>
      </c>
      <c r="G3677" t="s">
        <v>16817</v>
      </c>
      <c r="H3677">
        <v>31.5625455284667</v>
      </c>
      <c r="I3677">
        <v>40.732105999931399</v>
      </c>
      <c r="J3677">
        <v>130</v>
      </c>
      <c r="K3677" t="s">
        <v>27</v>
      </c>
      <c r="L3677" t="s">
        <v>27</v>
      </c>
      <c r="M3677" t="s">
        <v>27</v>
      </c>
      <c r="N3677" t="s">
        <v>27</v>
      </c>
      <c r="O3677" t="s">
        <v>27</v>
      </c>
      <c r="P3677" t="s">
        <v>27</v>
      </c>
      <c r="Q3677" t="s">
        <v>27</v>
      </c>
      <c r="R3677" t="s">
        <v>16951</v>
      </c>
      <c r="T3677" t="s">
        <v>16879</v>
      </c>
      <c r="U3677" t="s">
        <v>16952</v>
      </c>
    </row>
    <row r="3678" spans="1:21" x14ac:dyDescent="0.25">
      <c r="A3678" t="s">
        <v>16953</v>
      </c>
      <c r="B3678" t="s">
        <v>38</v>
      </c>
      <c r="C3678" t="s">
        <v>16954</v>
      </c>
      <c r="D3678">
        <f>90-3123319547</f>
        <v>-3123319457</v>
      </c>
      <c r="E3678" t="s">
        <v>16839</v>
      </c>
      <c r="F3678" t="s">
        <v>16816</v>
      </c>
      <c r="G3678" t="s">
        <v>16817</v>
      </c>
      <c r="H3678">
        <v>32.8344893968505</v>
      </c>
      <c r="I3678">
        <v>39.849279120706299</v>
      </c>
      <c r="J3678">
        <v>130</v>
      </c>
      <c r="K3678" t="s">
        <v>27</v>
      </c>
      <c r="L3678" t="s">
        <v>27</v>
      </c>
      <c r="M3678" t="s">
        <v>27</v>
      </c>
      <c r="N3678" t="s">
        <v>27</v>
      </c>
      <c r="O3678" t="s">
        <v>27</v>
      </c>
      <c r="P3678" t="s">
        <v>27</v>
      </c>
      <c r="Q3678" t="s">
        <v>27</v>
      </c>
      <c r="R3678" t="s">
        <v>16955</v>
      </c>
      <c r="T3678" t="s">
        <v>16841</v>
      </c>
      <c r="U3678" t="s">
        <v>16956</v>
      </c>
    </row>
    <row r="3679" spans="1:21" x14ac:dyDescent="0.25">
      <c r="A3679" t="s">
        <v>16957</v>
      </c>
      <c r="B3679" t="s">
        <v>38</v>
      </c>
      <c r="C3679" t="s">
        <v>16958</v>
      </c>
      <c r="D3679">
        <f>90-3322358293</f>
        <v>-3322358203</v>
      </c>
      <c r="E3679" t="s">
        <v>16959</v>
      </c>
      <c r="F3679" t="s">
        <v>16816</v>
      </c>
      <c r="G3679" t="s">
        <v>16817</v>
      </c>
      <c r="H3679">
        <v>32.493601893176198</v>
      </c>
      <c r="I3679">
        <v>37.888886425742101</v>
      </c>
      <c r="J3679">
        <v>130</v>
      </c>
      <c r="K3679" t="s">
        <v>27</v>
      </c>
      <c r="L3679" t="s">
        <v>27</v>
      </c>
      <c r="M3679" t="s">
        <v>27</v>
      </c>
      <c r="N3679" t="s">
        <v>27</v>
      </c>
      <c r="O3679" t="s">
        <v>27</v>
      </c>
      <c r="P3679" t="s">
        <v>27</v>
      </c>
      <c r="Q3679" t="s">
        <v>27</v>
      </c>
      <c r="R3679" t="s">
        <v>16960</v>
      </c>
      <c r="T3679" t="s">
        <v>16841</v>
      </c>
      <c r="U3679" t="s">
        <v>16961</v>
      </c>
    </row>
    <row r="3680" spans="1:21" x14ac:dyDescent="0.25">
      <c r="A3680" t="s">
        <v>16962</v>
      </c>
      <c r="B3680" t="s">
        <v>38</v>
      </c>
      <c r="C3680" t="s">
        <v>16963</v>
      </c>
      <c r="D3680">
        <f>90-3265022853</f>
        <v>-3265022763</v>
      </c>
      <c r="E3680" t="s">
        <v>16899</v>
      </c>
      <c r="F3680" t="s">
        <v>16816</v>
      </c>
      <c r="G3680" t="s">
        <v>16817</v>
      </c>
      <c r="H3680">
        <v>36.160832178515598</v>
      </c>
      <c r="I3680">
        <v>36.592497028151698</v>
      </c>
      <c r="J3680">
        <v>130</v>
      </c>
      <c r="K3680" t="s">
        <v>27</v>
      </c>
      <c r="L3680" t="s">
        <v>27</v>
      </c>
      <c r="M3680" t="s">
        <v>27</v>
      </c>
      <c r="N3680" t="s">
        <v>27</v>
      </c>
      <c r="O3680" t="s">
        <v>27</v>
      </c>
      <c r="P3680" t="s">
        <v>27</v>
      </c>
      <c r="Q3680" t="s">
        <v>27</v>
      </c>
      <c r="R3680" t="s">
        <v>16964</v>
      </c>
      <c r="T3680" t="s">
        <v>16873</v>
      </c>
      <c r="U3680" t="s">
        <v>16965</v>
      </c>
    </row>
    <row r="3681" spans="1:21" x14ac:dyDescent="0.25">
      <c r="A3681" t="s">
        <v>16966</v>
      </c>
      <c r="B3681" t="s">
        <v>38</v>
      </c>
      <c r="C3681" t="s">
        <v>16967</v>
      </c>
      <c r="D3681">
        <f>90-3223333583</f>
        <v>-3223333493</v>
      </c>
      <c r="E3681" t="s">
        <v>16968</v>
      </c>
      <c r="F3681" t="s">
        <v>16816</v>
      </c>
      <c r="G3681" t="s">
        <v>16817</v>
      </c>
      <c r="H3681">
        <v>35.339049000000003</v>
      </c>
      <c r="I3681">
        <v>36.990425000000002</v>
      </c>
      <c r="J3681">
        <v>130</v>
      </c>
      <c r="K3681" t="s">
        <v>27</v>
      </c>
      <c r="L3681" t="s">
        <v>27</v>
      </c>
      <c r="M3681" t="s">
        <v>27</v>
      </c>
      <c r="N3681" t="s">
        <v>27</v>
      </c>
      <c r="O3681" t="s">
        <v>27</v>
      </c>
      <c r="P3681" t="s">
        <v>27</v>
      </c>
      <c r="Q3681" t="s">
        <v>27</v>
      </c>
      <c r="R3681" t="s">
        <v>16969</v>
      </c>
      <c r="T3681" t="s">
        <v>16873</v>
      </c>
      <c r="U3681" t="s">
        <v>16970</v>
      </c>
    </row>
    <row r="3682" spans="1:21" x14ac:dyDescent="0.25">
      <c r="A3682" t="s">
        <v>16971</v>
      </c>
      <c r="B3682" t="s">
        <v>22</v>
      </c>
      <c r="C3682" t="s">
        <v>16972</v>
      </c>
      <c r="D3682">
        <f>90-2663921680</f>
        <v>-2663921590</v>
      </c>
      <c r="E3682" t="s">
        <v>16973</v>
      </c>
      <c r="F3682" t="s">
        <v>16816</v>
      </c>
      <c r="G3682" t="s">
        <v>16817</v>
      </c>
      <c r="H3682">
        <v>26.981993057824599</v>
      </c>
      <c r="I3682">
        <v>39.597629906332401</v>
      </c>
      <c r="J3682">
        <v>130</v>
      </c>
      <c r="K3682" t="s">
        <v>34</v>
      </c>
      <c r="L3682" t="s">
        <v>34</v>
      </c>
      <c r="M3682" t="s">
        <v>34</v>
      </c>
      <c r="N3682" t="s">
        <v>34</v>
      </c>
      <c r="O3682" t="s">
        <v>34</v>
      </c>
      <c r="P3682" t="s">
        <v>34</v>
      </c>
      <c r="Q3682" t="s">
        <v>34</v>
      </c>
      <c r="R3682" t="s">
        <v>16974</v>
      </c>
      <c r="T3682" t="s">
        <v>16819</v>
      </c>
      <c r="U3682" t="s">
        <v>16975</v>
      </c>
    </row>
    <row r="3683" spans="1:21" x14ac:dyDescent="0.25">
      <c r="A3683" t="s">
        <v>16976</v>
      </c>
      <c r="B3683" t="s">
        <v>22</v>
      </c>
      <c r="C3683" t="s">
        <v>16977</v>
      </c>
      <c r="D3683">
        <f>90-2425020830</f>
        <v>-2425020740</v>
      </c>
      <c r="E3683" t="s">
        <v>16871</v>
      </c>
      <c r="F3683" t="s">
        <v>16816</v>
      </c>
      <c r="G3683" t="s">
        <v>16817</v>
      </c>
      <c r="H3683">
        <v>31.4266621519286</v>
      </c>
      <c r="I3683">
        <v>36.781006833821699</v>
      </c>
      <c r="J3683">
        <v>130</v>
      </c>
      <c r="K3683" t="s">
        <v>34</v>
      </c>
      <c r="L3683" t="s">
        <v>34</v>
      </c>
      <c r="M3683" t="s">
        <v>34</v>
      </c>
      <c r="N3683" t="s">
        <v>34</v>
      </c>
      <c r="O3683" t="s">
        <v>34</v>
      </c>
      <c r="P3683" t="s">
        <v>34</v>
      </c>
      <c r="Q3683" t="s">
        <v>34</v>
      </c>
      <c r="R3683" t="s">
        <v>16978</v>
      </c>
      <c r="T3683" t="s">
        <v>16873</v>
      </c>
      <c r="U3683" t="s">
        <v>16979</v>
      </c>
    </row>
    <row r="3684" spans="1:21" x14ac:dyDescent="0.25">
      <c r="A3684" t="s">
        <v>16980</v>
      </c>
      <c r="B3684" t="s">
        <v>38</v>
      </c>
      <c r="C3684" t="s">
        <v>16981</v>
      </c>
      <c r="D3684">
        <f>90-5385439863</f>
        <v>-5385439773</v>
      </c>
      <c r="E3684" t="s">
        <v>16982</v>
      </c>
      <c r="F3684" t="s">
        <v>16816</v>
      </c>
      <c r="G3684" t="s">
        <v>16817</v>
      </c>
      <c r="H3684">
        <v>29.056378614514099</v>
      </c>
      <c r="I3684">
        <v>37.8217226641869</v>
      </c>
      <c r="J3684">
        <v>130</v>
      </c>
      <c r="K3684" t="s">
        <v>27</v>
      </c>
      <c r="L3684" t="s">
        <v>27</v>
      </c>
      <c r="M3684" t="s">
        <v>27</v>
      </c>
      <c r="N3684" t="s">
        <v>27</v>
      </c>
      <c r="O3684" t="s">
        <v>27</v>
      </c>
      <c r="P3684" t="s">
        <v>27</v>
      </c>
      <c r="Q3684" t="s">
        <v>27</v>
      </c>
      <c r="R3684" t="s">
        <v>16983</v>
      </c>
      <c r="T3684" t="s">
        <v>16932</v>
      </c>
      <c r="U3684" t="s">
        <v>16984</v>
      </c>
    </row>
    <row r="3685" spans="1:21" x14ac:dyDescent="0.25">
      <c r="A3685" t="s">
        <v>16985</v>
      </c>
      <c r="B3685" t="s">
        <v>22</v>
      </c>
      <c r="C3685" t="s">
        <v>16986</v>
      </c>
      <c r="D3685">
        <f>90-2166510884</f>
        <v>-2166510794</v>
      </c>
      <c r="E3685" t="s">
        <v>16815</v>
      </c>
      <c r="F3685" t="s">
        <v>16816</v>
      </c>
      <c r="G3685" t="s">
        <v>16817</v>
      </c>
      <c r="H3685">
        <v>29.039745</v>
      </c>
      <c r="I3685">
        <v>41.020803000000001</v>
      </c>
      <c r="J3685">
        <v>130</v>
      </c>
      <c r="K3685" t="s">
        <v>27</v>
      </c>
      <c r="L3685" t="s">
        <v>27</v>
      </c>
      <c r="M3685" t="s">
        <v>27</v>
      </c>
      <c r="N3685" t="s">
        <v>27</v>
      </c>
      <c r="O3685" t="s">
        <v>27</v>
      </c>
      <c r="P3685" t="s">
        <v>27</v>
      </c>
      <c r="Q3685" t="s">
        <v>27</v>
      </c>
      <c r="R3685" t="s">
        <v>16987</v>
      </c>
      <c r="T3685" t="s">
        <v>16819</v>
      </c>
      <c r="U3685" t="s">
        <v>16988</v>
      </c>
    </row>
    <row r="3686" spans="1:21" x14ac:dyDescent="0.25">
      <c r="A3686" t="s">
        <v>16989</v>
      </c>
      <c r="B3686" t="s">
        <v>22</v>
      </c>
      <c r="C3686" t="s">
        <v>16990</v>
      </c>
      <c r="D3686">
        <f>90-2242615591</f>
        <v>-2242615501</v>
      </c>
      <c r="E3686" t="s">
        <v>16991</v>
      </c>
      <c r="F3686" t="s">
        <v>16816</v>
      </c>
      <c r="G3686" t="s">
        <v>16817</v>
      </c>
      <c r="H3686">
        <v>29.054262722168001</v>
      </c>
      <c r="I3686">
        <v>40.267829102673801</v>
      </c>
      <c r="J3686">
        <v>130</v>
      </c>
      <c r="K3686" t="s">
        <v>27</v>
      </c>
      <c r="L3686" t="s">
        <v>27</v>
      </c>
      <c r="M3686" t="s">
        <v>27</v>
      </c>
      <c r="N3686" t="s">
        <v>27</v>
      </c>
      <c r="O3686" t="s">
        <v>27</v>
      </c>
      <c r="P3686" t="s">
        <v>27</v>
      </c>
      <c r="Q3686" t="s">
        <v>27</v>
      </c>
      <c r="R3686" t="s">
        <v>16992</v>
      </c>
      <c r="T3686" t="s">
        <v>16819</v>
      </c>
      <c r="U3686" t="s">
        <v>16993</v>
      </c>
    </row>
    <row r="3687" spans="1:21" x14ac:dyDescent="0.25">
      <c r="A3687" t="s">
        <v>16994</v>
      </c>
      <c r="B3687" t="s">
        <v>22</v>
      </c>
      <c r="C3687" t="s">
        <v>16995</v>
      </c>
      <c r="D3687">
        <f>90-2166631942</f>
        <v>-2166631852</v>
      </c>
      <c r="E3687" t="s">
        <v>16815</v>
      </c>
      <c r="F3687" t="s">
        <v>16816</v>
      </c>
      <c r="G3687" t="s">
        <v>16817</v>
      </c>
      <c r="H3687">
        <v>29.100660000000001</v>
      </c>
      <c r="I3687">
        <v>40.986181000000002</v>
      </c>
      <c r="J3687">
        <v>130</v>
      </c>
      <c r="K3687" t="s">
        <v>27</v>
      </c>
      <c r="L3687" t="s">
        <v>27</v>
      </c>
      <c r="M3687" t="s">
        <v>27</v>
      </c>
      <c r="N3687" t="s">
        <v>27</v>
      </c>
      <c r="O3687" t="s">
        <v>27</v>
      </c>
      <c r="P3687" t="s">
        <v>27</v>
      </c>
      <c r="Q3687" t="s">
        <v>27</v>
      </c>
      <c r="R3687" t="s">
        <v>16996</v>
      </c>
      <c r="T3687" t="s">
        <v>16819</v>
      </c>
      <c r="U3687" t="s">
        <v>16997</v>
      </c>
    </row>
    <row r="3688" spans="1:21" x14ac:dyDescent="0.25">
      <c r="A3688" t="s">
        <v>16998</v>
      </c>
      <c r="B3688" t="s">
        <v>22</v>
      </c>
      <c r="C3688" t="s">
        <v>16999</v>
      </c>
      <c r="D3688">
        <f>90-2244138452</f>
        <v>-2244138362</v>
      </c>
      <c r="E3688" t="s">
        <v>16991</v>
      </c>
      <c r="F3688" t="s">
        <v>16816</v>
      </c>
      <c r="G3688" t="s">
        <v>16817</v>
      </c>
      <c r="H3688">
        <v>28.918053</v>
      </c>
      <c r="I3688">
        <v>40.213065999999998</v>
      </c>
      <c r="J3688">
        <v>130</v>
      </c>
      <c r="K3688" t="s">
        <v>27</v>
      </c>
      <c r="L3688" t="s">
        <v>27</v>
      </c>
      <c r="M3688" t="s">
        <v>27</v>
      </c>
      <c r="N3688" t="s">
        <v>27</v>
      </c>
      <c r="O3688" t="s">
        <v>27</v>
      </c>
      <c r="P3688" t="s">
        <v>27</v>
      </c>
      <c r="Q3688" t="s">
        <v>27</v>
      </c>
      <c r="R3688" t="s">
        <v>17000</v>
      </c>
      <c r="T3688" t="s">
        <v>16819</v>
      </c>
      <c r="U3688" t="s">
        <v>17001</v>
      </c>
    </row>
    <row r="3689" spans="1:21" x14ac:dyDescent="0.25">
      <c r="A3689" t="s">
        <v>17002</v>
      </c>
      <c r="B3689" t="s">
        <v>38</v>
      </c>
      <c r="C3689" t="s">
        <v>17003</v>
      </c>
      <c r="D3689">
        <f>90-2842126828</f>
        <v>-2842126738</v>
      </c>
      <c r="E3689" t="s">
        <v>17004</v>
      </c>
      <c r="F3689" t="s">
        <v>16816</v>
      </c>
      <c r="G3689" t="s">
        <v>16817</v>
      </c>
      <c r="H3689">
        <v>26.571396</v>
      </c>
      <c r="I3689">
        <v>41.667127999999998</v>
      </c>
      <c r="J3689">
        <v>130</v>
      </c>
      <c r="K3689" t="s">
        <v>27</v>
      </c>
      <c r="L3689" t="s">
        <v>27</v>
      </c>
      <c r="M3689" t="s">
        <v>27</v>
      </c>
      <c r="N3689" t="s">
        <v>27</v>
      </c>
      <c r="O3689" t="s">
        <v>27</v>
      </c>
      <c r="P3689" t="s">
        <v>27</v>
      </c>
      <c r="Q3689" t="s">
        <v>27</v>
      </c>
      <c r="R3689" t="s">
        <v>17005</v>
      </c>
      <c r="T3689" t="s">
        <v>16819</v>
      </c>
      <c r="U3689" t="s">
        <v>17006</v>
      </c>
    </row>
    <row r="3690" spans="1:21" x14ac:dyDescent="0.25">
      <c r="A3690" t="s">
        <v>17007</v>
      </c>
      <c r="B3690" t="s">
        <v>22</v>
      </c>
      <c r="C3690" t="s">
        <v>17008</v>
      </c>
      <c r="D3690">
        <f>90-2425021809</f>
        <v>-2425021719</v>
      </c>
      <c r="E3690" t="s">
        <v>16871</v>
      </c>
      <c r="F3690" t="s">
        <v>16816</v>
      </c>
      <c r="G3690" t="s">
        <v>16817</v>
      </c>
      <c r="H3690">
        <v>30.786632999999998</v>
      </c>
      <c r="I3690">
        <v>36.921050000000001</v>
      </c>
      <c r="J3690">
        <v>130</v>
      </c>
      <c r="K3690" t="s">
        <v>27</v>
      </c>
      <c r="L3690" t="s">
        <v>27</v>
      </c>
      <c r="M3690" t="s">
        <v>27</v>
      </c>
      <c r="N3690" t="s">
        <v>27</v>
      </c>
      <c r="O3690" t="s">
        <v>27</v>
      </c>
      <c r="P3690" t="s">
        <v>27</v>
      </c>
      <c r="Q3690" t="s">
        <v>27</v>
      </c>
      <c r="R3690" t="s">
        <v>17009</v>
      </c>
      <c r="T3690" t="s">
        <v>16873</v>
      </c>
      <c r="U3690" t="s">
        <v>17010</v>
      </c>
    </row>
    <row r="3691" spans="1:21" x14ac:dyDescent="0.25">
      <c r="A3691" t="s">
        <v>17011</v>
      </c>
      <c r="B3691" t="s">
        <v>22</v>
      </c>
      <c r="C3691" t="s">
        <v>17012</v>
      </c>
      <c r="D3691">
        <f>90-2324652676</f>
        <v>-2324652586</v>
      </c>
      <c r="E3691" t="s">
        <v>16936</v>
      </c>
      <c r="F3691" t="s">
        <v>16816</v>
      </c>
      <c r="G3691" t="s">
        <v>16817</v>
      </c>
      <c r="H3691">
        <v>27.135328999999999</v>
      </c>
      <c r="I3691">
        <v>38.338445</v>
      </c>
      <c r="J3691">
        <v>115</v>
      </c>
      <c r="K3691" t="s">
        <v>27</v>
      </c>
      <c r="L3691" t="s">
        <v>27</v>
      </c>
      <c r="M3691" t="s">
        <v>27</v>
      </c>
      <c r="N3691" t="s">
        <v>27</v>
      </c>
      <c r="O3691" t="s">
        <v>27</v>
      </c>
      <c r="P3691" t="s">
        <v>27</v>
      </c>
      <c r="Q3691" t="s">
        <v>27</v>
      </c>
      <c r="R3691" t="s">
        <v>17013</v>
      </c>
      <c r="T3691" t="s">
        <v>16932</v>
      </c>
      <c r="U3691" t="s">
        <v>17014</v>
      </c>
    </row>
    <row r="3692" spans="1:21" x14ac:dyDescent="0.25">
      <c r="A3692" t="s">
        <v>17015</v>
      </c>
      <c r="B3692" t="s">
        <v>38</v>
      </c>
      <c r="C3692" t="s">
        <v>17016</v>
      </c>
      <c r="D3692">
        <f>90-3125020471</f>
        <v>-3125020381</v>
      </c>
      <c r="E3692" t="s">
        <v>16839</v>
      </c>
      <c r="F3692" t="s">
        <v>16816</v>
      </c>
      <c r="G3692" t="s">
        <v>16817</v>
      </c>
      <c r="H3692">
        <v>32.610872000000001</v>
      </c>
      <c r="I3692">
        <v>39.983291999999999</v>
      </c>
      <c r="J3692">
        <v>130</v>
      </c>
      <c r="K3692" t="s">
        <v>27</v>
      </c>
      <c r="L3692" t="s">
        <v>27</v>
      </c>
      <c r="M3692" t="s">
        <v>27</v>
      </c>
      <c r="N3692" t="s">
        <v>27</v>
      </c>
      <c r="O3692" t="s">
        <v>27</v>
      </c>
      <c r="P3692" t="s">
        <v>27</v>
      </c>
      <c r="Q3692" t="s">
        <v>27</v>
      </c>
      <c r="R3692" t="s">
        <v>17017</v>
      </c>
      <c r="T3692" t="s">
        <v>16841</v>
      </c>
      <c r="U3692" t="s">
        <v>17018</v>
      </c>
    </row>
    <row r="3693" spans="1:21" x14ac:dyDescent="0.25">
      <c r="A3693" t="s">
        <v>17019</v>
      </c>
      <c r="B3693" t="s">
        <v>22</v>
      </c>
      <c r="C3693" t="s">
        <v>17020</v>
      </c>
      <c r="D3693">
        <f>90-3222710839</f>
        <v>-3222710749</v>
      </c>
      <c r="E3693" t="s">
        <v>16968</v>
      </c>
      <c r="F3693" t="s">
        <v>16816</v>
      </c>
      <c r="G3693" t="s">
        <v>16817</v>
      </c>
      <c r="H3693">
        <v>35.243592</v>
      </c>
      <c r="I3693">
        <v>37.017622000000003</v>
      </c>
      <c r="J3693">
        <v>130</v>
      </c>
      <c r="K3693" t="s">
        <v>27</v>
      </c>
      <c r="L3693" t="s">
        <v>27</v>
      </c>
      <c r="M3693" t="s">
        <v>27</v>
      </c>
      <c r="N3693" t="s">
        <v>27</v>
      </c>
      <c r="O3693" t="s">
        <v>27</v>
      </c>
      <c r="P3693" t="s">
        <v>27</v>
      </c>
      <c r="Q3693" t="s">
        <v>27</v>
      </c>
      <c r="R3693" t="s">
        <v>17021</v>
      </c>
      <c r="T3693" t="s">
        <v>16873</v>
      </c>
      <c r="U3693" t="s">
        <v>17022</v>
      </c>
    </row>
    <row r="3694" spans="1:21" x14ac:dyDescent="0.25">
      <c r="A3694" t="s">
        <v>17023</v>
      </c>
      <c r="B3694" t="s">
        <v>22</v>
      </c>
      <c r="C3694" t="s">
        <v>17024</v>
      </c>
      <c r="D3694">
        <f>90-2165103814</f>
        <v>-2165103724</v>
      </c>
      <c r="E3694" t="s">
        <v>16815</v>
      </c>
      <c r="F3694" t="s">
        <v>16816</v>
      </c>
      <c r="G3694" t="s">
        <v>16817</v>
      </c>
      <c r="H3694">
        <v>29.122035</v>
      </c>
      <c r="I3694">
        <v>40.952796999999997</v>
      </c>
      <c r="J3694">
        <v>130</v>
      </c>
      <c r="K3694" t="s">
        <v>27</v>
      </c>
      <c r="L3694" t="s">
        <v>27</v>
      </c>
      <c r="M3694" t="s">
        <v>27</v>
      </c>
      <c r="N3694" t="s">
        <v>27</v>
      </c>
      <c r="O3694" t="s">
        <v>27</v>
      </c>
      <c r="P3694" t="s">
        <v>27</v>
      </c>
      <c r="Q3694" t="s">
        <v>27</v>
      </c>
      <c r="R3694" t="s">
        <v>17025</v>
      </c>
      <c r="T3694" t="s">
        <v>16819</v>
      </c>
      <c r="U3694" t="s">
        <v>17026</v>
      </c>
    </row>
    <row r="3695" spans="1:21" x14ac:dyDescent="0.25">
      <c r="A3695" t="s">
        <v>17027</v>
      </c>
      <c r="B3695" t="s">
        <v>22</v>
      </c>
      <c r="C3695" t="s">
        <v>17028</v>
      </c>
      <c r="D3695">
        <f>90-2165155093</f>
        <v>-2165155003</v>
      </c>
      <c r="E3695" t="s">
        <v>16815</v>
      </c>
      <c r="F3695" t="s">
        <v>16816</v>
      </c>
      <c r="G3695" t="s">
        <v>16817</v>
      </c>
      <c r="H3695">
        <v>29.166504</v>
      </c>
      <c r="I3695">
        <v>40.919423000000002</v>
      </c>
      <c r="J3695">
        <v>130</v>
      </c>
      <c r="K3695" t="s">
        <v>27</v>
      </c>
      <c r="L3695" t="s">
        <v>27</v>
      </c>
      <c r="M3695" t="s">
        <v>27</v>
      </c>
      <c r="N3695" t="s">
        <v>27</v>
      </c>
      <c r="O3695" t="s">
        <v>27</v>
      </c>
      <c r="P3695" t="s">
        <v>27</v>
      </c>
      <c r="Q3695" t="s">
        <v>27</v>
      </c>
      <c r="R3695" t="s">
        <v>17029</v>
      </c>
      <c r="T3695" t="s">
        <v>16819</v>
      </c>
      <c r="U3695" t="s">
        <v>17030</v>
      </c>
    </row>
    <row r="3696" spans="1:21" x14ac:dyDescent="0.25">
      <c r="A3696" t="s">
        <v>17031</v>
      </c>
      <c r="B3696" t="s">
        <v>22</v>
      </c>
      <c r="C3696" t="s">
        <v>17032</v>
      </c>
      <c r="D3696">
        <f>90-2325046005</f>
        <v>-2325045915</v>
      </c>
      <c r="E3696" t="s">
        <v>16936</v>
      </c>
      <c r="F3696" t="s">
        <v>16816</v>
      </c>
      <c r="G3696" t="s">
        <v>16817</v>
      </c>
      <c r="H3696">
        <v>27.074805999999999</v>
      </c>
      <c r="I3696">
        <v>38.477753</v>
      </c>
      <c r="J3696">
        <v>130</v>
      </c>
      <c r="K3696" t="s">
        <v>27</v>
      </c>
      <c r="L3696" t="s">
        <v>27</v>
      </c>
      <c r="M3696" t="s">
        <v>27</v>
      </c>
      <c r="N3696" t="s">
        <v>27</v>
      </c>
      <c r="O3696" t="s">
        <v>27</v>
      </c>
      <c r="P3696" t="s">
        <v>27</v>
      </c>
      <c r="Q3696" t="s">
        <v>27</v>
      </c>
      <c r="R3696" t="s">
        <v>17033</v>
      </c>
      <c r="T3696" t="s">
        <v>16932</v>
      </c>
      <c r="U3696" t="s">
        <v>17034</v>
      </c>
    </row>
    <row r="3697" spans="1:21" x14ac:dyDescent="0.25">
      <c r="A3697" t="s">
        <v>17035</v>
      </c>
      <c r="B3697" t="s">
        <v>22</v>
      </c>
      <c r="C3697" t="s">
        <v>17036</v>
      </c>
      <c r="D3697">
        <f>90-2167550003</f>
        <v>-2167549913</v>
      </c>
      <c r="E3697" t="s">
        <v>16815</v>
      </c>
      <c r="F3697" t="s">
        <v>16816</v>
      </c>
      <c r="G3697" t="s">
        <v>16817</v>
      </c>
      <c r="H3697">
        <v>29.055416999999998</v>
      </c>
      <c r="I3697">
        <v>41.002212999999998</v>
      </c>
      <c r="J3697">
        <v>130</v>
      </c>
      <c r="K3697" t="s">
        <v>27</v>
      </c>
      <c r="L3697" t="s">
        <v>27</v>
      </c>
      <c r="M3697" t="s">
        <v>27</v>
      </c>
      <c r="N3697" t="s">
        <v>27</v>
      </c>
      <c r="O3697" t="s">
        <v>27</v>
      </c>
      <c r="P3697" t="s">
        <v>27</v>
      </c>
      <c r="Q3697" t="s">
        <v>27</v>
      </c>
      <c r="R3697" t="s">
        <v>17037</v>
      </c>
      <c r="T3697" t="s">
        <v>16873</v>
      </c>
      <c r="U3697" t="s">
        <v>17038</v>
      </c>
    </row>
    <row r="3698" spans="1:21" x14ac:dyDescent="0.25">
      <c r="A3698" t="s">
        <v>17039</v>
      </c>
      <c r="B3698" t="s">
        <v>22</v>
      </c>
      <c r="C3698" t="s">
        <v>17040</v>
      </c>
      <c r="D3698">
        <f>90-2166502381</f>
        <v>-2166502291</v>
      </c>
      <c r="E3698" t="s">
        <v>16815</v>
      </c>
      <c r="F3698" t="s">
        <v>16816</v>
      </c>
      <c r="G3698" t="s">
        <v>16817</v>
      </c>
      <c r="H3698">
        <v>29.126853000000001</v>
      </c>
      <c r="I3698">
        <v>41.024994999999997</v>
      </c>
      <c r="J3698">
        <v>130</v>
      </c>
      <c r="K3698" t="s">
        <v>27</v>
      </c>
      <c r="L3698" t="s">
        <v>27</v>
      </c>
      <c r="M3698" t="s">
        <v>27</v>
      </c>
      <c r="N3698" t="s">
        <v>27</v>
      </c>
      <c r="O3698" t="s">
        <v>27</v>
      </c>
      <c r="P3698" t="s">
        <v>27</v>
      </c>
      <c r="Q3698" t="s">
        <v>27</v>
      </c>
      <c r="R3698" t="s">
        <v>17041</v>
      </c>
      <c r="S3698" t="s">
        <v>17042</v>
      </c>
      <c r="T3698" t="s">
        <v>16819</v>
      </c>
      <c r="U3698" t="s">
        <v>17043</v>
      </c>
    </row>
    <row r="3699" spans="1:21" x14ac:dyDescent="0.25">
      <c r="A3699" t="s">
        <v>17044</v>
      </c>
      <c r="B3699" t="s">
        <v>2322</v>
      </c>
      <c r="C3699" t="s">
        <v>17045</v>
      </c>
      <c r="D3699">
        <f>886-2-77291310</f>
        <v>-77290426</v>
      </c>
      <c r="E3699" t="s">
        <v>17046</v>
      </c>
      <c r="F3699" t="s">
        <v>17047</v>
      </c>
      <c r="G3699" t="s">
        <v>17048</v>
      </c>
      <c r="H3699">
        <v>121.567289376258</v>
      </c>
      <c r="I3699">
        <v>25.037680290521099</v>
      </c>
      <c r="J3699">
        <v>220</v>
      </c>
      <c r="K3699" t="s">
        <v>2229</v>
      </c>
      <c r="L3699" t="s">
        <v>2229</v>
      </c>
      <c r="M3699" t="s">
        <v>2229</v>
      </c>
      <c r="N3699" t="s">
        <v>2229</v>
      </c>
      <c r="O3699" t="s">
        <v>2230</v>
      </c>
      <c r="P3699" t="s">
        <v>2230</v>
      </c>
      <c r="Q3699" t="s">
        <v>2229</v>
      </c>
      <c r="R3699" t="s">
        <v>17045</v>
      </c>
      <c r="S3699" t="s">
        <v>17049</v>
      </c>
      <c r="U3699" t="s">
        <v>17050</v>
      </c>
    </row>
    <row r="3700" spans="1:21" x14ac:dyDescent="0.25">
      <c r="A3700" t="s">
        <v>17051</v>
      </c>
      <c r="B3700" t="s">
        <v>2322</v>
      </c>
      <c r="C3700" t="s">
        <v>17052</v>
      </c>
      <c r="D3700">
        <f>886-2-7726-6666</f>
        <v>-13508</v>
      </c>
      <c r="E3700" t="s">
        <v>17046</v>
      </c>
      <c r="F3700" t="s">
        <v>17047</v>
      </c>
      <c r="G3700" t="s">
        <v>17048</v>
      </c>
      <c r="H3700">
        <v>121.50740956563401</v>
      </c>
      <c r="I3700">
        <v>25.042821255068802</v>
      </c>
      <c r="J3700">
        <v>220</v>
      </c>
      <c r="K3700" t="s">
        <v>2230</v>
      </c>
      <c r="L3700" t="s">
        <v>2230</v>
      </c>
      <c r="M3700" t="s">
        <v>2230</v>
      </c>
      <c r="N3700" t="s">
        <v>2230</v>
      </c>
      <c r="O3700" t="s">
        <v>2236</v>
      </c>
      <c r="P3700" t="s">
        <v>2236</v>
      </c>
      <c r="Q3700" t="s">
        <v>2230</v>
      </c>
      <c r="R3700" t="s">
        <v>17052</v>
      </c>
      <c r="S3700" t="s">
        <v>17053</v>
      </c>
      <c r="U3700" t="s">
        <v>17054</v>
      </c>
    </row>
    <row r="3701" spans="1:21" x14ac:dyDescent="0.25">
      <c r="A3701" t="s">
        <v>17055</v>
      </c>
      <c r="B3701" t="s">
        <v>22</v>
      </c>
      <c r="C3701" t="s">
        <v>17056</v>
      </c>
      <c r="D3701">
        <f>886-7-9701155</f>
        <v>-9700276</v>
      </c>
      <c r="E3701" t="s">
        <v>17057</v>
      </c>
      <c r="F3701" t="s">
        <v>17047</v>
      </c>
      <c r="G3701" t="s">
        <v>17048</v>
      </c>
      <c r="H3701">
        <v>120.30697137940599</v>
      </c>
      <c r="I3701">
        <v>22.595030428909801</v>
      </c>
      <c r="J3701">
        <v>220</v>
      </c>
      <c r="K3701" t="s">
        <v>2229</v>
      </c>
      <c r="L3701" t="s">
        <v>2229</v>
      </c>
      <c r="M3701" t="s">
        <v>2229</v>
      </c>
      <c r="N3701" t="s">
        <v>2229</v>
      </c>
      <c r="O3701" t="s">
        <v>3815</v>
      </c>
      <c r="P3701" t="s">
        <v>3815</v>
      </c>
      <c r="Q3701" t="s">
        <v>3814</v>
      </c>
      <c r="R3701" t="s">
        <v>17056</v>
      </c>
      <c r="S3701" t="s">
        <v>17058</v>
      </c>
      <c r="U3701" t="s">
        <v>17059</v>
      </c>
    </row>
    <row r="3702" spans="1:21" x14ac:dyDescent="0.25">
      <c r="A3702" t="s">
        <v>17060</v>
      </c>
      <c r="B3702" t="s">
        <v>22</v>
      </c>
      <c r="C3702" t="s">
        <v>17061</v>
      </c>
      <c r="D3702">
        <f>886-4-37020606</f>
        <v>-37019724</v>
      </c>
      <c r="E3702" t="s">
        <v>17062</v>
      </c>
      <c r="F3702" t="s">
        <v>17047</v>
      </c>
      <c r="G3702" t="s">
        <v>17048</v>
      </c>
      <c r="H3702">
        <v>120.684870562518</v>
      </c>
      <c r="I3702">
        <v>24.1525523867166</v>
      </c>
      <c r="J3702">
        <v>220</v>
      </c>
      <c r="K3702" t="s">
        <v>3736</v>
      </c>
      <c r="L3702" t="s">
        <v>3736</v>
      </c>
      <c r="M3702" t="s">
        <v>3736</v>
      </c>
      <c r="N3702" t="s">
        <v>3736</v>
      </c>
      <c r="O3702" t="s">
        <v>2229</v>
      </c>
      <c r="P3702" t="s">
        <v>2229</v>
      </c>
      <c r="Q3702" t="s">
        <v>3736</v>
      </c>
      <c r="R3702" t="s">
        <v>17061</v>
      </c>
      <c r="S3702" t="s">
        <v>17063</v>
      </c>
      <c r="U3702" t="s">
        <v>17064</v>
      </c>
    </row>
    <row r="3703" spans="1:21" x14ac:dyDescent="0.25">
      <c r="A3703" t="s">
        <v>17065</v>
      </c>
      <c r="B3703" t="s">
        <v>22</v>
      </c>
      <c r="C3703" t="s">
        <v>17066</v>
      </c>
      <c r="D3703">
        <f>886-7-9745777</f>
        <v>-9744898</v>
      </c>
      <c r="E3703" t="s">
        <v>17057</v>
      </c>
      <c r="F3703" t="s">
        <v>17047</v>
      </c>
      <c r="G3703" t="s">
        <v>17048</v>
      </c>
      <c r="H3703">
        <v>120.30293733704799</v>
      </c>
      <c r="I3703">
        <v>22.669320133346002</v>
      </c>
      <c r="J3703">
        <v>220</v>
      </c>
      <c r="K3703" t="s">
        <v>11495</v>
      </c>
      <c r="L3703" t="s">
        <v>11495</v>
      </c>
      <c r="M3703" t="s">
        <v>11495</v>
      </c>
      <c r="N3703" t="s">
        <v>11495</v>
      </c>
      <c r="O3703" t="s">
        <v>11495</v>
      </c>
      <c r="P3703" t="s">
        <v>11495</v>
      </c>
      <c r="Q3703" t="s">
        <v>11495</v>
      </c>
      <c r="R3703" t="s">
        <v>17066</v>
      </c>
      <c r="S3703" t="s">
        <v>17067</v>
      </c>
      <c r="U3703" t="s">
        <v>17068</v>
      </c>
    </row>
    <row r="3704" spans="1:21" x14ac:dyDescent="0.25">
      <c r="A3704" t="s">
        <v>17069</v>
      </c>
      <c r="B3704" t="s">
        <v>22</v>
      </c>
      <c r="C3704" t="s">
        <v>17070</v>
      </c>
      <c r="D3704">
        <f>886-4-37037272</f>
        <v>-37036390</v>
      </c>
      <c r="E3704" t="s">
        <v>17062</v>
      </c>
      <c r="F3704" t="s">
        <v>17047</v>
      </c>
      <c r="G3704" t="s">
        <v>17048</v>
      </c>
      <c r="H3704">
        <v>120.644401392901</v>
      </c>
      <c r="I3704">
        <v>24.164436439764</v>
      </c>
      <c r="J3704">
        <v>220</v>
      </c>
      <c r="K3704" t="s">
        <v>2229</v>
      </c>
      <c r="L3704" t="s">
        <v>2229</v>
      </c>
      <c r="M3704" t="s">
        <v>2229</v>
      </c>
      <c r="N3704" t="s">
        <v>2229</v>
      </c>
      <c r="O3704" t="s">
        <v>2229</v>
      </c>
      <c r="P3704" t="s">
        <v>3814</v>
      </c>
      <c r="Q3704" t="s">
        <v>3814</v>
      </c>
      <c r="R3704" t="s">
        <v>17070</v>
      </c>
      <c r="S3704" t="s">
        <v>17071</v>
      </c>
      <c r="U3704" t="s">
        <v>17072</v>
      </c>
    </row>
    <row r="3705" spans="1:21" x14ac:dyDescent="0.25">
      <c r="A3705" t="s">
        <v>17073</v>
      </c>
      <c r="B3705" t="s">
        <v>22</v>
      </c>
      <c r="C3705" t="s">
        <v>17074</v>
      </c>
      <c r="D3705">
        <f>886-3-6200168</f>
        <v>-6199285</v>
      </c>
      <c r="E3705" t="s">
        <v>17075</v>
      </c>
      <c r="F3705" t="s">
        <v>17047</v>
      </c>
      <c r="G3705" t="s">
        <v>17048</v>
      </c>
      <c r="H3705">
        <v>120.974747021487</v>
      </c>
      <c r="I3705">
        <v>24.8095611889498</v>
      </c>
      <c r="J3705">
        <v>220</v>
      </c>
      <c r="K3705" t="s">
        <v>3736</v>
      </c>
      <c r="L3705" t="s">
        <v>3736</v>
      </c>
      <c r="M3705" t="s">
        <v>3736</v>
      </c>
      <c r="N3705" t="s">
        <v>3736</v>
      </c>
      <c r="O3705" t="s">
        <v>2229</v>
      </c>
      <c r="P3705" t="s">
        <v>2229</v>
      </c>
      <c r="Q3705" t="s">
        <v>3736</v>
      </c>
      <c r="R3705" t="s">
        <v>17074</v>
      </c>
      <c r="S3705" t="s">
        <v>17076</v>
      </c>
      <c r="U3705" t="s">
        <v>17077</v>
      </c>
    </row>
    <row r="3706" spans="1:21" x14ac:dyDescent="0.25">
      <c r="A3706" t="s">
        <v>17078</v>
      </c>
      <c r="B3706" t="s">
        <v>22</v>
      </c>
      <c r="C3706" t="s">
        <v>17079</v>
      </c>
      <c r="D3706">
        <f>886-7-970-5566</f>
        <v>-5657</v>
      </c>
      <c r="E3706" t="s">
        <v>17057</v>
      </c>
      <c r="F3706" t="s">
        <v>17047</v>
      </c>
      <c r="G3706" t="s">
        <v>17048</v>
      </c>
      <c r="H3706">
        <v>120.329759427197</v>
      </c>
      <c r="I3706">
        <v>22.581954774336602</v>
      </c>
      <c r="J3706">
        <v>220</v>
      </c>
      <c r="K3706" t="s">
        <v>2229</v>
      </c>
      <c r="L3706" t="s">
        <v>2229</v>
      </c>
      <c r="M3706" t="s">
        <v>2229</v>
      </c>
      <c r="N3706" t="s">
        <v>2229</v>
      </c>
      <c r="O3706" t="s">
        <v>2229</v>
      </c>
      <c r="P3706" t="s">
        <v>3814</v>
      </c>
      <c r="Q3706" t="s">
        <v>3814</v>
      </c>
      <c r="R3706" t="s">
        <v>17079</v>
      </c>
      <c r="S3706" t="s">
        <v>17080</v>
      </c>
      <c r="U3706" t="s">
        <v>17081</v>
      </c>
    </row>
    <row r="3707" spans="1:21" x14ac:dyDescent="0.25">
      <c r="A3707" t="s">
        <v>17082</v>
      </c>
      <c r="B3707" t="s">
        <v>22</v>
      </c>
      <c r="C3707" t="s">
        <v>17083</v>
      </c>
      <c r="D3707">
        <f>886-3-272-2088</f>
        <v>-1477</v>
      </c>
      <c r="E3707" t="s">
        <v>17084</v>
      </c>
      <c r="F3707" t="s">
        <v>17047</v>
      </c>
      <c r="G3707" t="s">
        <v>17048</v>
      </c>
      <c r="H3707">
        <v>121.22898949472599</v>
      </c>
      <c r="I3707">
        <v>25.0011889730871</v>
      </c>
      <c r="J3707">
        <v>220</v>
      </c>
      <c r="K3707" t="s">
        <v>3736</v>
      </c>
      <c r="L3707" t="s">
        <v>3736</v>
      </c>
      <c r="M3707" t="s">
        <v>3736</v>
      </c>
      <c r="N3707" t="s">
        <v>3736</v>
      </c>
      <c r="O3707" t="s">
        <v>2229</v>
      </c>
      <c r="P3707" t="s">
        <v>2229</v>
      </c>
      <c r="Q3707" t="s">
        <v>2229</v>
      </c>
      <c r="R3707" t="s">
        <v>17083</v>
      </c>
      <c r="S3707" t="s">
        <v>17085</v>
      </c>
      <c r="U3707" t="s">
        <v>17086</v>
      </c>
    </row>
    <row r="3708" spans="1:21" x14ac:dyDescent="0.25">
      <c r="A3708" t="s">
        <v>17087</v>
      </c>
      <c r="B3708" t="s">
        <v>22</v>
      </c>
      <c r="C3708" t="s">
        <v>17088</v>
      </c>
      <c r="D3708">
        <f>886-4-3705-505</f>
        <v>-3328</v>
      </c>
      <c r="E3708" t="s">
        <v>17062</v>
      </c>
      <c r="F3708" t="s">
        <v>17047</v>
      </c>
      <c r="G3708" t="s">
        <v>17048</v>
      </c>
      <c r="H3708">
        <v>120.687681517565</v>
      </c>
      <c r="I3708">
        <v>24.1359089390447</v>
      </c>
      <c r="J3708">
        <v>220</v>
      </c>
      <c r="K3708" t="s">
        <v>2229</v>
      </c>
      <c r="L3708" t="s">
        <v>2229</v>
      </c>
      <c r="M3708" t="s">
        <v>2229</v>
      </c>
      <c r="N3708" t="s">
        <v>2229</v>
      </c>
      <c r="O3708" t="s">
        <v>2229</v>
      </c>
      <c r="P3708" t="s">
        <v>3814</v>
      </c>
      <c r="Q3708" t="s">
        <v>3814</v>
      </c>
      <c r="R3708" t="s">
        <v>17088</v>
      </c>
      <c r="S3708" t="s">
        <v>17089</v>
      </c>
      <c r="U3708" t="s">
        <v>17090</v>
      </c>
    </row>
    <row r="3709" spans="1:21" x14ac:dyDescent="0.25">
      <c r="A3709" t="s">
        <v>17091</v>
      </c>
      <c r="B3709" t="s">
        <v>38</v>
      </c>
      <c r="C3709" t="s">
        <v>17092</v>
      </c>
      <c r="D3709">
        <f>886-3-8900055</f>
        <v>-8899172</v>
      </c>
      <c r="E3709" t="s">
        <v>17093</v>
      </c>
      <c r="F3709" t="s">
        <v>17047</v>
      </c>
      <c r="G3709" t="s">
        <v>17048</v>
      </c>
      <c r="H3709">
        <v>121.599017937017</v>
      </c>
      <c r="I3709">
        <v>23.978414989730599</v>
      </c>
      <c r="J3709">
        <v>220</v>
      </c>
      <c r="K3709" t="s">
        <v>2229</v>
      </c>
      <c r="L3709" t="s">
        <v>2229</v>
      </c>
      <c r="M3709" t="s">
        <v>2229</v>
      </c>
      <c r="N3709" t="s">
        <v>2229</v>
      </c>
      <c r="O3709" t="s">
        <v>2229</v>
      </c>
      <c r="P3709" t="s">
        <v>2229</v>
      </c>
      <c r="Q3709" t="s">
        <v>2229</v>
      </c>
      <c r="R3709" t="s">
        <v>17092</v>
      </c>
      <c r="S3709" t="s">
        <v>17094</v>
      </c>
      <c r="U3709" t="s">
        <v>17095</v>
      </c>
    </row>
    <row r="3710" spans="1:21" x14ac:dyDescent="0.25">
      <c r="A3710" t="s">
        <v>17096</v>
      </c>
      <c r="B3710" t="s">
        <v>38</v>
      </c>
      <c r="C3710" t="s">
        <v>17097</v>
      </c>
      <c r="D3710">
        <f>886-6-7003240</f>
        <v>-7002360</v>
      </c>
      <c r="E3710" t="s">
        <v>17098</v>
      </c>
      <c r="F3710" t="s">
        <v>17047</v>
      </c>
      <c r="G3710" t="s">
        <v>17048</v>
      </c>
      <c r="H3710">
        <v>120.214326</v>
      </c>
      <c r="I3710">
        <v>22.996321999999999</v>
      </c>
      <c r="J3710">
        <v>220</v>
      </c>
      <c r="K3710" t="s">
        <v>2229</v>
      </c>
      <c r="L3710" t="s">
        <v>2229</v>
      </c>
      <c r="M3710" t="s">
        <v>2229</v>
      </c>
      <c r="N3710" t="s">
        <v>2229</v>
      </c>
      <c r="O3710" t="s">
        <v>2229</v>
      </c>
      <c r="P3710" t="s">
        <v>2229</v>
      </c>
      <c r="Q3710" t="s">
        <v>2229</v>
      </c>
      <c r="R3710" t="s">
        <v>17097</v>
      </c>
      <c r="S3710" t="s">
        <v>17099</v>
      </c>
      <c r="U3710" t="s">
        <v>17100</v>
      </c>
    </row>
    <row r="3711" spans="1:21" x14ac:dyDescent="0.25">
      <c r="A3711" t="s">
        <v>17101</v>
      </c>
      <c r="B3711" t="s">
        <v>22</v>
      </c>
      <c r="C3711" t="s">
        <v>17102</v>
      </c>
      <c r="D3711">
        <f>886-2-7750-5142</f>
        <v>-12008</v>
      </c>
      <c r="E3711" t="s">
        <v>17046</v>
      </c>
      <c r="F3711" t="s">
        <v>17047</v>
      </c>
      <c r="G3711" t="s">
        <v>17048</v>
      </c>
      <c r="H3711">
        <v>121.55155000000001</v>
      </c>
      <c r="I3711">
        <v>25.041239999999998</v>
      </c>
      <c r="J3711">
        <v>220</v>
      </c>
      <c r="K3711" t="s">
        <v>9238</v>
      </c>
      <c r="L3711" t="s">
        <v>9238</v>
      </c>
      <c r="M3711" t="s">
        <v>9238</v>
      </c>
      <c r="N3711" t="s">
        <v>9238</v>
      </c>
      <c r="O3711" t="s">
        <v>9238</v>
      </c>
      <c r="P3711" t="s">
        <v>9238</v>
      </c>
      <c r="Q3711" t="s">
        <v>9238</v>
      </c>
      <c r="R3711" t="s">
        <v>17102</v>
      </c>
      <c r="S3711" t="s">
        <v>17103</v>
      </c>
      <c r="U3711" t="s">
        <v>17104</v>
      </c>
    </row>
    <row r="3712" spans="1:21" x14ac:dyDescent="0.25">
      <c r="A3712" t="s">
        <v>17105</v>
      </c>
      <c r="B3712" t="s">
        <v>38</v>
      </c>
      <c r="C3712" t="s">
        <v>17106</v>
      </c>
      <c r="D3712">
        <f>886-62093169</f>
        <v>-62092283</v>
      </c>
      <c r="E3712" t="s">
        <v>17098</v>
      </c>
      <c r="F3712" t="s">
        <v>17047</v>
      </c>
      <c r="G3712" t="s">
        <v>17048</v>
      </c>
      <c r="H3712">
        <v>120.233189</v>
      </c>
      <c r="I3712">
        <v>22.992107000000001</v>
      </c>
      <c r="J3712">
        <v>220</v>
      </c>
      <c r="K3712" t="s">
        <v>2229</v>
      </c>
      <c r="L3712" t="s">
        <v>2229</v>
      </c>
      <c r="M3712" t="s">
        <v>2229</v>
      </c>
      <c r="N3712" t="s">
        <v>2229</v>
      </c>
      <c r="O3712" t="s">
        <v>2229</v>
      </c>
      <c r="P3712" t="s">
        <v>2229</v>
      </c>
      <c r="Q3712" t="s">
        <v>2229</v>
      </c>
      <c r="R3712" t="s">
        <v>17106</v>
      </c>
      <c r="S3712" t="s">
        <v>17107</v>
      </c>
      <c r="U3712" t="s">
        <v>17108</v>
      </c>
    </row>
    <row r="3713" spans="1:21" x14ac:dyDescent="0.25">
      <c r="A3713" t="s">
        <v>17109</v>
      </c>
      <c r="B3713" t="s">
        <v>22</v>
      </c>
      <c r="C3713" t="s">
        <v>17110</v>
      </c>
      <c r="D3713">
        <f>38-443648102</f>
        <v>-443648064</v>
      </c>
      <c r="E3713" t="s">
        <v>17111</v>
      </c>
      <c r="F3713" t="s">
        <v>17112</v>
      </c>
      <c r="G3713" t="s">
        <v>17113</v>
      </c>
      <c r="H3713">
        <v>30.358689999999999</v>
      </c>
      <c r="I3713">
        <v>50.49474</v>
      </c>
      <c r="J3713">
        <v>125</v>
      </c>
      <c r="K3713" t="s">
        <v>27</v>
      </c>
      <c r="L3713" t="s">
        <v>27</v>
      </c>
      <c r="M3713" t="s">
        <v>27</v>
      </c>
      <c r="N3713" t="s">
        <v>27</v>
      </c>
      <c r="O3713" t="s">
        <v>27</v>
      </c>
      <c r="P3713" t="s">
        <v>27</v>
      </c>
      <c r="Q3713" t="s">
        <v>27</v>
      </c>
      <c r="R3713" t="s">
        <v>17110</v>
      </c>
      <c r="S3713" t="s">
        <v>17114</v>
      </c>
      <c r="T3713" t="s">
        <v>17115</v>
      </c>
      <c r="U3713" t="s">
        <v>17116</v>
      </c>
    </row>
    <row r="3714" spans="1:21" x14ac:dyDescent="0.25">
      <c r="A3714" t="s">
        <v>17117</v>
      </c>
      <c r="B3714" t="s">
        <v>22</v>
      </c>
      <c r="C3714" t="s">
        <v>17118</v>
      </c>
      <c r="D3714">
        <f>38-443648106</f>
        <v>-443648068</v>
      </c>
      <c r="E3714" t="s">
        <v>17111</v>
      </c>
      <c r="F3714" t="s">
        <v>17112</v>
      </c>
      <c r="G3714" t="s">
        <v>17113</v>
      </c>
      <c r="H3714">
        <v>30.557884000000001</v>
      </c>
      <c r="I3714">
        <v>50.493243999999997</v>
      </c>
      <c r="J3714">
        <v>125</v>
      </c>
      <c r="K3714" t="s">
        <v>27</v>
      </c>
      <c r="L3714" t="s">
        <v>27</v>
      </c>
      <c r="M3714" t="s">
        <v>27</v>
      </c>
      <c r="N3714" t="s">
        <v>27</v>
      </c>
      <c r="O3714" t="s">
        <v>27</v>
      </c>
      <c r="P3714" t="s">
        <v>27</v>
      </c>
      <c r="Q3714" t="s">
        <v>27</v>
      </c>
      <c r="R3714" t="s">
        <v>17118</v>
      </c>
      <c r="S3714" t="s">
        <v>17119</v>
      </c>
      <c r="T3714" t="s">
        <v>17115</v>
      </c>
      <c r="U3714" t="s">
        <v>17120</v>
      </c>
    </row>
    <row r="3715" spans="1:21" x14ac:dyDescent="0.25">
      <c r="A3715" t="s">
        <v>17121</v>
      </c>
      <c r="B3715" t="s">
        <v>22</v>
      </c>
      <c r="C3715" t="s">
        <v>17122</v>
      </c>
      <c r="D3715">
        <f>38-443630186</f>
        <v>-443630148</v>
      </c>
      <c r="E3715" t="s">
        <v>17111</v>
      </c>
      <c r="F3715" t="s">
        <v>17112</v>
      </c>
      <c r="G3715" t="s">
        <v>17113</v>
      </c>
      <c r="H3715">
        <v>30.612323</v>
      </c>
      <c r="I3715">
        <v>50.406582999999998</v>
      </c>
      <c r="J3715">
        <v>125</v>
      </c>
      <c r="K3715" t="s">
        <v>27</v>
      </c>
      <c r="L3715" t="s">
        <v>27</v>
      </c>
      <c r="M3715" t="s">
        <v>27</v>
      </c>
      <c r="N3715" t="s">
        <v>27</v>
      </c>
      <c r="O3715" t="s">
        <v>27</v>
      </c>
      <c r="P3715" t="s">
        <v>27</v>
      </c>
      <c r="Q3715" t="s">
        <v>27</v>
      </c>
      <c r="R3715" t="s">
        <v>17122</v>
      </c>
      <c r="S3715" t="s">
        <v>17123</v>
      </c>
      <c r="T3715" t="s">
        <v>17115</v>
      </c>
      <c r="U3715" t="s">
        <v>17124</v>
      </c>
    </row>
    <row r="3716" spans="1:21" x14ac:dyDescent="0.25">
      <c r="A3716" t="s">
        <v>17125</v>
      </c>
      <c r="B3716" t="s">
        <v>22</v>
      </c>
      <c r="C3716" t="s">
        <v>17126</v>
      </c>
      <c r="D3716">
        <f>38-443630470</f>
        <v>-443630432</v>
      </c>
      <c r="E3716" t="s">
        <v>17111</v>
      </c>
      <c r="F3716" t="s">
        <v>17112</v>
      </c>
      <c r="G3716" t="s">
        <v>17113</v>
      </c>
      <c r="H3716">
        <v>30.416523999999999</v>
      </c>
      <c r="I3716">
        <v>50.504123999999997</v>
      </c>
      <c r="J3716">
        <v>125</v>
      </c>
      <c r="K3716" t="s">
        <v>27</v>
      </c>
      <c r="L3716" t="s">
        <v>27</v>
      </c>
      <c r="M3716" t="s">
        <v>27</v>
      </c>
      <c r="N3716" t="s">
        <v>27</v>
      </c>
      <c r="O3716" t="s">
        <v>27</v>
      </c>
      <c r="P3716" t="s">
        <v>27</v>
      </c>
      <c r="Q3716" t="s">
        <v>27</v>
      </c>
      <c r="R3716" t="s">
        <v>17126</v>
      </c>
      <c r="S3716" t="s">
        <v>17127</v>
      </c>
      <c r="T3716" t="s">
        <v>17115</v>
      </c>
      <c r="U3716" t="s">
        <v>17128</v>
      </c>
    </row>
    <row r="3717" spans="1:21" x14ac:dyDescent="0.25">
      <c r="A3717" t="s">
        <v>17129</v>
      </c>
      <c r="B3717" t="s">
        <v>22</v>
      </c>
      <c r="C3717" t="s">
        <v>17130</v>
      </c>
      <c r="D3717">
        <f>38-443630475</f>
        <v>-443630437</v>
      </c>
      <c r="E3717" t="s">
        <v>17111</v>
      </c>
      <c r="F3717" t="s">
        <v>17112</v>
      </c>
      <c r="G3717" t="s">
        <v>17113</v>
      </c>
      <c r="H3717">
        <v>30.498273999999999</v>
      </c>
      <c r="I3717">
        <v>50.506509999999999</v>
      </c>
      <c r="J3717">
        <v>125</v>
      </c>
      <c r="K3717" t="s">
        <v>27</v>
      </c>
      <c r="L3717" t="s">
        <v>27</v>
      </c>
      <c r="M3717" t="s">
        <v>27</v>
      </c>
      <c r="N3717" t="s">
        <v>27</v>
      </c>
      <c r="O3717" t="s">
        <v>27</v>
      </c>
      <c r="P3717" t="s">
        <v>27</v>
      </c>
      <c r="Q3717" t="s">
        <v>27</v>
      </c>
      <c r="R3717" t="s">
        <v>17131</v>
      </c>
      <c r="T3717" t="s">
        <v>17115</v>
      </c>
      <c r="U3717" t="s">
        <v>17132</v>
      </c>
    </row>
    <row r="3718" spans="1:21" x14ac:dyDescent="0.25">
      <c r="A3718" t="s">
        <v>17133</v>
      </c>
      <c r="B3718" t="s">
        <v>38</v>
      </c>
      <c r="C3718" t="s">
        <v>17134</v>
      </c>
      <c r="D3718">
        <f>38-322267860</f>
        <v>-322267822</v>
      </c>
      <c r="E3718" t="s">
        <v>17135</v>
      </c>
      <c r="F3718" t="s">
        <v>17112</v>
      </c>
      <c r="G3718" t="s">
        <v>17113</v>
      </c>
      <c r="H3718">
        <v>23.9788194017334</v>
      </c>
      <c r="I3718">
        <v>49.8074281586211</v>
      </c>
      <c r="J3718">
        <v>115</v>
      </c>
      <c r="K3718" t="s">
        <v>27</v>
      </c>
      <c r="L3718" t="s">
        <v>27</v>
      </c>
      <c r="M3718" t="s">
        <v>27</v>
      </c>
      <c r="N3718" t="s">
        <v>27</v>
      </c>
      <c r="O3718" t="s">
        <v>27</v>
      </c>
      <c r="P3718" t="s">
        <v>27</v>
      </c>
      <c r="Q3718" t="s">
        <v>27</v>
      </c>
      <c r="R3718" t="s">
        <v>17136</v>
      </c>
      <c r="T3718" t="s">
        <v>17137</v>
      </c>
      <c r="U3718" t="s">
        <v>17138</v>
      </c>
    </row>
    <row r="3719" spans="1:21" x14ac:dyDescent="0.25">
      <c r="A3719" t="s">
        <v>17139</v>
      </c>
      <c r="B3719" t="s">
        <v>38</v>
      </c>
      <c r="C3719" t="s">
        <v>17140</v>
      </c>
      <c r="D3719">
        <f>38-487409376</f>
        <v>-487409338</v>
      </c>
      <c r="E3719" t="s">
        <v>17141</v>
      </c>
      <c r="F3719" t="s">
        <v>17112</v>
      </c>
      <c r="G3719" t="s">
        <v>17113</v>
      </c>
      <c r="H3719">
        <v>30.835565311691301</v>
      </c>
      <c r="I3719">
        <v>46.563943013988101</v>
      </c>
      <c r="J3719">
        <v>125</v>
      </c>
      <c r="K3719" t="s">
        <v>27</v>
      </c>
      <c r="L3719" t="s">
        <v>27</v>
      </c>
      <c r="M3719" t="s">
        <v>27</v>
      </c>
      <c r="N3719" t="s">
        <v>27</v>
      </c>
      <c r="O3719" t="s">
        <v>27</v>
      </c>
      <c r="P3719" t="s">
        <v>27</v>
      </c>
      <c r="Q3719" t="s">
        <v>27</v>
      </c>
      <c r="R3719" t="s">
        <v>17142</v>
      </c>
      <c r="T3719" t="s">
        <v>17141</v>
      </c>
      <c r="U3719" t="s">
        <v>17143</v>
      </c>
    </row>
    <row r="3720" spans="1:21" x14ac:dyDescent="0.25">
      <c r="A3720" t="s">
        <v>17144</v>
      </c>
      <c r="B3720" t="s">
        <v>38</v>
      </c>
      <c r="C3720" t="s">
        <v>17145</v>
      </c>
      <c r="D3720">
        <f>38-577660670</f>
        <v>-577660632</v>
      </c>
      <c r="E3720" t="s">
        <v>17146</v>
      </c>
      <c r="F3720" t="s">
        <v>17112</v>
      </c>
      <c r="G3720" t="s">
        <v>17113</v>
      </c>
      <c r="H3720">
        <v>36.234009346588202</v>
      </c>
      <c r="I3720">
        <v>49.991199697025102</v>
      </c>
      <c r="J3720">
        <v>125</v>
      </c>
      <c r="K3720" t="s">
        <v>27</v>
      </c>
      <c r="L3720" t="s">
        <v>27</v>
      </c>
      <c r="M3720" t="s">
        <v>27</v>
      </c>
      <c r="N3720" t="s">
        <v>27</v>
      </c>
      <c r="O3720" t="s">
        <v>27</v>
      </c>
      <c r="P3720" t="s">
        <v>27</v>
      </c>
      <c r="Q3720" t="s">
        <v>27</v>
      </c>
      <c r="R3720" t="s">
        <v>17147</v>
      </c>
      <c r="T3720" t="s">
        <v>17148</v>
      </c>
      <c r="U3720" t="s">
        <v>17149</v>
      </c>
    </row>
    <row r="3721" spans="1:21" x14ac:dyDescent="0.25">
      <c r="A3721" t="s">
        <v>17150</v>
      </c>
      <c r="B3721" t="s">
        <v>22</v>
      </c>
      <c r="C3721" t="s">
        <v>17151</v>
      </c>
      <c r="E3721" t="s">
        <v>17111</v>
      </c>
      <c r="F3721" t="s">
        <v>17112</v>
      </c>
      <c r="G3721" t="s">
        <v>17113</v>
      </c>
      <c r="H3721">
        <v>30.447332552337599</v>
      </c>
      <c r="I3721">
        <v>50.374331780304601</v>
      </c>
      <c r="J3721">
        <v>115</v>
      </c>
      <c r="K3721" t="s">
        <v>27</v>
      </c>
      <c r="L3721" t="s">
        <v>27</v>
      </c>
      <c r="M3721" t="s">
        <v>27</v>
      </c>
      <c r="N3721" t="s">
        <v>27</v>
      </c>
      <c r="O3721" t="s">
        <v>27</v>
      </c>
      <c r="P3721" t="s">
        <v>27</v>
      </c>
      <c r="Q3721" t="s">
        <v>27</v>
      </c>
      <c r="R3721" t="s">
        <v>17152</v>
      </c>
      <c r="S3721" t="s">
        <v>17153</v>
      </c>
      <c r="T3721" t="s">
        <v>17115</v>
      </c>
      <c r="U3721" t="s">
        <v>17154</v>
      </c>
    </row>
    <row r="3722" spans="1:21" x14ac:dyDescent="0.25">
      <c r="A3722" t="s">
        <v>14470</v>
      </c>
      <c r="B3722" t="s">
        <v>22</v>
      </c>
      <c r="C3722" t="s">
        <v>14471</v>
      </c>
      <c r="D3722">
        <f t="shared" ref="D3722:D3785" si="93">1-855-466-7467</f>
        <v>-8787</v>
      </c>
      <c r="E3722" t="s">
        <v>14472</v>
      </c>
      <c r="F3722" t="s">
        <v>14473</v>
      </c>
      <c r="G3722" t="s">
        <v>14474</v>
      </c>
      <c r="H3722">
        <v>-66.025397975585804</v>
      </c>
      <c r="I3722">
        <v>18.412389730917301</v>
      </c>
      <c r="J3722">
        <v>50</v>
      </c>
      <c r="K3722" t="s">
        <v>717</v>
      </c>
      <c r="L3722" t="s">
        <v>717</v>
      </c>
      <c r="M3722" t="s">
        <v>717</v>
      </c>
      <c r="N3722" t="s">
        <v>717</v>
      </c>
      <c r="O3722" t="s">
        <v>717</v>
      </c>
      <c r="P3722" t="s">
        <v>717</v>
      </c>
      <c r="Q3722" t="s">
        <v>717</v>
      </c>
      <c r="R3722" t="s">
        <v>14471</v>
      </c>
      <c r="S3722" t="s">
        <v>14475</v>
      </c>
      <c r="U3722" t="s">
        <v>14476</v>
      </c>
    </row>
    <row r="3723" spans="1:21" x14ac:dyDescent="0.25">
      <c r="A3723" t="s">
        <v>14477</v>
      </c>
      <c r="B3723" t="s">
        <v>22</v>
      </c>
      <c r="C3723" t="s">
        <v>14478</v>
      </c>
      <c r="D3723">
        <f t="shared" si="93"/>
        <v>-8787</v>
      </c>
      <c r="E3723" t="s">
        <v>14479</v>
      </c>
      <c r="F3723" t="s">
        <v>14473</v>
      </c>
      <c r="G3723" t="s">
        <v>14474</v>
      </c>
      <c r="H3723">
        <v>-66.162964947143493</v>
      </c>
      <c r="I3723">
        <v>18.405893159838001</v>
      </c>
      <c r="J3723">
        <v>50</v>
      </c>
      <c r="K3723" t="s">
        <v>535</v>
      </c>
      <c r="L3723" t="s">
        <v>535</v>
      </c>
      <c r="M3723" t="s">
        <v>535</v>
      </c>
      <c r="N3723" t="s">
        <v>535</v>
      </c>
      <c r="O3723" t="s">
        <v>165</v>
      </c>
      <c r="P3723" t="s">
        <v>165</v>
      </c>
      <c r="Q3723" t="s">
        <v>717</v>
      </c>
      <c r="R3723" t="s">
        <v>14478</v>
      </c>
      <c r="S3723" t="s">
        <v>14480</v>
      </c>
      <c r="U3723" t="s">
        <v>14481</v>
      </c>
    </row>
    <row r="3724" spans="1:21" x14ac:dyDescent="0.25">
      <c r="A3724" t="s">
        <v>17155</v>
      </c>
      <c r="B3724" t="s">
        <v>22</v>
      </c>
      <c r="C3724" t="s">
        <v>17156</v>
      </c>
      <c r="D3724">
        <f t="shared" si="93"/>
        <v>-8787</v>
      </c>
      <c r="E3724" t="s">
        <v>17157</v>
      </c>
      <c r="F3724" t="s">
        <v>14473</v>
      </c>
      <c r="G3724" t="s">
        <v>14474</v>
      </c>
      <c r="H3724">
        <v>-74.076819599999993</v>
      </c>
      <c r="I3724">
        <v>40.917304199999997</v>
      </c>
      <c r="J3724">
        <v>35</v>
      </c>
      <c r="K3724" t="s">
        <v>717</v>
      </c>
      <c r="L3724" t="s">
        <v>717</v>
      </c>
      <c r="M3724" t="s">
        <v>717</v>
      </c>
      <c r="N3724" t="s">
        <v>717</v>
      </c>
      <c r="O3724" t="s">
        <v>717</v>
      </c>
      <c r="P3724" t="s">
        <v>717</v>
      </c>
      <c r="R3724" t="s">
        <v>17156</v>
      </c>
      <c r="S3724" t="s">
        <v>17158</v>
      </c>
      <c r="T3724" t="s">
        <v>17159</v>
      </c>
      <c r="U3724" t="s">
        <v>17160</v>
      </c>
    </row>
    <row r="3725" spans="1:21" x14ac:dyDescent="0.25">
      <c r="A3725" t="s">
        <v>17161</v>
      </c>
      <c r="B3725" t="s">
        <v>22</v>
      </c>
      <c r="C3725" t="s">
        <v>17162</v>
      </c>
      <c r="D3725">
        <f t="shared" si="93"/>
        <v>-8787</v>
      </c>
      <c r="E3725" t="s">
        <v>17163</v>
      </c>
      <c r="F3725" t="s">
        <v>14473</v>
      </c>
      <c r="G3725" t="s">
        <v>14474</v>
      </c>
      <c r="H3725">
        <v>-73.954481199543807</v>
      </c>
      <c r="I3725">
        <v>41.097106310000001</v>
      </c>
      <c r="J3725">
        <v>35</v>
      </c>
      <c r="K3725" t="s">
        <v>717</v>
      </c>
      <c r="L3725" t="s">
        <v>717</v>
      </c>
      <c r="M3725" t="s">
        <v>717</v>
      </c>
      <c r="N3725" t="s">
        <v>717</v>
      </c>
      <c r="O3725" t="s">
        <v>717</v>
      </c>
      <c r="P3725" t="s">
        <v>717</v>
      </c>
      <c r="Q3725" t="s">
        <v>717</v>
      </c>
      <c r="R3725" t="s">
        <v>17162</v>
      </c>
      <c r="S3725" t="s">
        <v>17164</v>
      </c>
      <c r="T3725" t="s">
        <v>17165</v>
      </c>
      <c r="U3725" t="s">
        <v>17166</v>
      </c>
    </row>
    <row r="3726" spans="1:21" x14ac:dyDescent="0.25">
      <c r="A3726" t="s">
        <v>17167</v>
      </c>
      <c r="B3726" t="s">
        <v>22</v>
      </c>
      <c r="C3726" t="s">
        <v>17168</v>
      </c>
      <c r="D3726">
        <f t="shared" si="93"/>
        <v>-8787</v>
      </c>
      <c r="E3726" t="s">
        <v>17169</v>
      </c>
      <c r="F3726" t="s">
        <v>14473</v>
      </c>
      <c r="G3726" t="s">
        <v>14474</v>
      </c>
      <c r="H3726">
        <v>-76.170422700000003</v>
      </c>
      <c r="I3726">
        <v>43.067764199999999</v>
      </c>
      <c r="J3726">
        <v>35</v>
      </c>
      <c r="K3726" t="s">
        <v>717</v>
      </c>
      <c r="L3726" t="s">
        <v>717</v>
      </c>
      <c r="M3726" t="s">
        <v>717</v>
      </c>
      <c r="N3726" t="s">
        <v>717</v>
      </c>
      <c r="O3726" t="s">
        <v>717</v>
      </c>
      <c r="P3726" t="s">
        <v>717</v>
      </c>
      <c r="Q3726" t="s">
        <v>1034</v>
      </c>
      <c r="R3726" t="s">
        <v>17168</v>
      </c>
      <c r="S3726" t="s">
        <v>17170</v>
      </c>
      <c r="T3726" t="s">
        <v>17165</v>
      </c>
      <c r="U3726" t="s">
        <v>17171</v>
      </c>
    </row>
    <row r="3727" spans="1:21" x14ac:dyDescent="0.25">
      <c r="A3727" t="s">
        <v>17172</v>
      </c>
      <c r="B3727" t="s">
        <v>22</v>
      </c>
      <c r="C3727" t="s">
        <v>17173</v>
      </c>
      <c r="D3727">
        <f t="shared" si="93"/>
        <v>-8787</v>
      </c>
      <c r="E3727" t="s">
        <v>17174</v>
      </c>
      <c r="F3727" t="s">
        <v>14473</v>
      </c>
      <c r="G3727" t="s">
        <v>14474</v>
      </c>
      <c r="H3727">
        <v>-73.849815669999998</v>
      </c>
      <c r="I3727">
        <v>42.689105390000002</v>
      </c>
      <c r="J3727">
        <v>35</v>
      </c>
      <c r="K3727" t="s">
        <v>717</v>
      </c>
      <c r="L3727" t="s">
        <v>717</v>
      </c>
      <c r="M3727" t="s">
        <v>717</v>
      </c>
      <c r="N3727" t="s">
        <v>717</v>
      </c>
      <c r="O3727" t="s">
        <v>717</v>
      </c>
      <c r="P3727" t="s">
        <v>717</v>
      </c>
      <c r="Q3727" t="s">
        <v>1034</v>
      </c>
      <c r="R3727" t="s">
        <v>17173</v>
      </c>
      <c r="S3727" t="s">
        <v>17175</v>
      </c>
      <c r="T3727" t="s">
        <v>17165</v>
      </c>
      <c r="U3727" t="s">
        <v>17176</v>
      </c>
    </row>
    <row r="3728" spans="1:21" x14ac:dyDescent="0.25">
      <c r="A3728" t="s">
        <v>17177</v>
      </c>
      <c r="B3728" t="s">
        <v>22</v>
      </c>
      <c r="C3728" t="s">
        <v>17178</v>
      </c>
      <c r="D3728">
        <f t="shared" si="93"/>
        <v>-8787</v>
      </c>
      <c r="E3728" t="s">
        <v>17179</v>
      </c>
      <c r="F3728" t="s">
        <v>14473</v>
      </c>
      <c r="G3728" t="s">
        <v>14474</v>
      </c>
      <c r="H3728">
        <v>-72.641150949999997</v>
      </c>
      <c r="I3728">
        <v>42.168111170000003</v>
      </c>
      <c r="J3728">
        <v>35</v>
      </c>
      <c r="K3728" t="s">
        <v>2137</v>
      </c>
      <c r="L3728" t="s">
        <v>2137</v>
      </c>
      <c r="M3728" t="s">
        <v>2137</v>
      </c>
      <c r="N3728" t="s">
        <v>2137</v>
      </c>
      <c r="O3728" t="s">
        <v>2137</v>
      </c>
      <c r="P3728" t="s">
        <v>2137</v>
      </c>
      <c r="Q3728" t="s">
        <v>1034</v>
      </c>
      <c r="R3728" t="s">
        <v>17178</v>
      </c>
      <c r="S3728" t="s">
        <v>17180</v>
      </c>
      <c r="T3728" t="s">
        <v>17181</v>
      </c>
      <c r="U3728" t="s">
        <v>17182</v>
      </c>
    </row>
    <row r="3729" spans="1:21" x14ac:dyDescent="0.25">
      <c r="A3729" t="s">
        <v>17183</v>
      </c>
      <c r="B3729" t="s">
        <v>22</v>
      </c>
      <c r="C3729" t="s">
        <v>17184</v>
      </c>
      <c r="D3729">
        <f t="shared" si="93"/>
        <v>-8787</v>
      </c>
      <c r="E3729" t="s">
        <v>17185</v>
      </c>
      <c r="F3729" t="s">
        <v>14473</v>
      </c>
      <c r="G3729" t="s">
        <v>14474</v>
      </c>
      <c r="H3729">
        <v>-73.920745999999994</v>
      </c>
      <c r="I3729">
        <v>41.6248099402506</v>
      </c>
      <c r="J3729">
        <v>35</v>
      </c>
      <c r="K3729" t="s">
        <v>717</v>
      </c>
      <c r="L3729" t="s">
        <v>717</v>
      </c>
      <c r="M3729" t="s">
        <v>717</v>
      </c>
      <c r="N3729" t="s">
        <v>717</v>
      </c>
      <c r="O3729" t="s">
        <v>717</v>
      </c>
      <c r="P3729" t="s">
        <v>717</v>
      </c>
      <c r="Q3729" t="s">
        <v>1034</v>
      </c>
      <c r="R3729" t="s">
        <v>17184</v>
      </c>
      <c r="S3729" t="s">
        <v>17186</v>
      </c>
      <c r="T3729" t="s">
        <v>17165</v>
      </c>
      <c r="U3729" t="s">
        <v>17187</v>
      </c>
    </row>
    <row r="3730" spans="1:21" x14ac:dyDescent="0.25">
      <c r="A3730" t="s">
        <v>17188</v>
      </c>
      <c r="B3730" t="s">
        <v>22</v>
      </c>
      <c r="C3730" t="s">
        <v>17189</v>
      </c>
      <c r="D3730">
        <f t="shared" si="93"/>
        <v>-8787</v>
      </c>
      <c r="E3730" t="s">
        <v>17190</v>
      </c>
      <c r="F3730" t="s">
        <v>14473</v>
      </c>
      <c r="G3730" t="s">
        <v>14474</v>
      </c>
      <c r="H3730">
        <v>-73.129459988223701</v>
      </c>
      <c r="I3730">
        <v>40.865284858288199</v>
      </c>
      <c r="J3730">
        <v>35</v>
      </c>
      <c r="K3730" t="s">
        <v>1035</v>
      </c>
      <c r="L3730" t="s">
        <v>1035</v>
      </c>
      <c r="M3730" t="s">
        <v>1035</v>
      </c>
      <c r="N3730" t="s">
        <v>1035</v>
      </c>
      <c r="O3730" t="s">
        <v>536</v>
      </c>
      <c r="P3730" t="s">
        <v>536</v>
      </c>
      <c r="Q3730" t="s">
        <v>717</v>
      </c>
      <c r="R3730" t="s">
        <v>17189</v>
      </c>
      <c r="S3730" t="s">
        <v>17191</v>
      </c>
      <c r="T3730" t="s">
        <v>17165</v>
      </c>
      <c r="U3730" t="s">
        <v>17192</v>
      </c>
    </row>
    <row r="3731" spans="1:21" x14ac:dyDescent="0.25">
      <c r="A3731" t="s">
        <v>17193</v>
      </c>
      <c r="B3731" t="s">
        <v>38</v>
      </c>
      <c r="C3731" t="s">
        <v>17194</v>
      </c>
      <c r="D3731">
        <f t="shared" si="93"/>
        <v>-8787</v>
      </c>
      <c r="E3731" t="s">
        <v>17195</v>
      </c>
      <c r="F3731" t="s">
        <v>14473</v>
      </c>
      <c r="G3731" t="s">
        <v>14474</v>
      </c>
      <c r="H3731">
        <v>-73.532482000000002</v>
      </c>
      <c r="I3731">
        <v>40.773504000000003</v>
      </c>
      <c r="J3731">
        <v>35</v>
      </c>
      <c r="K3731" t="s">
        <v>717</v>
      </c>
      <c r="L3731" t="s">
        <v>717</v>
      </c>
      <c r="M3731" t="s">
        <v>717</v>
      </c>
      <c r="N3731" t="s">
        <v>717</v>
      </c>
      <c r="O3731" t="s">
        <v>717</v>
      </c>
      <c r="P3731" t="s">
        <v>717</v>
      </c>
      <c r="Q3731" t="s">
        <v>717</v>
      </c>
      <c r="R3731" t="s">
        <v>17194</v>
      </c>
      <c r="S3731" t="s">
        <v>17196</v>
      </c>
      <c r="T3731" t="s">
        <v>17165</v>
      </c>
      <c r="U3731" t="s">
        <v>17197</v>
      </c>
    </row>
    <row r="3732" spans="1:21" x14ac:dyDescent="0.25">
      <c r="A3732" t="s">
        <v>17198</v>
      </c>
      <c r="B3732" t="s">
        <v>22</v>
      </c>
      <c r="C3732" t="s">
        <v>17199</v>
      </c>
      <c r="D3732">
        <f t="shared" si="93"/>
        <v>-8787</v>
      </c>
      <c r="E3732" t="s">
        <v>17200</v>
      </c>
      <c r="F3732" t="s">
        <v>14473</v>
      </c>
      <c r="G3732" t="s">
        <v>14474</v>
      </c>
      <c r="H3732">
        <v>-77.423939000000004</v>
      </c>
      <c r="I3732">
        <v>39.032373</v>
      </c>
      <c r="J3732">
        <v>35</v>
      </c>
      <c r="K3732" t="s">
        <v>1035</v>
      </c>
      <c r="L3732" t="s">
        <v>1035</v>
      </c>
      <c r="M3732" t="s">
        <v>1035</v>
      </c>
      <c r="N3732" t="s">
        <v>1035</v>
      </c>
      <c r="O3732" t="s">
        <v>1035</v>
      </c>
      <c r="P3732" t="s">
        <v>1035</v>
      </c>
      <c r="Q3732" t="s">
        <v>717</v>
      </c>
      <c r="R3732" t="s">
        <v>17199</v>
      </c>
      <c r="S3732" t="s">
        <v>17201</v>
      </c>
      <c r="T3732" t="s">
        <v>17202</v>
      </c>
      <c r="U3732" t="s">
        <v>17203</v>
      </c>
    </row>
    <row r="3733" spans="1:21" x14ac:dyDescent="0.25">
      <c r="A3733" t="s">
        <v>17204</v>
      </c>
      <c r="B3733" t="s">
        <v>38</v>
      </c>
      <c r="C3733" t="s">
        <v>17205</v>
      </c>
      <c r="D3733">
        <f t="shared" si="93"/>
        <v>-8787</v>
      </c>
      <c r="E3733" t="s">
        <v>17206</v>
      </c>
      <c r="F3733" t="s">
        <v>14473</v>
      </c>
      <c r="G3733" t="s">
        <v>14474</v>
      </c>
      <c r="H3733">
        <v>-73.434644939999998</v>
      </c>
      <c r="I3733">
        <v>40.683562950000002</v>
      </c>
      <c r="J3733">
        <v>35</v>
      </c>
      <c r="K3733" t="s">
        <v>1035</v>
      </c>
      <c r="L3733" t="s">
        <v>1035</v>
      </c>
      <c r="M3733" t="s">
        <v>1035</v>
      </c>
      <c r="N3733" t="s">
        <v>1035</v>
      </c>
      <c r="O3733" t="s">
        <v>1035</v>
      </c>
      <c r="P3733" t="s">
        <v>1035</v>
      </c>
      <c r="Q3733" t="s">
        <v>17207</v>
      </c>
      <c r="R3733" t="s">
        <v>17205</v>
      </c>
      <c r="S3733" t="s">
        <v>17208</v>
      </c>
      <c r="T3733" t="s">
        <v>17165</v>
      </c>
      <c r="U3733" t="s">
        <v>17209</v>
      </c>
    </row>
    <row r="3734" spans="1:21" x14ac:dyDescent="0.25">
      <c r="A3734" t="s">
        <v>17210</v>
      </c>
      <c r="B3734" t="s">
        <v>22</v>
      </c>
      <c r="C3734" t="s">
        <v>17211</v>
      </c>
      <c r="D3734">
        <f t="shared" si="93"/>
        <v>-8787</v>
      </c>
      <c r="E3734" t="s">
        <v>17212</v>
      </c>
      <c r="F3734" t="s">
        <v>14473</v>
      </c>
      <c r="G3734" t="s">
        <v>14474</v>
      </c>
      <c r="H3734">
        <v>-73.770082700000003</v>
      </c>
      <c r="I3734">
        <v>41.031411800000001</v>
      </c>
      <c r="J3734">
        <v>35</v>
      </c>
      <c r="K3734" t="s">
        <v>717</v>
      </c>
      <c r="L3734" t="s">
        <v>717</v>
      </c>
      <c r="M3734" t="s">
        <v>717</v>
      </c>
      <c r="N3734" t="s">
        <v>717</v>
      </c>
      <c r="O3734" t="s">
        <v>717</v>
      </c>
      <c r="P3734" t="s">
        <v>717</v>
      </c>
      <c r="Q3734" t="s">
        <v>717</v>
      </c>
      <c r="R3734" t="s">
        <v>17211</v>
      </c>
      <c r="S3734" t="s">
        <v>17213</v>
      </c>
      <c r="T3734" t="s">
        <v>17165</v>
      </c>
      <c r="U3734" t="s">
        <v>17214</v>
      </c>
    </row>
    <row r="3735" spans="1:21" x14ac:dyDescent="0.25">
      <c r="A3735" t="s">
        <v>17215</v>
      </c>
      <c r="B3735" t="s">
        <v>38</v>
      </c>
      <c r="C3735" t="s">
        <v>17216</v>
      </c>
      <c r="D3735">
        <f t="shared" si="93"/>
        <v>-8787</v>
      </c>
      <c r="E3735" t="s">
        <v>17217</v>
      </c>
      <c r="F3735" t="s">
        <v>14473</v>
      </c>
      <c r="G3735" t="s">
        <v>14474</v>
      </c>
      <c r="H3735">
        <v>-74.1720486983304</v>
      </c>
      <c r="I3735">
        <v>40.6603041052443</v>
      </c>
      <c r="J3735">
        <v>35</v>
      </c>
      <c r="K3735" t="s">
        <v>1035</v>
      </c>
      <c r="L3735" t="s">
        <v>1035</v>
      </c>
      <c r="M3735" t="s">
        <v>1035</v>
      </c>
      <c r="N3735" t="s">
        <v>1035</v>
      </c>
      <c r="O3735" t="s">
        <v>536</v>
      </c>
      <c r="P3735" t="s">
        <v>536</v>
      </c>
      <c r="Q3735" t="s">
        <v>717</v>
      </c>
      <c r="R3735" t="s">
        <v>17216</v>
      </c>
      <c r="S3735" t="s">
        <v>17218</v>
      </c>
      <c r="T3735" t="s">
        <v>17159</v>
      </c>
      <c r="U3735" t="s">
        <v>17219</v>
      </c>
    </row>
    <row r="3736" spans="1:21" x14ac:dyDescent="0.25">
      <c r="A3736" t="s">
        <v>17220</v>
      </c>
      <c r="B3736" t="s">
        <v>22</v>
      </c>
      <c r="C3736" t="s">
        <v>17221</v>
      </c>
      <c r="D3736">
        <f t="shared" si="93"/>
        <v>-8787</v>
      </c>
      <c r="E3736" t="s">
        <v>17222</v>
      </c>
      <c r="F3736" t="s">
        <v>14473</v>
      </c>
      <c r="G3736" t="s">
        <v>14474</v>
      </c>
      <c r="H3736">
        <v>-74.354309999999998</v>
      </c>
      <c r="I3736">
        <v>40.776470000000003</v>
      </c>
      <c r="J3736">
        <v>35</v>
      </c>
      <c r="K3736" t="s">
        <v>1035</v>
      </c>
      <c r="L3736" t="s">
        <v>1035</v>
      </c>
      <c r="M3736" t="s">
        <v>1035</v>
      </c>
      <c r="N3736" t="s">
        <v>1035</v>
      </c>
      <c r="O3736" t="s">
        <v>1035</v>
      </c>
      <c r="P3736" t="s">
        <v>1035</v>
      </c>
      <c r="Q3736" t="s">
        <v>1492</v>
      </c>
      <c r="R3736" t="s">
        <v>17221</v>
      </c>
      <c r="S3736" t="s">
        <v>17223</v>
      </c>
      <c r="T3736" t="s">
        <v>17159</v>
      </c>
      <c r="U3736" t="s">
        <v>17224</v>
      </c>
    </row>
    <row r="3737" spans="1:21" x14ac:dyDescent="0.25">
      <c r="A3737" t="s">
        <v>17225</v>
      </c>
      <c r="B3737" t="s">
        <v>22</v>
      </c>
      <c r="C3737" t="s">
        <v>17226</v>
      </c>
      <c r="D3737">
        <f t="shared" si="93"/>
        <v>-8787</v>
      </c>
      <c r="E3737" t="s">
        <v>17227</v>
      </c>
      <c r="F3737" t="s">
        <v>14473</v>
      </c>
      <c r="G3737" t="s">
        <v>14474</v>
      </c>
      <c r="H3737">
        <v>-71.024288999999996</v>
      </c>
      <c r="I3737">
        <v>42.221690000000002</v>
      </c>
      <c r="J3737">
        <v>35</v>
      </c>
      <c r="K3737" t="s">
        <v>1035</v>
      </c>
      <c r="L3737" t="s">
        <v>1035</v>
      </c>
      <c r="M3737" t="s">
        <v>1035</v>
      </c>
      <c r="N3737" t="s">
        <v>536</v>
      </c>
      <c r="O3737" t="s">
        <v>536</v>
      </c>
      <c r="P3737" t="s">
        <v>536</v>
      </c>
      <c r="Q3737" t="s">
        <v>1034</v>
      </c>
      <c r="R3737" t="s">
        <v>17226</v>
      </c>
      <c r="S3737" t="s">
        <v>17228</v>
      </c>
      <c r="T3737" t="s">
        <v>17181</v>
      </c>
      <c r="U3737" t="s">
        <v>17229</v>
      </c>
    </row>
    <row r="3738" spans="1:21" x14ac:dyDescent="0.25">
      <c r="A3738" t="s">
        <v>17230</v>
      </c>
      <c r="B3738" t="s">
        <v>22</v>
      </c>
      <c r="C3738" t="s">
        <v>17231</v>
      </c>
      <c r="D3738">
        <f t="shared" si="93"/>
        <v>-8787</v>
      </c>
      <c r="E3738" t="s">
        <v>17232</v>
      </c>
      <c r="F3738" t="s">
        <v>14473</v>
      </c>
      <c r="G3738" t="s">
        <v>14474</v>
      </c>
      <c r="H3738">
        <v>-73.869105875473906</v>
      </c>
      <c r="I3738">
        <v>40.734679309999997</v>
      </c>
      <c r="J3738">
        <v>35</v>
      </c>
      <c r="K3738" t="s">
        <v>536</v>
      </c>
      <c r="L3738" t="s">
        <v>536</v>
      </c>
      <c r="M3738" t="s">
        <v>536</v>
      </c>
      <c r="N3738" t="s">
        <v>536</v>
      </c>
      <c r="O3738" t="s">
        <v>536</v>
      </c>
      <c r="P3738" t="s">
        <v>536</v>
      </c>
      <c r="Q3738" t="s">
        <v>1035</v>
      </c>
      <c r="R3738" t="s">
        <v>17231</v>
      </c>
      <c r="S3738" t="s">
        <v>17233</v>
      </c>
      <c r="T3738" t="s">
        <v>17165</v>
      </c>
      <c r="U3738" t="s">
        <v>17234</v>
      </c>
    </row>
    <row r="3739" spans="1:21" x14ac:dyDescent="0.25">
      <c r="A3739" t="s">
        <v>17235</v>
      </c>
      <c r="B3739" t="s">
        <v>22</v>
      </c>
      <c r="C3739" t="s">
        <v>17236</v>
      </c>
      <c r="D3739">
        <f t="shared" si="93"/>
        <v>-8787</v>
      </c>
      <c r="E3739" t="s">
        <v>17237</v>
      </c>
      <c r="F3739" t="s">
        <v>14473</v>
      </c>
      <c r="G3739" t="s">
        <v>14474</v>
      </c>
      <c r="H3739">
        <v>-73.921250099999995</v>
      </c>
      <c r="I3739">
        <v>40.610070370000003</v>
      </c>
      <c r="J3739">
        <v>35</v>
      </c>
      <c r="K3739" t="s">
        <v>536</v>
      </c>
      <c r="L3739" t="s">
        <v>536</v>
      </c>
      <c r="M3739" t="s">
        <v>536</v>
      </c>
      <c r="N3739" t="s">
        <v>536</v>
      </c>
      <c r="O3739" t="s">
        <v>536</v>
      </c>
      <c r="P3739" t="s">
        <v>536</v>
      </c>
      <c r="Q3739" t="s">
        <v>1035</v>
      </c>
      <c r="R3739" t="s">
        <v>17236</v>
      </c>
      <c r="S3739" t="s">
        <v>17238</v>
      </c>
      <c r="T3739" t="s">
        <v>17165</v>
      </c>
      <c r="U3739" t="s">
        <v>17239</v>
      </c>
    </row>
    <row r="3740" spans="1:21" x14ac:dyDescent="0.25">
      <c r="A3740" t="s">
        <v>17240</v>
      </c>
      <c r="B3740" t="s">
        <v>22</v>
      </c>
      <c r="C3740" t="s">
        <v>17241</v>
      </c>
      <c r="D3740">
        <f t="shared" si="93"/>
        <v>-8787</v>
      </c>
      <c r="E3740" t="s">
        <v>17242</v>
      </c>
      <c r="F3740" t="s">
        <v>14473</v>
      </c>
      <c r="G3740" t="s">
        <v>14474</v>
      </c>
      <c r="H3740">
        <v>-75.024844860000002</v>
      </c>
      <c r="I3740">
        <v>39.94055625</v>
      </c>
      <c r="J3740">
        <v>35</v>
      </c>
      <c r="K3740" t="s">
        <v>717</v>
      </c>
      <c r="L3740" t="s">
        <v>717</v>
      </c>
      <c r="M3740" t="s">
        <v>717</v>
      </c>
      <c r="N3740" t="s">
        <v>717</v>
      </c>
      <c r="O3740" t="s">
        <v>717</v>
      </c>
      <c r="P3740" t="s">
        <v>717</v>
      </c>
      <c r="Q3740" t="s">
        <v>1492</v>
      </c>
      <c r="R3740" t="s">
        <v>17241</v>
      </c>
      <c r="S3740" t="s">
        <v>17243</v>
      </c>
      <c r="T3740" t="s">
        <v>17159</v>
      </c>
      <c r="U3740" t="s">
        <v>17244</v>
      </c>
    </row>
    <row r="3741" spans="1:21" x14ac:dyDescent="0.25">
      <c r="A3741" t="s">
        <v>17245</v>
      </c>
      <c r="B3741" t="s">
        <v>22</v>
      </c>
      <c r="C3741" t="s">
        <v>17246</v>
      </c>
      <c r="D3741">
        <f t="shared" si="93"/>
        <v>-8787</v>
      </c>
      <c r="E3741" t="s">
        <v>17247</v>
      </c>
      <c r="F3741" t="s">
        <v>14473</v>
      </c>
      <c r="G3741" t="s">
        <v>14474</v>
      </c>
      <c r="H3741">
        <v>-71.028174419999999</v>
      </c>
      <c r="I3741">
        <v>42.460782629999997</v>
      </c>
      <c r="J3741">
        <v>35</v>
      </c>
      <c r="K3741" t="s">
        <v>1035</v>
      </c>
      <c r="L3741" t="s">
        <v>1035</v>
      </c>
      <c r="M3741" t="s">
        <v>1035</v>
      </c>
      <c r="N3741" t="s">
        <v>536</v>
      </c>
      <c r="O3741" t="s">
        <v>536</v>
      </c>
      <c r="P3741" t="s">
        <v>536</v>
      </c>
      <c r="Q3741" t="s">
        <v>1034</v>
      </c>
      <c r="R3741" t="s">
        <v>17246</v>
      </c>
      <c r="S3741" t="s">
        <v>17248</v>
      </c>
      <c r="T3741" t="s">
        <v>17181</v>
      </c>
      <c r="U3741" t="s">
        <v>17249</v>
      </c>
    </row>
    <row r="3742" spans="1:21" x14ac:dyDescent="0.25">
      <c r="A3742" t="s">
        <v>17250</v>
      </c>
      <c r="B3742" t="s">
        <v>32</v>
      </c>
      <c r="C3742" t="s">
        <v>17251</v>
      </c>
      <c r="D3742">
        <f t="shared" si="93"/>
        <v>-8787</v>
      </c>
      <c r="E3742" t="s">
        <v>17252</v>
      </c>
      <c r="F3742" t="s">
        <v>14473</v>
      </c>
      <c r="G3742" t="s">
        <v>14474</v>
      </c>
      <c r="H3742">
        <v>-73.612234369999996</v>
      </c>
      <c r="I3742">
        <v>40.737560240000001</v>
      </c>
      <c r="J3742">
        <v>35</v>
      </c>
      <c r="K3742" t="s">
        <v>717</v>
      </c>
      <c r="L3742" t="s">
        <v>717</v>
      </c>
      <c r="M3742" t="s">
        <v>717</v>
      </c>
      <c r="N3742" t="s">
        <v>717</v>
      </c>
      <c r="O3742" t="s">
        <v>717</v>
      </c>
      <c r="P3742" t="s">
        <v>717</v>
      </c>
      <c r="Q3742" t="s">
        <v>717</v>
      </c>
      <c r="R3742" t="s">
        <v>17251</v>
      </c>
      <c r="S3742" t="s">
        <v>17253</v>
      </c>
      <c r="T3742" t="s">
        <v>17165</v>
      </c>
      <c r="U3742" t="s">
        <v>17254</v>
      </c>
    </row>
    <row r="3743" spans="1:21" x14ac:dyDescent="0.25">
      <c r="A3743" t="s">
        <v>17255</v>
      </c>
      <c r="B3743" t="s">
        <v>38</v>
      </c>
      <c r="C3743" t="s">
        <v>17256</v>
      </c>
      <c r="D3743">
        <f t="shared" si="93"/>
        <v>-8787</v>
      </c>
      <c r="E3743" t="s">
        <v>17257</v>
      </c>
      <c r="F3743" t="s">
        <v>14473</v>
      </c>
      <c r="G3743" t="s">
        <v>14474</v>
      </c>
      <c r="H3743">
        <v>-75.543201999999994</v>
      </c>
      <c r="I3743">
        <v>39.822794999999999</v>
      </c>
      <c r="J3743">
        <v>35</v>
      </c>
      <c r="K3743" t="s">
        <v>717</v>
      </c>
      <c r="L3743" t="s">
        <v>717</v>
      </c>
      <c r="M3743" t="s">
        <v>717</v>
      </c>
      <c r="N3743" t="s">
        <v>717</v>
      </c>
      <c r="O3743" t="s">
        <v>717</v>
      </c>
      <c r="P3743" t="s">
        <v>717</v>
      </c>
      <c r="Q3743" t="s">
        <v>1034</v>
      </c>
      <c r="R3743" t="s">
        <v>17256</v>
      </c>
      <c r="S3743" t="s">
        <v>17258</v>
      </c>
      <c r="T3743" t="s">
        <v>17259</v>
      </c>
      <c r="U3743" t="s">
        <v>17260</v>
      </c>
    </row>
    <row r="3744" spans="1:21" x14ac:dyDescent="0.25">
      <c r="A3744" t="s">
        <v>17261</v>
      </c>
      <c r="B3744" t="s">
        <v>22</v>
      </c>
      <c r="C3744" t="s">
        <v>17262</v>
      </c>
      <c r="D3744">
        <f t="shared" si="93"/>
        <v>-8787</v>
      </c>
      <c r="E3744" t="s">
        <v>17263</v>
      </c>
      <c r="F3744" t="s">
        <v>14473</v>
      </c>
      <c r="G3744" t="s">
        <v>14474</v>
      </c>
      <c r="H3744">
        <v>-74.299407000000002</v>
      </c>
      <c r="I3744">
        <v>40.557212</v>
      </c>
      <c r="J3744">
        <v>35</v>
      </c>
      <c r="K3744" t="s">
        <v>717</v>
      </c>
      <c r="L3744" t="s">
        <v>717</v>
      </c>
      <c r="M3744" t="s">
        <v>717</v>
      </c>
      <c r="N3744" t="s">
        <v>717</v>
      </c>
      <c r="O3744" t="s">
        <v>1035</v>
      </c>
      <c r="P3744" t="s">
        <v>1035</v>
      </c>
      <c r="Q3744" t="s">
        <v>1034</v>
      </c>
      <c r="R3744" t="s">
        <v>17262</v>
      </c>
      <c r="S3744" t="s">
        <v>17264</v>
      </c>
      <c r="T3744" t="s">
        <v>17159</v>
      </c>
      <c r="U3744" t="s">
        <v>17265</v>
      </c>
    </row>
    <row r="3745" spans="1:21" x14ac:dyDescent="0.25">
      <c r="A3745" t="s">
        <v>17266</v>
      </c>
      <c r="B3745" t="s">
        <v>22</v>
      </c>
      <c r="C3745" t="s">
        <v>17267</v>
      </c>
      <c r="D3745">
        <f t="shared" si="93"/>
        <v>-8787</v>
      </c>
      <c r="E3745" t="s">
        <v>17268</v>
      </c>
      <c r="F3745" t="s">
        <v>14473</v>
      </c>
      <c r="G3745" t="s">
        <v>14474</v>
      </c>
      <c r="H3745">
        <v>-76.339872999999997</v>
      </c>
      <c r="I3745">
        <v>40.067673999999997</v>
      </c>
      <c r="J3745">
        <v>35</v>
      </c>
      <c r="K3745" t="s">
        <v>717</v>
      </c>
      <c r="L3745" t="s">
        <v>717</v>
      </c>
      <c r="M3745" t="s">
        <v>717</v>
      </c>
      <c r="N3745" t="s">
        <v>717</v>
      </c>
      <c r="O3745" t="s">
        <v>717</v>
      </c>
      <c r="P3745" t="s">
        <v>717</v>
      </c>
      <c r="Q3745" t="s">
        <v>1034</v>
      </c>
      <c r="R3745" t="s">
        <v>17267</v>
      </c>
      <c r="S3745" t="s">
        <v>17269</v>
      </c>
      <c r="T3745" t="s">
        <v>17270</v>
      </c>
      <c r="U3745" t="s">
        <v>17271</v>
      </c>
    </row>
    <row r="3746" spans="1:21" x14ac:dyDescent="0.25">
      <c r="A3746" t="s">
        <v>17272</v>
      </c>
      <c r="B3746" t="s">
        <v>22</v>
      </c>
      <c r="C3746" t="s">
        <v>17273</v>
      </c>
      <c r="D3746">
        <f t="shared" si="93"/>
        <v>-8787</v>
      </c>
      <c r="E3746" t="s">
        <v>17274</v>
      </c>
      <c r="F3746" t="s">
        <v>14473</v>
      </c>
      <c r="G3746" t="s">
        <v>14474</v>
      </c>
      <c r="H3746">
        <v>-73.946849180000001</v>
      </c>
      <c r="I3746">
        <v>40.808655880000003</v>
      </c>
      <c r="J3746">
        <v>35</v>
      </c>
      <c r="K3746" t="s">
        <v>536</v>
      </c>
      <c r="L3746" t="s">
        <v>536</v>
      </c>
      <c r="M3746" t="s">
        <v>536</v>
      </c>
      <c r="N3746" t="s">
        <v>536</v>
      </c>
      <c r="O3746" t="s">
        <v>536</v>
      </c>
      <c r="P3746" t="s">
        <v>536</v>
      </c>
      <c r="Q3746" t="s">
        <v>1035</v>
      </c>
      <c r="R3746" t="s">
        <v>17273</v>
      </c>
      <c r="S3746" t="s">
        <v>17275</v>
      </c>
      <c r="T3746" t="s">
        <v>17165</v>
      </c>
      <c r="U3746" t="s">
        <v>17276</v>
      </c>
    </row>
    <row r="3747" spans="1:21" x14ac:dyDescent="0.25">
      <c r="A3747" t="s">
        <v>17277</v>
      </c>
      <c r="B3747" t="s">
        <v>32</v>
      </c>
      <c r="C3747" t="s">
        <v>17278</v>
      </c>
      <c r="D3747">
        <f t="shared" si="93"/>
        <v>-8787</v>
      </c>
      <c r="E3747" t="s">
        <v>17279</v>
      </c>
      <c r="F3747" t="s">
        <v>14473</v>
      </c>
      <c r="G3747" t="s">
        <v>14474</v>
      </c>
      <c r="H3747">
        <v>-75.167107060000006</v>
      </c>
      <c r="I3747">
        <v>39.950978319999997</v>
      </c>
      <c r="J3747">
        <v>35</v>
      </c>
      <c r="K3747" t="s">
        <v>1034</v>
      </c>
      <c r="L3747" t="s">
        <v>1034</v>
      </c>
      <c r="M3747" t="s">
        <v>1034</v>
      </c>
      <c r="N3747" t="s">
        <v>1034</v>
      </c>
      <c r="O3747" t="s">
        <v>1034</v>
      </c>
      <c r="P3747" t="s">
        <v>1034</v>
      </c>
      <c r="Q3747" t="s">
        <v>16392</v>
      </c>
      <c r="R3747" t="s">
        <v>17278</v>
      </c>
      <c r="S3747" t="s">
        <v>17280</v>
      </c>
      <c r="T3747" t="s">
        <v>17270</v>
      </c>
      <c r="U3747" t="s">
        <v>17281</v>
      </c>
    </row>
    <row r="3748" spans="1:21" x14ac:dyDescent="0.25">
      <c r="A3748" t="s">
        <v>17282</v>
      </c>
      <c r="B3748" t="s">
        <v>22</v>
      </c>
      <c r="C3748" t="s">
        <v>17283</v>
      </c>
      <c r="D3748">
        <f t="shared" si="93"/>
        <v>-8787</v>
      </c>
      <c r="E3748" t="s">
        <v>17284</v>
      </c>
      <c r="F3748" t="s">
        <v>14473</v>
      </c>
      <c r="G3748" t="s">
        <v>14474</v>
      </c>
      <c r="H3748">
        <v>-76.725369305615303</v>
      </c>
      <c r="I3748">
        <v>39.158550902428999</v>
      </c>
      <c r="J3748">
        <v>35</v>
      </c>
      <c r="K3748" t="s">
        <v>536</v>
      </c>
      <c r="L3748" t="s">
        <v>536</v>
      </c>
      <c r="M3748" t="s">
        <v>536</v>
      </c>
      <c r="N3748" t="s">
        <v>536</v>
      </c>
      <c r="O3748" t="s">
        <v>536</v>
      </c>
      <c r="P3748" t="s">
        <v>536</v>
      </c>
      <c r="Q3748" t="s">
        <v>717</v>
      </c>
      <c r="R3748" t="s">
        <v>17283</v>
      </c>
      <c r="S3748" t="s">
        <v>17285</v>
      </c>
      <c r="T3748" t="s">
        <v>17286</v>
      </c>
      <c r="U3748" t="s">
        <v>17287</v>
      </c>
    </row>
    <row r="3749" spans="1:21" x14ac:dyDescent="0.25">
      <c r="A3749" t="s">
        <v>17288</v>
      </c>
      <c r="B3749" t="s">
        <v>32</v>
      </c>
      <c r="C3749" t="s">
        <v>17289</v>
      </c>
      <c r="D3749">
        <f t="shared" si="93"/>
        <v>-8787</v>
      </c>
      <c r="E3749" t="s">
        <v>17290</v>
      </c>
      <c r="F3749" t="s">
        <v>14473</v>
      </c>
      <c r="G3749" t="s">
        <v>14474</v>
      </c>
      <c r="H3749">
        <v>-77.026827900000001</v>
      </c>
      <c r="I3749">
        <v>38.8975212</v>
      </c>
      <c r="J3749">
        <v>35</v>
      </c>
      <c r="K3749" t="s">
        <v>45</v>
      </c>
      <c r="L3749" t="s">
        <v>45</v>
      </c>
      <c r="M3749" t="s">
        <v>45</v>
      </c>
      <c r="N3749" t="s">
        <v>45</v>
      </c>
      <c r="O3749" t="s">
        <v>45</v>
      </c>
      <c r="P3749" t="s">
        <v>45</v>
      </c>
      <c r="Q3749" t="s">
        <v>717</v>
      </c>
      <c r="R3749" t="s">
        <v>17289</v>
      </c>
      <c r="S3749" t="s">
        <v>17291</v>
      </c>
      <c r="T3749" t="s">
        <v>17292</v>
      </c>
      <c r="U3749" t="s">
        <v>17293</v>
      </c>
    </row>
    <row r="3750" spans="1:21" x14ac:dyDescent="0.25">
      <c r="A3750" t="s">
        <v>17294</v>
      </c>
      <c r="B3750" t="s">
        <v>38</v>
      </c>
      <c r="C3750" t="s">
        <v>17295</v>
      </c>
      <c r="D3750">
        <f t="shared" si="93"/>
        <v>-8787</v>
      </c>
      <c r="E3750" t="s">
        <v>17296</v>
      </c>
      <c r="F3750" t="s">
        <v>14473</v>
      </c>
      <c r="G3750" t="s">
        <v>14474</v>
      </c>
      <c r="H3750">
        <v>-77.297834895242204</v>
      </c>
      <c r="I3750">
        <v>38.643224303814897</v>
      </c>
      <c r="J3750">
        <v>35</v>
      </c>
      <c r="K3750" t="s">
        <v>1035</v>
      </c>
      <c r="L3750" t="s">
        <v>1035</v>
      </c>
      <c r="M3750" t="s">
        <v>1035</v>
      </c>
      <c r="N3750" t="s">
        <v>1035</v>
      </c>
      <c r="O3750" t="s">
        <v>536</v>
      </c>
      <c r="P3750" t="s">
        <v>536</v>
      </c>
      <c r="Q3750" t="s">
        <v>1492</v>
      </c>
      <c r="R3750" t="s">
        <v>17295</v>
      </c>
      <c r="S3750" t="s">
        <v>17297</v>
      </c>
      <c r="T3750" t="s">
        <v>17202</v>
      </c>
      <c r="U3750" t="s">
        <v>17298</v>
      </c>
    </row>
    <row r="3751" spans="1:21" x14ac:dyDescent="0.25">
      <c r="A3751" t="s">
        <v>17299</v>
      </c>
      <c r="B3751" t="s">
        <v>38</v>
      </c>
      <c r="C3751" t="s">
        <v>17300</v>
      </c>
      <c r="D3751">
        <f t="shared" si="93"/>
        <v>-8787</v>
      </c>
      <c r="E3751" t="s">
        <v>17301</v>
      </c>
      <c r="F3751" t="s">
        <v>14473</v>
      </c>
      <c r="G3751" t="s">
        <v>14474</v>
      </c>
      <c r="H3751">
        <v>-77.504840000000002</v>
      </c>
      <c r="I3751">
        <v>38.772860000000001</v>
      </c>
      <c r="J3751">
        <v>35</v>
      </c>
      <c r="K3751" t="s">
        <v>717</v>
      </c>
      <c r="L3751" t="s">
        <v>717</v>
      </c>
      <c r="M3751" t="s">
        <v>717</v>
      </c>
      <c r="N3751" t="s">
        <v>717</v>
      </c>
      <c r="O3751" t="s">
        <v>717</v>
      </c>
      <c r="P3751" t="s">
        <v>717</v>
      </c>
      <c r="Q3751" t="s">
        <v>1492</v>
      </c>
      <c r="R3751" t="s">
        <v>17300</v>
      </c>
      <c r="S3751" t="s">
        <v>17302</v>
      </c>
      <c r="T3751" t="s">
        <v>17202</v>
      </c>
      <c r="U3751" t="s">
        <v>17303</v>
      </c>
    </row>
    <row r="3752" spans="1:21" x14ac:dyDescent="0.25">
      <c r="A3752" t="s">
        <v>17304</v>
      </c>
      <c r="B3752" t="s">
        <v>22</v>
      </c>
      <c r="C3752" t="s">
        <v>17305</v>
      </c>
      <c r="D3752">
        <f t="shared" si="93"/>
        <v>-8787</v>
      </c>
      <c r="E3752" t="s">
        <v>17306</v>
      </c>
      <c r="F3752" t="s">
        <v>14473</v>
      </c>
      <c r="G3752" t="s">
        <v>14474</v>
      </c>
      <c r="H3752">
        <v>-73.721167500000007</v>
      </c>
      <c r="I3752">
        <v>40.662220499999997</v>
      </c>
      <c r="J3752">
        <v>35</v>
      </c>
      <c r="K3752" t="s">
        <v>536</v>
      </c>
      <c r="L3752" t="s">
        <v>536</v>
      </c>
      <c r="M3752" t="s">
        <v>536</v>
      </c>
      <c r="N3752" t="s">
        <v>536</v>
      </c>
      <c r="O3752" t="s">
        <v>536</v>
      </c>
      <c r="P3752" t="s">
        <v>536</v>
      </c>
      <c r="Q3752" t="s">
        <v>717</v>
      </c>
      <c r="R3752" t="s">
        <v>17305</v>
      </c>
      <c r="S3752" t="s">
        <v>17307</v>
      </c>
      <c r="T3752" t="s">
        <v>17165</v>
      </c>
      <c r="U3752" t="s">
        <v>17308</v>
      </c>
    </row>
    <row r="3753" spans="1:21" x14ac:dyDescent="0.25">
      <c r="A3753" t="s">
        <v>17309</v>
      </c>
      <c r="B3753" t="s">
        <v>32</v>
      </c>
      <c r="C3753" t="s">
        <v>17310</v>
      </c>
      <c r="D3753">
        <f t="shared" si="93"/>
        <v>-8787</v>
      </c>
      <c r="E3753" t="s">
        <v>17311</v>
      </c>
      <c r="F3753" t="s">
        <v>14473</v>
      </c>
      <c r="G3753" t="s">
        <v>14474</v>
      </c>
      <c r="H3753">
        <v>-87.624531750000003</v>
      </c>
      <c r="I3753">
        <v>41.898097960000001</v>
      </c>
      <c r="J3753">
        <v>20</v>
      </c>
      <c r="K3753" t="s">
        <v>717</v>
      </c>
      <c r="L3753" t="s">
        <v>717</v>
      </c>
      <c r="M3753" t="s">
        <v>717</v>
      </c>
      <c r="N3753" t="s">
        <v>717</v>
      </c>
      <c r="O3753" t="s">
        <v>717</v>
      </c>
      <c r="P3753" t="s">
        <v>717</v>
      </c>
      <c r="Q3753" t="s">
        <v>1492</v>
      </c>
      <c r="R3753" t="s">
        <v>17310</v>
      </c>
      <c r="S3753" t="s">
        <v>17312</v>
      </c>
      <c r="T3753" t="s">
        <v>17313</v>
      </c>
      <c r="U3753" t="s">
        <v>17314</v>
      </c>
    </row>
    <row r="3754" spans="1:21" x14ac:dyDescent="0.25">
      <c r="A3754" t="s">
        <v>17315</v>
      </c>
      <c r="B3754" t="s">
        <v>22</v>
      </c>
      <c r="C3754" t="s">
        <v>17316</v>
      </c>
      <c r="D3754">
        <f t="shared" si="93"/>
        <v>-8787</v>
      </c>
      <c r="E3754" t="s">
        <v>17317</v>
      </c>
      <c r="F3754" t="s">
        <v>14473</v>
      </c>
      <c r="G3754" t="s">
        <v>14474</v>
      </c>
      <c r="H3754">
        <v>-88.03618075</v>
      </c>
      <c r="I3754">
        <v>42.04635519</v>
      </c>
      <c r="J3754">
        <v>20</v>
      </c>
      <c r="K3754" t="s">
        <v>1035</v>
      </c>
      <c r="L3754" t="s">
        <v>1035</v>
      </c>
      <c r="M3754" t="s">
        <v>1035</v>
      </c>
      <c r="N3754" t="s">
        <v>1035</v>
      </c>
      <c r="O3754" t="s">
        <v>536</v>
      </c>
      <c r="P3754" t="s">
        <v>536</v>
      </c>
      <c r="Q3754" t="s">
        <v>1492</v>
      </c>
      <c r="R3754" t="s">
        <v>17316</v>
      </c>
      <c r="S3754" t="s">
        <v>17318</v>
      </c>
      <c r="T3754" t="s">
        <v>17313</v>
      </c>
      <c r="U3754" t="s">
        <v>17319</v>
      </c>
    </row>
    <row r="3755" spans="1:21" x14ac:dyDescent="0.25">
      <c r="A3755" t="s">
        <v>17320</v>
      </c>
      <c r="B3755" t="s">
        <v>22</v>
      </c>
      <c r="C3755" t="s">
        <v>17321</v>
      </c>
      <c r="D3755">
        <f t="shared" si="93"/>
        <v>-8787</v>
      </c>
      <c r="E3755" t="s">
        <v>17274</v>
      </c>
      <c r="F3755" t="s">
        <v>14473</v>
      </c>
      <c r="G3755" t="s">
        <v>14474</v>
      </c>
      <c r="H3755">
        <v>-73.999361769999993</v>
      </c>
      <c r="I3755">
        <v>40.722711029999999</v>
      </c>
      <c r="J3755">
        <v>35</v>
      </c>
      <c r="K3755" t="s">
        <v>536</v>
      </c>
      <c r="L3755" t="s">
        <v>536</v>
      </c>
      <c r="M3755" t="s">
        <v>536</v>
      </c>
      <c r="N3755" t="s">
        <v>536</v>
      </c>
      <c r="O3755" t="s">
        <v>536</v>
      </c>
      <c r="P3755" t="s">
        <v>536</v>
      </c>
      <c r="Q3755" t="s">
        <v>1035</v>
      </c>
      <c r="R3755" t="s">
        <v>17321</v>
      </c>
      <c r="S3755" t="s">
        <v>17322</v>
      </c>
      <c r="T3755" t="s">
        <v>17165</v>
      </c>
      <c r="U3755" t="s">
        <v>17323</v>
      </c>
    </row>
    <row r="3756" spans="1:21" x14ac:dyDescent="0.25">
      <c r="A3756" t="s">
        <v>17324</v>
      </c>
      <c r="B3756" t="s">
        <v>38</v>
      </c>
      <c r="C3756" t="s">
        <v>17325</v>
      </c>
      <c r="D3756">
        <f t="shared" si="93"/>
        <v>-8787</v>
      </c>
      <c r="E3756" t="s">
        <v>17279</v>
      </c>
      <c r="F3756" t="s">
        <v>14473</v>
      </c>
      <c r="G3756" t="s">
        <v>14474</v>
      </c>
      <c r="H3756">
        <v>-74.964116000000004</v>
      </c>
      <c r="I3756">
        <v>40.088784699999998</v>
      </c>
      <c r="J3756">
        <v>35</v>
      </c>
      <c r="K3756" t="s">
        <v>717</v>
      </c>
      <c r="L3756" t="s">
        <v>717</v>
      </c>
      <c r="M3756" t="s">
        <v>717</v>
      </c>
      <c r="N3756" t="s">
        <v>717</v>
      </c>
      <c r="O3756" t="s">
        <v>717</v>
      </c>
      <c r="P3756" t="s">
        <v>717</v>
      </c>
      <c r="Q3756" t="s">
        <v>717</v>
      </c>
      <c r="R3756" t="s">
        <v>17325</v>
      </c>
      <c r="S3756" t="s">
        <v>17326</v>
      </c>
      <c r="T3756" t="s">
        <v>17270</v>
      </c>
      <c r="U3756" t="s">
        <v>17327</v>
      </c>
    </row>
    <row r="3757" spans="1:21" x14ac:dyDescent="0.25">
      <c r="A3757" t="s">
        <v>17328</v>
      </c>
      <c r="B3757" t="s">
        <v>22</v>
      </c>
      <c r="C3757" t="s">
        <v>17329</v>
      </c>
      <c r="D3757">
        <f t="shared" si="93"/>
        <v>-8787</v>
      </c>
      <c r="E3757" t="s">
        <v>1385</v>
      </c>
      <c r="F3757" t="s">
        <v>14473</v>
      </c>
      <c r="G3757" t="s">
        <v>14474</v>
      </c>
      <c r="H3757">
        <v>-77.620800000000003</v>
      </c>
      <c r="I3757">
        <v>37.656514000000001</v>
      </c>
      <c r="J3757">
        <v>35</v>
      </c>
      <c r="K3757" t="s">
        <v>717</v>
      </c>
      <c r="L3757" t="s">
        <v>717</v>
      </c>
      <c r="M3757" t="s">
        <v>717</v>
      </c>
      <c r="N3757" t="s">
        <v>717</v>
      </c>
      <c r="O3757" t="s">
        <v>717</v>
      </c>
      <c r="P3757" t="s">
        <v>717</v>
      </c>
      <c r="Q3757" t="s">
        <v>1492</v>
      </c>
      <c r="R3757" t="s">
        <v>17329</v>
      </c>
      <c r="S3757" t="s">
        <v>17330</v>
      </c>
      <c r="T3757" t="s">
        <v>17202</v>
      </c>
      <c r="U3757" t="s">
        <v>17331</v>
      </c>
    </row>
    <row r="3758" spans="1:21" x14ac:dyDescent="0.25">
      <c r="A3758" t="s">
        <v>17332</v>
      </c>
      <c r="B3758" t="s">
        <v>38</v>
      </c>
      <c r="C3758" t="s">
        <v>17333</v>
      </c>
      <c r="D3758">
        <f t="shared" si="93"/>
        <v>-8787</v>
      </c>
      <c r="E3758" t="s">
        <v>17334</v>
      </c>
      <c r="F3758" t="s">
        <v>14473</v>
      </c>
      <c r="G3758" t="s">
        <v>14474</v>
      </c>
      <c r="H3758">
        <v>-72.546324398884494</v>
      </c>
      <c r="I3758">
        <v>41.806934178374597</v>
      </c>
      <c r="J3758">
        <v>35</v>
      </c>
      <c r="K3758" t="s">
        <v>536</v>
      </c>
      <c r="L3758" t="s">
        <v>536</v>
      </c>
      <c r="M3758" t="s">
        <v>536</v>
      </c>
      <c r="N3758" t="s">
        <v>536</v>
      </c>
      <c r="O3758" t="s">
        <v>536</v>
      </c>
      <c r="P3758" t="s">
        <v>536</v>
      </c>
      <c r="Q3758" t="s">
        <v>1492</v>
      </c>
      <c r="R3758" t="s">
        <v>17333</v>
      </c>
      <c r="S3758" t="s">
        <v>17335</v>
      </c>
      <c r="T3758" t="s">
        <v>17336</v>
      </c>
      <c r="U3758" t="s">
        <v>17337</v>
      </c>
    </row>
    <row r="3759" spans="1:21" x14ac:dyDescent="0.25">
      <c r="A3759" t="s">
        <v>17338</v>
      </c>
      <c r="B3759" t="s">
        <v>38</v>
      </c>
      <c r="C3759" t="s">
        <v>17339</v>
      </c>
      <c r="D3759">
        <f t="shared" si="93"/>
        <v>-8787</v>
      </c>
      <c r="E3759" t="s">
        <v>17340</v>
      </c>
      <c r="F3759" t="s">
        <v>14473</v>
      </c>
      <c r="G3759" t="s">
        <v>14474</v>
      </c>
      <c r="H3759">
        <v>-87.959225810000007</v>
      </c>
      <c r="I3759">
        <v>42.389639529999997</v>
      </c>
      <c r="J3759">
        <v>20</v>
      </c>
      <c r="K3759" t="s">
        <v>1035</v>
      </c>
      <c r="L3759" t="s">
        <v>1035</v>
      </c>
      <c r="M3759" t="s">
        <v>1035</v>
      </c>
      <c r="N3759" t="s">
        <v>1035</v>
      </c>
      <c r="O3759" t="s">
        <v>536</v>
      </c>
      <c r="P3759" t="s">
        <v>536</v>
      </c>
      <c r="Q3759" t="s">
        <v>717</v>
      </c>
      <c r="R3759" t="s">
        <v>17339</v>
      </c>
      <c r="S3759" t="s">
        <v>17341</v>
      </c>
      <c r="T3759" t="s">
        <v>17313</v>
      </c>
      <c r="U3759" t="s">
        <v>17342</v>
      </c>
    </row>
    <row r="3760" spans="1:21" x14ac:dyDescent="0.25">
      <c r="A3760" t="s">
        <v>17343</v>
      </c>
      <c r="B3760" t="s">
        <v>38</v>
      </c>
      <c r="C3760" t="s">
        <v>17344</v>
      </c>
      <c r="D3760">
        <f t="shared" si="93"/>
        <v>-8787</v>
      </c>
      <c r="E3760" t="s">
        <v>17345</v>
      </c>
      <c r="F3760" t="s">
        <v>14473</v>
      </c>
      <c r="G3760" t="s">
        <v>14474</v>
      </c>
      <c r="H3760">
        <v>-74.437098899999995</v>
      </c>
      <c r="I3760">
        <v>39.361322299999998</v>
      </c>
      <c r="J3760">
        <v>35</v>
      </c>
      <c r="K3760" t="s">
        <v>428</v>
      </c>
      <c r="L3760" t="s">
        <v>428</v>
      </c>
      <c r="M3760" t="s">
        <v>428</v>
      </c>
      <c r="N3760" t="s">
        <v>428</v>
      </c>
      <c r="O3760" t="s">
        <v>428</v>
      </c>
      <c r="P3760" t="s">
        <v>428</v>
      </c>
      <c r="Q3760" t="s">
        <v>428</v>
      </c>
      <c r="R3760" t="s">
        <v>17344</v>
      </c>
      <c r="S3760" t="s">
        <v>17346</v>
      </c>
      <c r="T3760" t="s">
        <v>17159</v>
      </c>
      <c r="U3760" t="s">
        <v>17347</v>
      </c>
    </row>
    <row r="3761" spans="1:21" x14ac:dyDescent="0.25">
      <c r="A3761" t="s">
        <v>17348</v>
      </c>
      <c r="B3761" t="s">
        <v>22</v>
      </c>
      <c r="C3761" t="s">
        <v>17349</v>
      </c>
      <c r="D3761">
        <f t="shared" si="93"/>
        <v>-8787</v>
      </c>
      <c r="E3761" t="s">
        <v>8252</v>
      </c>
      <c r="F3761" t="s">
        <v>14473</v>
      </c>
      <c r="G3761" t="s">
        <v>14474</v>
      </c>
      <c r="H3761">
        <v>-71.075647470000007</v>
      </c>
      <c r="I3761">
        <v>42.368354050000001</v>
      </c>
      <c r="J3761">
        <v>35</v>
      </c>
      <c r="K3761" t="s">
        <v>717</v>
      </c>
      <c r="L3761" t="s">
        <v>717</v>
      </c>
      <c r="M3761" t="s">
        <v>717</v>
      </c>
      <c r="N3761" t="s">
        <v>717</v>
      </c>
      <c r="O3761" t="s">
        <v>1035</v>
      </c>
      <c r="P3761" t="s">
        <v>1035</v>
      </c>
      <c r="Q3761" t="s">
        <v>1492</v>
      </c>
      <c r="R3761" t="s">
        <v>17349</v>
      </c>
      <c r="S3761" t="s">
        <v>17350</v>
      </c>
      <c r="T3761" t="s">
        <v>17181</v>
      </c>
      <c r="U3761" t="s">
        <v>17351</v>
      </c>
    </row>
    <row r="3762" spans="1:21" x14ac:dyDescent="0.25">
      <c r="A3762" t="s">
        <v>17352</v>
      </c>
      <c r="B3762" t="s">
        <v>22</v>
      </c>
      <c r="C3762" t="s">
        <v>17353</v>
      </c>
      <c r="D3762">
        <f t="shared" si="93"/>
        <v>-8787</v>
      </c>
      <c r="E3762" t="s">
        <v>17354</v>
      </c>
      <c r="F3762" t="s">
        <v>14473</v>
      </c>
      <c r="G3762" t="s">
        <v>14474</v>
      </c>
      <c r="H3762">
        <v>-87.847280799999993</v>
      </c>
      <c r="I3762">
        <v>41.619250200000003</v>
      </c>
      <c r="J3762">
        <v>20</v>
      </c>
      <c r="K3762" t="s">
        <v>717</v>
      </c>
      <c r="L3762" t="s">
        <v>717</v>
      </c>
      <c r="M3762" t="s">
        <v>717</v>
      </c>
      <c r="N3762" t="s">
        <v>717</v>
      </c>
      <c r="O3762" t="s">
        <v>45</v>
      </c>
      <c r="P3762" t="s">
        <v>45</v>
      </c>
      <c r="Q3762" t="s">
        <v>1492</v>
      </c>
      <c r="R3762" t="s">
        <v>17353</v>
      </c>
      <c r="S3762" t="s">
        <v>17355</v>
      </c>
      <c r="T3762" t="s">
        <v>17313</v>
      </c>
      <c r="U3762" t="s">
        <v>17356</v>
      </c>
    </row>
    <row r="3763" spans="1:21" x14ac:dyDescent="0.25">
      <c r="A3763" t="s">
        <v>17357</v>
      </c>
      <c r="B3763" t="s">
        <v>38</v>
      </c>
      <c r="C3763" t="s">
        <v>17358</v>
      </c>
      <c r="D3763">
        <f t="shared" si="93"/>
        <v>-8787</v>
      </c>
      <c r="E3763" t="s">
        <v>17359</v>
      </c>
      <c r="F3763" t="s">
        <v>14473</v>
      </c>
      <c r="G3763" t="s">
        <v>14474</v>
      </c>
      <c r="H3763">
        <v>-88.213987560000007</v>
      </c>
      <c r="I3763">
        <v>41.75812998</v>
      </c>
      <c r="J3763">
        <v>20</v>
      </c>
      <c r="K3763" t="s">
        <v>536</v>
      </c>
      <c r="L3763" t="s">
        <v>536</v>
      </c>
      <c r="M3763" t="s">
        <v>536</v>
      </c>
      <c r="N3763" t="s">
        <v>536</v>
      </c>
      <c r="O3763" t="s">
        <v>536</v>
      </c>
      <c r="P3763" t="s">
        <v>536</v>
      </c>
      <c r="Q3763" t="s">
        <v>1034</v>
      </c>
      <c r="R3763" t="s">
        <v>17358</v>
      </c>
      <c r="S3763" t="s">
        <v>17360</v>
      </c>
      <c r="T3763" t="s">
        <v>17313</v>
      </c>
      <c r="U3763" t="s">
        <v>17361</v>
      </c>
    </row>
    <row r="3764" spans="1:21" x14ac:dyDescent="0.25">
      <c r="A3764" t="s">
        <v>17362</v>
      </c>
      <c r="B3764" t="s">
        <v>38</v>
      </c>
      <c r="C3764" t="s">
        <v>17363</v>
      </c>
      <c r="D3764">
        <f t="shared" si="93"/>
        <v>-8787</v>
      </c>
      <c r="E3764" t="s">
        <v>17364</v>
      </c>
      <c r="F3764" t="s">
        <v>14473</v>
      </c>
      <c r="G3764" t="s">
        <v>14474</v>
      </c>
      <c r="H3764">
        <v>-85.139435410000004</v>
      </c>
      <c r="I3764">
        <v>41.115876350000001</v>
      </c>
      <c r="J3764">
        <v>35</v>
      </c>
      <c r="K3764" t="s">
        <v>717</v>
      </c>
      <c r="L3764" t="s">
        <v>717</v>
      </c>
      <c r="M3764" t="s">
        <v>717</v>
      </c>
      <c r="N3764" t="s">
        <v>717</v>
      </c>
      <c r="O3764" t="s">
        <v>1035</v>
      </c>
      <c r="P3764" t="s">
        <v>1035</v>
      </c>
      <c r="Q3764" t="s">
        <v>1034</v>
      </c>
      <c r="R3764" t="s">
        <v>17363</v>
      </c>
      <c r="S3764" t="s">
        <v>17365</v>
      </c>
      <c r="T3764" t="s">
        <v>17366</v>
      </c>
      <c r="U3764" t="s">
        <v>17367</v>
      </c>
    </row>
    <row r="3765" spans="1:21" x14ac:dyDescent="0.25">
      <c r="A3765" t="s">
        <v>17368</v>
      </c>
      <c r="B3765" t="s">
        <v>22</v>
      </c>
      <c r="C3765" t="s">
        <v>17369</v>
      </c>
      <c r="D3765">
        <f t="shared" si="93"/>
        <v>-8787</v>
      </c>
      <c r="E3765" t="s">
        <v>17370</v>
      </c>
      <c r="F3765" t="s">
        <v>14473</v>
      </c>
      <c r="G3765" t="s">
        <v>14474</v>
      </c>
      <c r="H3765">
        <v>-117.4584385</v>
      </c>
      <c r="I3765">
        <v>33.911011289999998</v>
      </c>
      <c r="J3765">
        <v>4</v>
      </c>
      <c r="K3765" t="s">
        <v>45</v>
      </c>
      <c r="L3765" t="s">
        <v>45</v>
      </c>
      <c r="M3765" t="s">
        <v>45</v>
      </c>
      <c r="N3765" t="s">
        <v>45</v>
      </c>
      <c r="O3765" t="s">
        <v>536</v>
      </c>
      <c r="P3765" t="s">
        <v>536</v>
      </c>
      <c r="Q3765" t="s">
        <v>717</v>
      </c>
      <c r="R3765" t="s">
        <v>17369</v>
      </c>
      <c r="S3765" t="s">
        <v>17371</v>
      </c>
      <c r="T3765" t="s">
        <v>17372</v>
      </c>
      <c r="U3765" t="s">
        <v>17373</v>
      </c>
    </row>
    <row r="3766" spans="1:21" x14ac:dyDescent="0.25">
      <c r="A3766" t="s">
        <v>17374</v>
      </c>
      <c r="B3766" t="s">
        <v>38</v>
      </c>
      <c r="C3766" t="s">
        <v>17375</v>
      </c>
      <c r="D3766">
        <f t="shared" si="93"/>
        <v>-8787</v>
      </c>
      <c r="E3766" t="s">
        <v>17376</v>
      </c>
      <c r="F3766" t="s">
        <v>14473</v>
      </c>
      <c r="G3766" t="s">
        <v>14474</v>
      </c>
      <c r="H3766">
        <v>-76.070985160000006</v>
      </c>
      <c r="I3766">
        <v>36.817208149999999</v>
      </c>
      <c r="J3766">
        <v>35</v>
      </c>
      <c r="K3766" t="s">
        <v>717</v>
      </c>
      <c r="L3766" t="s">
        <v>717</v>
      </c>
      <c r="M3766" t="s">
        <v>717</v>
      </c>
      <c r="N3766" t="s">
        <v>717</v>
      </c>
      <c r="O3766" t="s">
        <v>1035</v>
      </c>
      <c r="P3766" t="s">
        <v>1035</v>
      </c>
      <c r="Q3766" t="s">
        <v>1492</v>
      </c>
      <c r="R3766" t="s">
        <v>17375</v>
      </c>
      <c r="S3766" t="s">
        <v>17377</v>
      </c>
      <c r="T3766" t="s">
        <v>17202</v>
      </c>
      <c r="U3766" t="s">
        <v>17378</v>
      </c>
    </row>
    <row r="3767" spans="1:21" x14ac:dyDescent="0.25">
      <c r="A3767" t="s">
        <v>17379</v>
      </c>
      <c r="B3767" t="s">
        <v>22</v>
      </c>
      <c r="C3767" t="s">
        <v>17380</v>
      </c>
      <c r="D3767">
        <f t="shared" si="93"/>
        <v>-8787</v>
      </c>
      <c r="E3767" t="s">
        <v>17381</v>
      </c>
      <c r="F3767" t="s">
        <v>14473</v>
      </c>
      <c r="G3767" t="s">
        <v>14474</v>
      </c>
      <c r="H3767">
        <v>-86.158802769999994</v>
      </c>
      <c r="I3767">
        <v>39.765244940000002</v>
      </c>
      <c r="J3767">
        <v>35</v>
      </c>
      <c r="K3767" t="s">
        <v>717</v>
      </c>
      <c r="L3767" t="s">
        <v>717</v>
      </c>
      <c r="M3767" t="s">
        <v>717</v>
      </c>
      <c r="N3767" t="s">
        <v>717</v>
      </c>
      <c r="O3767" t="s">
        <v>535</v>
      </c>
      <c r="P3767" t="s">
        <v>535</v>
      </c>
      <c r="Q3767" t="s">
        <v>1492</v>
      </c>
      <c r="R3767" t="s">
        <v>17380</v>
      </c>
      <c r="S3767" t="s">
        <v>17382</v>
      </c>
      <c r="T3767" t="s">
        <v>17366</v>
      </c>
      <c r="U3767" t="s">
        <v>17383</v>
      </c>
    </row>
    <row r="3768" spans="1:21" x14ac:dyDescent="0.25">
      <c r="A3768" t="s">
        <v>17384</v>
      </c>
      <c r="B3768" t="s">
        <v>38</v>
      </c>
      <c r="C3768" t="s">
        <v>17385</v>
      </c>
      <c r="D3768">
        <f t="shared" si="93"/>
        <v>-8787</v>
      </c>
      <c r="E3768" t="s">
        <v>17386</v>
      </c>
      <c r="F3768" t="s">
        <v>14473</v>
      </c>
      <c r="G3768" t="s">
        <v>14474</v>
      </c>
      <c r="H3768">
        <v>-87.950900050000001</v>
      </c>
      <c r="I3768">
        <v>42.24293909</v>
      </c>
      <c r="J3768">
        <v>20</v>
      </c>
      <c r="K3768" t="s">
        <v>536</v>
      </c>
      <c r="L3768" t="s">
        <v>536</v>
      </c>
      <c r="M3768" t="s">
        <v>536</v>
      </c>
      <c r="N3768" t="s">
        <v>536</v>
      </c>
      <c r="O3768" t="s">
        <v>536</v>
      </c>
      <c r="P3768" t="s">
        <v>536</v>
      </c>
      <c r="Q3768" t="s">
        <v>1034</v>
      </c>
      <c r="R3768" t="s">
        <v>17385</v>
      </c>
      <c r="S3768" t="s">
        <v>17387</v>
      </c>
      <c r="T3768" t="s">
        <v>17313</v>
      </c>
      <c r="U3768" t="s">
        <v>17388</v>
      </c>
    </row>
    <row r="3769" spans="1:21" x14ac:dyDescent="0.25">
      <c r="A3769" t="s">
        <v>17389</v>
      </c>
      <c r="B3769" t="s">
        <v>22</v>
      </c>
      <c r="C3769" t="s">
        <v>17390</v>
      </c>
      <c r="D3769">
        <f t="shared" si="93"/>
        <v>-8787</v>
      </c>
      <c r="E3769" t="s">
        <v>17391</v>
      </c>
      <c r="F3769" t="s">
        <v>14473</v>
      </c>
      <c r="G3769" t="s">
        <v>14474</v>
      </c>
      <c r="H3769">
        <v>-90.447832599999998</v>
      </c>
      <c r="I3769">
        <v>38.599960600000003</v>
      </c>
      <c r="J3769">
        <v>20</v>
      </c>
      <c r="K3769" t="s">
        <v>717</v>
      </c>
      <c r="L3769" t="s">
        <v>717</v>
      </c>
      <c r="M3769" t="s">
        <v>717</v>
      </c>
      <c r="N3769" t="s">
        <v>717</v>
      </c>
      <c r="O3769" t="s">
        <v>717</v>
      </c>
      <c r="P3769" t="s">
        <v>717</v>
      </c>
      <c r="Q3769" t="s">
        <v>1034</v>
      </c>
      <c r="R3769" t="s">
        <v>17390</v>
      </c>
      <c r="S3769" t="s">
        <v>17392</v>
      </c>
      <c r="T3769" t="s">
        <v>17393</v>
      </c>
      <c r="U3769" t="s">
        <v>17394</v>
      </c>
    </row>
    <row r="3770" spans="1:21" x14ac:dyDescent="0.25">
      <c r="A3770" t="s">
        <v>17395</v>
      </c>
      <c r="B3770" t="s">
        <v>22</v>
      </c>
      <c r="C3770" t="s">
        <v>17396</v>
      </c>
      <c r="D3770">
        <f t="shared" si="93"/>
        <v>-8787</v>
      </c>
      <c r="E3770" t="s">
        <v>17397</v>
      </c>
      <c r="F3770" t="s">
        <v>14473</v>
      </c>
      <c r="G3770" t="s">
        <v>14474</v>
      </c>
      <c r="H3770">
        <v>-77.357830089999993</v>
      </c>
      <c r="I3770">
        <v>38.863153199999999</v>
      </c>
      <c r="J3770">
        <v>35</v>
      </c>
      <c r="K3770" t="s">
        <v>536</v>
      </c>
      <c r="L3770" t="s">
        <v>536</v>
      </c>
      <c r="M3770" t="s">
        <v>536</v>
      </c>
      <c r="N3770" t="s">
        <v>536</v>
      </c>
      <c r="O3770" t="s">
        <v>536</v>
      </c>
      <c r="P3770" t="s">
        <v>536</v>
      </c>
      <c r="Q3770" t="s">
        <v>717</v>
      </c>
      <c r="R3770" t="s">
        <v>17396</v>
      </c>
      <c r="S3770" t="s">
        <v>17398</v>
      </c>
      <c r="T3770" t="s">
        <v>17202</v>
      </c>
      <c r="U3770" t="s">
        <v>17399</v>
      </c>
    </row>
    <row r="3771" spans="1:21" x14ac:dyDescent="0.25">
      <c r="A3771" t="s">
        <v>17400</v>
      </c>
      <c r="B3771" t="s">
        <v>22</v>
      </c>
      <c r="C3771" t="s">
        <v>17401</v>
      </c>
      <c r="D3771">
        <f t="shared" si="93"/>
        <v>-8787</v>
      </c>
      <c r="E3771" t="s">
        <v>17402</v>
      </c>
      <c r="F3771" t="s">
        <v>14473</v>
      </c>
      <c r="G3771" t="s">
        <v>14474</v>
      </c>
      <c r="H3771">
        <v>-77.219756840000002</v>
      </c>
      <c r="I3771">
        <v>38.91801924</v>
      </c>
      <c r="J3771">
        <v>35</v>
      </c>
      <c r="K3771" t="s">
        <v>717</v>
      </c>
      <c r="L3771" t="s">
        <v>717</v>
      </c>
      <c r="M3771" t="s">
        <v>717</v>
      </c>
      <c r="N3771" t="s">
        <v>717</v>
      </c>
      <c r="O3771" t="s">
        <v>45</v>
      </c>
      <c r="P3771" t="s">
        <v>45</v>
      </c>
      <c r="Q3771" t="s">
        <v>717</v>
      </c>
      <c r="R3771" t="s">
        <v>17401</v>
      </c>
      <c r="S3771" t="s">
        <v>17403</v>
      </c>
      <c r="T3771" t="s">
        <v>17202</v>
      </c>
      <c r="U3771" t="s">
        <v>17404</v>
      </c>
    </row>
    <row r="3772" spans="1:21" x14ac:dyDescent="0.25">
      <c r="A3772" t="s">
        <v>17405</v>
      </c>
      <c r="B3772" t="s">
        <v>22</v>
      </c>
      <c r="C3772" t="s">
        <v>17406</v>
      </c>
      <c r="D3772">
        <f t="shared" si="93"/>
        <v>-8787</v>
      </c>
      <c r="E3772" t="s">
        <v>17407</v>
      </c>
      <c r="F3772" t="s">
        <v>14473</v>
      </c>
      <c r="G3772" t="s">
        <v>14474</v>
      </c>
      <c r="H3772">
        <v>-88.110173000000003</v>
      </c>
      <c r="I3772">
        <v>43.033287000000001</v>
      </c>
      <c r="J3772">
        <v>20</v>
      </c>
      <c r="K3772" t="s">
        <v>1035</v>
      </c>
      <c r="L3772" t="s">
        <v>1035</v>
      </c>
      <c r="M3772" t="s">
        <v>1035</v>
      </c>
      <c r="N3772" t="s">
        <v>1035</v>
      </c>
      <c r="O3772" t="s">
        <v>1501</v>
      </c>
      <c r="P3772" t="s">
        <v>1501</v>
      </c>
      <c r="Q3772" t="s">
        <v>1034</v>
      </c>
      <c r="R3772" t="s">
        <v>17406</v>
      </c>
      <c r="S3772" t="s">
        <v>17408</v>
      </c>
      <c r="T3772" t="s">
        <v>17409</v>
      </c>
      <c r="U3772" t="s">
        <v>17410</v>
      </c>
    </row>
    <row r="3773" spans="1:21" x14ac:dyDescent="0.25">
      <c r="A3773" t="s">
        <v>17411</v>
      </c>
      <c r="B3773" t="s">
        <v>22</v>
      </c>
      <c r="C3773" t="s">
        <v>17412</v>
      </c>
      <c r="D3773">
        <f t="shared" si="93"/>
        <v>-8787</v>
      </c>
      <c r="E3773" t="s">
        <v>17413</v>
      </c>
      <c r="F3773" t="s">
        <v>14473</v>
      </c>
      <c r="G3773" t="s">
        <v>14474</v>
      </c>
      <c r="H3773">
        <v>-90.348468226977502</v>
      </c>
      <c r="I3773">
        <v>38.634663349285802</v>
      </c>
      <c r="J3773">
        <v>20</v>
      </c>
      <c r="K3773" t="s">
        <v>717</v>
      </c>
      <c r="L3773" t="s">
        <v>717</v>
      </c>
      <c r="M3773" t="s">
        <v>717</v>
      </c>
      <c r="N3773" t="s">
        <v>717</v>
      </c>
      <c r="O3773" t="s">
        <v>717</v>
      </c>
      <c r="P3773" t="s">
        <v>717</v>
      </c>
      <c r="Q3773" t="s">
        <v>1034</v>
      </c>
      <c r="R3773" t="s">
        <v>17412</v>
      </c>
      <c r="S3773" t="s">
        <v>17414</v>
      </c>
      <c r="T3773" t="s">
        <v>17393</v>
      </c>
      <c r="U3773" t="s">
        <v>17415</v>
      </c>
    </row>
    <row r="3774" spans="1:21" x14ac:dyDescent="0.25">
      <c r="A3774" t="s">
        <v>17416</v>
      </c>
      <c r="B3774" t="s">
        <v>22</v>
      </c>
      <c r="C3774" t="s">
        <v>17417</v>
      </c>
      <c r="D3774">
        <f t="shared" si="93"/>
        <v>-8787</v>
      </c>
      <c r="E3774" t="s">
        <v>9806</v>
      </c>
      <c r="F3774" t="s">
        <v>14473</v>
      </c>
      <c r="G3774" t="s">
        <v>14474</v>
      </c>
      <c r="H3774">
        <v>-83.130309019999999</v>
      </c>
      <c r="I3774">
        <v>40.07267976</v>
      </c>
      <c r="J3774">
        <v>35</v>
      </c>
      <c r="K3774" t="s">
        <v>717</v>
      </c>
      <c r="L3774" t="s">
        <v>717</v>
      </c>
      <c r="M3774" t="s">
        <v>717</v>
      </c>
      <c r="N3774" t="s">
        <v>717</v>
      </c>
      <c r="O3774" t="s">
        <v>1035</v>
      </c>
      <c r="P3774" t="s">
        <v>1035</v>
      </c>
      <c r="Q3774" t="s">
        <v>1034</v>
      </c>
      <c r="R3774" t="s">
        <v>17417</v>
      </c>
      <c r="S3774" t="s">
        <v>17418</v>
      </c>
      <c r="T3774" t="s">
        <v>17419</v>
      </c>
      <c r="U3774" t="s">
        <v>17420</v>
      </c>
    </row>
    <row r="3775" spans="1:21" x14ac:dyDescent="0.25">
      <c r="A3775" t="s">
        <v>17421</v>
      </c>
      <c r="B3775" t="s">
        <v>38</v>
      </c>
      <c r="C3775" t="s">
        <v>17422</v>
      </c>
      <c r="D3775">
        <f t="shared" si="93"/>
        <v>-8787</v>
      </c>
      <c r="E3775" t="s">
        <v>17423</v>
      </c>
      <c r="F3775" t="s">
        <v>14473</v>
      </c>
      <c r="G3775" t="s">
        <v>14474</v>
      </c>
      <c r="H3775">
        <v>-89.506512920103404</v>
      </c>
      <c r="I3775">
        <v>43.056181434247598</v>
      </c>
      <c r="J3775">
        <v>20</v>
      </c>
      <c r="K3775" t="s">
        <v>717</v>
      </c>
      <c r="L3775" t="s">
        <v>717</v>
      </c>
      <c r="M3775" t="s">
        <v>717</v>
      </c>
      <c r="N3775" t="s">
        <v>717</v>
      </c>
      <c r="O3775" t="s">
        <v>1035</v>
      </c>
      <c r="P3775" t="s">
        <v>1035</v>
      </c>
      <c r="Q3775" t="s">
        <v>1034</v>
      </c>
      <c r="R3775" t="s">
        <v>17422</v>
      </c>
      <c r="S3775" t="s">
        <v>17424</v>
      </c>
      <c r="T3775" t="s">
        <v>17409</v>
      </c>
      <c r="U3775" t="s">
        <v>17425</v>
      </c>
    </row>
    <row r="3776" spans="1:21" x14ac:dyDescent="0.25">
      <c r="A3776" t="s">
        <v>17426</v>
      </c>
      <c r="B3776" t="s">
        <v>22</v>
      </c>
      <c r="C3776" t="s">
        <v>17427</v>
      </c>
      <c r="D3776">
        <f t="shared" si="93"/>
        <v>-8787</v>
      </c>
      <c r="E3776" t="s">
        <v>17428</v>
      </c>
      <c r="F3776" t="s">
        <v>14473</v>
      </c>
      <c r="G3776" t="s">
        <v>14474</v>
      </c>
      <c r="H3776">
        <v>-76.289185302758099</v>
      </c>
      <c r="I3776">
        <v>36.8496576791104</v>
      </c>
      <c r="J3776">
        <v>35</v>
      </c>
      <c r="K3776" t="s">
        <v>717</v>
      </c>
      <c r="L3776" t="s">
        <v>717</v>
      </c>
      <c r="M3776" t="s">
        <v>717</v>
      </c>
      <c r="N3776" t="s">
        <v>717</v>
      </c>
      <c r="O3776" t="s">
        <v>717</v>
      </c>
      <c r="P3776" t="s">
        <v>717</v>
      </c>
      <c r="Q3776" t="s">
        <v>1492</v>
      </c>
      <c r="R3776" t="s">
        <v>17427</v>
      </c>
      <c r="S3776" t="s">
        <v>17429</v>
      </c>
      <c r="T3776" t="s">
        <v>17202</v>
      </c>
      <c r="U3776" t="s">
        <v>17430</v>
      </c>
    </row>
    <row r="3777" spans="1:21" x14ac:dyDescent="0.25">
      <c r="A3777" t="s">
        <v>17431</v>
      </c>
      <c r="B3777" t="s">
        <v>32</v>
      </c>
      <c r="C3777" t="s">
        <v>17432</v>
      </c>
      <c r="D3777">
        <f t="shared" si="93"/>
        <v>-8787</v>
      </c>
      <c r="E3777" t="s">
        <v>17274</v>
      </c>
      <c r="F3777" t="s">
        <v>14473</v>
      </c>
      <c r="G3777" t="s">
        <v>14474</v>
      </c>
      <c r="H3777">
        <v>-73.991527860000005</v>
      </c>
      <c r="I3777">
        <v>40.738571489999998</v>
      </c>
      <c r="J3777">
        <v>35</v>
      </c>
      <c r="K3777" t="s">
        <v>536</v>
      </c>
      <c r="L3777" t="s">
        <v>536</v>
      </c>
      <c r="M3777" t="s">
        <v>536</v>
      </c>
      <c r="N3777" t="s">
        <v>536</v>
      </c>
      <c r="O3777" t="s">
        <v>536</v>
      </c>
      <c r="P3777" t="s">
        <v>536</v>
      </c>
      <c r="Q3777" t="s">
        <v>1035</v>
      </c>
      <c r="R3777" t="s">
        <v>17432</v>
      </c>
      <c r="S3777" t="s">
        <v>17433</v>
      </c>
      <c r="T3777" t="s">
        <v>17165</v>
      </c>
      <c r="U3777" t="s">
        <v>17434</v>
      </c>
    </row>
    <row r="3778" spans="1:21" x14ac:dyDescent="0.25">
      <c r="A3778" t="s">
        <v>17435</v>
      </c>
      <c r="B3778" t="s">
        <v>32</v>
      </c>
      <c r="C3778" t="s">
        <v>17436</v>
      </c>
      <c r="D3778">
        <f t="shared" si="93"/>
        <v>-8787</v>
      </c>
      <c r="E3778" t="s">
        <v>17437</v>
      </c>
      <c r="F3778" t="s">
        <v>14473</v>
      </c>
      <c r="G3778" t="s">
        <v>14474</v>
      </c>
      <c r="H3778">
        <v>-71.075352429999995</v>
      </c>
      <c r="I3778">
        <v>42.351363710000001</v>
      </c>
      <c r="J3778">
        <v>35</v>
      </c>
      <c r="K3778" t="s">
        <v>717</v>
      </c>
      <c r="L3778" t="s">
        <v>717</v>
      </c>
      <c r="M3778" t="s">
        <v>717</v>
      </c>
      <c r="N3778" t="s">
        <v>717</v>
      </c>
      <c r="O3778" t="s">
        <v>1035</v>
      </c>
      <c r="P3778" t="s">
        <v>1035</v>
      </c>
      <c r="Q3778" t="s">
        <v>1035</v>
      </c>
      <c r="R3778" t="s">
        <v>17436</v>
      </c>
      <c r="S3778" t="s">
        <v>17438</v>
      </c>
      <c r="T3778" t="s">
        <v>17181</v>
      </c>
      <c r="U3778" t="s">
        <v>17439</v>
      </c>
    </row>
    <row r="3779" spans="1:21" x14ac:dyDescent="0.25">
      <c r="A3779" t="s">
        <v>17440</v>
      </c>
      <c r="B3779" t="s">
        <v>22</v>
      </c>
      <c r="C3779" t="s">
        <v>17441</v>
      </c>
      <c r="D3779">
        <f t="shared" si="93"/>
        <v>-8787</v>
      </c>
      <c r="E3779" t="s">
        <v>17442</v>
      </c>
      <c r="F3779" t="s">
        <v>14473</v>
      </c>
      <c r="G3779" t="s">
        <v>14474</v>
      </c>
      <c r="H3779">
        <v>-122.406199</v>
      </c>
      <c r="I3779">
        <v>37.784140710000003</v>
      </c>
      <c r="J3779">
        <v>4</v>
      </c>
      <c r="K3779" t="s">
        <v>717</v>
      </c>
      <c r="L3779" t="s">
        <v>717</v>
      </c>
      <c r="M3779" t="s">
        <v>717</v>
      </c>
      <c r="N3779" t="s">
        <v>717</v>
      </c>
      <c r="O3779" t="s">
        <v>45</v>
      </c>
      <c r="P3779" t="s">
        <v>45</v>
      </c>
      <c r="Q3779" t="s">
        <v>1492</v>
      </c>
      <c r="R3779" t="s">
        <v>17441</v>
      </c>
      <c r="S3779" t="s">
        <v>17443</v>
      </c>
      <c r="T3779" t="s">
        <v>17372</v>
      </c>
      <c r="U3779" t="s">
        <v>17444</v>
      </c>
    </row>
    <row r="3780" spans="1:21" x14ac:dyDescent="0.25">
      <c r="A3780" t="s">
        <v>17445</v>
      </c>
      <c r="B3780" t="s">
        <v>22</v>
      </c>
      <c r="C3780" t="s">
        <v>17446</v>
      </c>
      <c r="D3780">
        <f t="shared" si="93"/>
        <v>-8787</v>
      </c>
      <c r="E3780" t="s">
        <v>17274</v>
      </c>
      <c r="F3780" t="s">
        <v>14473</v>
      </c>
      <c r="G3780" t="s">
        <v>14474</v>
      </c>
      <c r="H3780">
        <v>-73.955354695093604</v>
      </c>
      <c r="I3780">
        <v>40.779184617389802</v>
      </c>
      <c r="J3780">
        <v>35</v>
      </c>
      <c r="K3780" t="s">
        <v>536</v>
      </c>
      <c r="L3780" t="s">
        <v>536</v>
      </c>
      <c r="M3780" t="s">
        <v>536</v>
      </c>
      <c r="N3780" t="s">
        <v>536</v>
      </c>
      <c r="O3780" t="s">
        <v>536</v>
      </c>
      <c r="P3780" t="s">
        <v>536</v>
      </c>
      <c r="Q3780" t="s">
        <v>1035</v>
      </c>
      <c r="R3780" t="s">
        <v>17446</v>
      </c>
      <c r="S3780" t="s">
        <v>17447</v>
      </c>
      <c r="T3780" t="s">
        <v>17165</v>
      </c>
      <c r="U3780" t="s">
        <v>17448</v>
      </c>
    </row>
    <row r="3781" spans="1:21" x14ac:dyDescent="0.25">
      <c r="A3781" t="s">
        <v>17449</v>
      </c>
      <c r="B3781" t="s">
        <v>22</v>
      </c>
      <c r="C3781" t="s">
        <v>17450</v>
      </c>
      <c r="D3781">
        <f t="shared" si="93"/>
        <v>-8787</v>
      </c>
      <c r="E3781" t="s">
        <v>17451</v>
      </c>
      <c r="F3781" t="s">
        <v>14473</v>
      </c>
      <c r="G3781" t="s">
        <v>14474</v>
      </c>
      <c r="H3781">
        <v>-80.006687809108001</v>
      </c>
      <c r="I3781">
        <v>40.544387856385796</v>
      </c>
      <c r="J3781">
        <v>35</v>
      </c>
      <c r="K3781" t="s">
        <v>1035</v>
      </c>
      <c r="L3781" t="s">
        <v>1035</v>
      </c>
      <c r="M3781" t="s">
        <v>1035</v>
      </c>
      <c r="N3781" t="s">
        <v>1035</v>
      </c>
      <c r="O3781" t="s">
        <v>1501</v>
      </c>
      <c r="P3781" t="s">
        <v>1501</v>
      </c>
      <c r="Q3781" t="s">
        <v>1492</v>
      </c>
      <c r="R3781" t="s">
        <v>17450</v>
      </c>
      <c r="S3781" t="s">
        <v>17452</v>
      </c>
      <c r="T3781" t="s">
        <v>17270</v>
      </c>
      <c r="U3781" t="s">
        <v>17453</v>
      </c>
    </row>
    <row r="3782" spans="1:21" x14ac:dyDescent="0.25">
      <c r="A3782" t="s">
        <v>17454</v>
      </c>
      <c r="B3782" t="s">
        <v>32</v>
      </c>
      <c r="C3782" t="s">
        <v>17455</v>
      </c>
      <c r="D3782">
        <f t="shared" si="93"/>
        <v>-8787</v>
      </c>
      <c r="E3782" t="s">
        <v>17456</v>
      </c>
      <c r="F3782" t="s">
        <v>14473</v>
      </c>
      <c r="G3782" t="s">
        <v>14474</v>
      </c>
      <c r="H3782">
        <v>-118.37751470000001</v>
      </c>
      <c r="I3782">
        <v>34.075350440000001</v>
      </c>
      <c r="J3782">
        <v>4</v>
      </c>
      <c r="K3782" t="s">
        <v>1035</v>
      </c>
      <c r="L3782" t="s">
        <v>1035</v>
      </c>
      <c r="M3782" t="s">
        <v>1035</v>
      </c>
      <c r="N3782" t="s">
        <v>1035</v>
      </c>
      <c r="O3782" t="s">
        <v>1035</v>
      </c>
      <c r="P3782" t="s">
        <v>1035</v>
      </c>
      <c r="Q3782" t="s">
        <v>1034</v>
      </c>
      <c r="R3782" t="s">
        <v>17455</v>
      </c>
      <c r="S3782" t="s">
        <v>17457</v>
      </c>
      <c r="T3782" t="s">
        <v>17372</v>
      </c>
      <c r="U3782" t="s">
        <v>17458</v>
      </c>
    </row>
    <row r="3783" spans="1:21" x14ac:dyDescent="0.25">
      <c r="A3783" t="s">
        <v>17459</v>
      </c>
      <c r="B3783" t="s">
        <v>32</v>
      </c>
      <c r="C3783" t="s">
        <v>17460</v>
      </c>
      <c r="D3783">
        <f t="shared" si="93"/>
        <v>-8787</v>
      </c>
      <c r="E3783" t="s">
        <v>17461</v>
      </c>
      <c r="F3783" t="s">
        <v>14473</v>
      </c>
      <c r="G3783" t="s">
        <v>14474</v>
      </c>
      <c r="H3783">
        <v>-118.2574</v>
      </c>
      <c r="I3783">
        <v>34.144599999999997</v>
      </c>
      <c r="J3783">
        <v>4</v>
      </c>
      <c r="K3783" t="s">
        <v>45</v>
      </c>
      <c r="L3783" t="s">
        <v>45</v>
      </c>
      <c r="M3783" t="s">
        <v>45</v>
      </c>
      <c r="N3783" t="s">
        <v>45</v>
      </c>
      <c r="O3783" t="s">
        <v>536</v>
      </c>
      <c r="P3783" t="s">
        <v>536</v>
      </c>
      <c r="Q3783" t="s">
        <v>1035</v>
      </c>
      <c r="R3783" t="s">
        <v>17460</v>
      </c>
      <c r="S3783" t="s">
        <v>17462</v>
      </c>
      <c r="T3783" t="s">
        <v>17372</v>
      </c>
      <c r="U3783" t="s">
        <v>17463</v>
      </c>
    </row>
    <row r="3784" spans="1:21" x14ac:dyDescent="0.25">
      <c r="A3784" t="s">
        <v>17464</v>
      </c>
      <c r="B3784" t="s">
        <v>22</v>
      </c>
      <c r="C3784" t="s">
        <v>17465</v>
      </c>
      <c r="D3784">
        <f t="shared" si="93"/>
        <v>-8787</v>
      </c>
      <c r="E3784" t="s">
        <v>17466</v>
      </c>
      <c r="F3784" t="s">
        <v>14473</v>
      </c>
      <c r="G3784" t="s">
        <v>14474</v>
      </c>
      <c r="H3784">
        <v>-118.604274108463</v>
      </c>
      <c r="I3784">
        <v>34.190949534035099</v>
      </c>
      <c r="J3784">
        <v>4</v>
      </c>
      <c r="K3784" t="s">
        <v>717</v>
      </c>
      <c r="L3784" t="s">
        <v>717</v>
      </c>
      <c r="M3784" t="s">
        <v>717</v>
      </c>
      <c r="N3784" t="s">
        <v>717</v>
      </c>
      <c r="O3784" t="s">
        <v>45</v>
      </c>
      <c r="P3784" t="s">
        <v>45</v>
      </c>
      <c r="Q3784" t="s">
        <v>1034</v>
      </c>
      <c r="R3784" t="s">
        <v>17465</v>
      </c>
      <c r="S3784" t="s">
        <v>17467</v>
      </c>
      <c r="T3784" t="s">
        <v>17372</v>
      </c>
      <c r="U3784" t="s">
        <v>17468</v>
      </c>
    </row>
    <row r="3785" spans="1:21" x14ac:dyDescent="0.25">
      <c r="A3785" t="s">
        <v>17469</v>
      </c>
      <c r="B3785" t="s">
        <v>38</v>
      </c>
      <c r="C3785" t="s">
        <v>17470</v>
      </c>
      <c r="D3785">
        <f t="shared" si="93"/>
        <v>-8787</v>
      </c>
      <c r="E3785" t="s">
        <v>17471</v>
      </c>
      <c r="F3785" t="s">
        <v>14473</v>
      </c>
      <c r="G3785" t="s">
        <v>14474</v>
      </c>
      <c r="H3785">
        <v>-73.038064000000006</v>
      </c>
      <c r="I3785">
        <v>41.234788760000001</v>
      </c>
      <c r="J3785">
        <v>35</v>
      </c>
      <c r="K3785" t="s">
        <v>717</v>
      </c>
      <c r="L3785" t="s">
        <v>717</v>
      </c>
      <c r="M3785" t="s">
        <v>717</v>
      </c>
      <c r="N3785" t="s">
        <v>717</v>
      </c>
      <c r="O3785" t="s">
        <v>717</v>
      </c>
      <c r="P3785" t="s">
        <v>717</v>
      </c>
      <c r="Q3785" t="s">
        <v>1034</v>
      </c>
      <c r="R3785" t="s">
        <v>17470</v>
      </c>
      <c r="S3785" t="s">
        <v>17472</v>
      </c>
      <c r="T3785" t="s">
        <v>17336</v>
      </c>
      <c r="U3785" t="s">
        <v>17473</v>
      </c>
    </row>
    <row r="3786" spans="1:21" x14ac:dyDescent="0.25">
      <c r="A3786" t="s">
        <v>17474</v>
      </c>
      <c r="B3786" t="s">
        <v>22</v>
      </c>
      <c r="C3786" t="s">
        <v>17475</v>
      </c>
      <c r="D3786">
        <f t="shared" ref="D3786:D3849" si="94">1-855-466-7467</f>
        <v>-8787</v>
      </c>
      <c r="E3786" t="s">
        <v>17476</v>
      </c>
      <c r="F3786" t="s">
        <v>14473</v>
      </c>
      <c r="G3786" t="s">
        <v>14474</v>
      </c>
      <c r="H3786">
        <v>-76.546888510000002</v>
      </c>
      <c r="I3786">
        <v>38.99038333</v>
      </c>
      <c r="J3786">
        <v>35</v>
      </c>
      <c r="K3786" t="s">
        <v>717</v>
      </c>
      <c r="L3786" t="s">
        <v>717</v>
      </c>
      <c r="M3786" t="s">
        <v>717</v>
      </c>
      <c r="N3786" t="s">
        <v>717</v>
      </c>
      <c r="O3786" t="s">
        <v>1035</v>
      </c>
      <c r="P3786" t="s">
        <v>1035</v>
      </c>
      <c r="Q3786" t="s">
        <v>1034</v>
      </c>
      <c r="R3786" t="s">
        <v>17475</v>
      </c>
      <c r="S3786" t="s">
        <v>17477</v>
      </c>
      <c r="T3786" t="s">
        <v>17286</v>
      </c>
      <c r="U3786" t="s">
        <v>17478</v>
      </c>
    </row>
    <row r="3787" spans="1:21" x14ac:dyDescent="0.25">
      <c r="A3787" t="s">
        <v>17479</v>
      </c>
      <c r="B3787" t="s">
        <v>22</v>
      </c>
      <c r="C3787" t="s">
        <v>17480</v>
      </c>
      <c r="D3787">
        <f t="shared" si="94"/>
        <v>-8787</v>
      </c>
      <c r="E3787" t="s">
        <v>17481</v>
      </c>
      <c r="F3787" t="s">
        <v>14473</v>
      </c>
      <c r="G3787" t="s">
        <v>14474</v>
      </c>
      <c r="H3787">
        <v>-82.914698000000001</v>
      </c>
      <c r="I3787">
        <v>40.050585570000003</v>
      </c>
      <c r="J3787">
        <v>35</v>
      </c>
      <c r="K3787" t="s">
        <v>717</v>
      </c>
      <c r="L3787" t="s">
        <v>717</v>
      </c>
      <c r="M3787" t="s">
        <v>717</v>
      </c>
      <c r="N3787" t="s">
        <v>717</v>
      </c>
      <c r="O3787" t="s">
        <v>717</v>
      </c>
      <c r="P3787" t="s">
        <v>717</v>
      </c>
      <c r="Q3787" t="s">
        <v>1492</v>
      </c>
      <c r="R3787" t="s">
        <v>17480</v>
      </c>
      <c r="S3787" t="s">
        <v>17482</v>
      </c>
      <c r="T3787" t="s">
        <v>17419</v>
      </c>
      <c r="U3787" t="s">
        <v>17483</v>
      </c>
    </row>
    <row r="3788" spans="1:21" x14ac:dyDescent="0.25">
      <c r="A3788" t="s">
        <v>17484</v>
      </c>
      <c r="B3788" t="s">
        <v>38</v>
      </c>
      <c r="C3788" t="s">
        <v>17485</v>
      </c>
      <c r="D3788">
        <f t="shared" si="94"/>
        <v>-8787</v>
      </c>
      <c r="E3788" t="s">
        <v>17486</v>
      </c>
      <c r="F3788" t="s">
        <v>14473</v>
      </c>
      <c r="G3788" t="s">
        <v>14474</v>
      </c>
      <c r="H3788">
        <v>-81.81909727</v>
      </c>
      <c r="I3788">
        <v>41.308213969999997</v>
      </c>
      <c r="J3788">
        <v>35</v>
      </c>
      <c r="K3788" t="s">
        <v>717</v>
      </c>
      <c r="L3788" t="s">
        <v>717</v>
      </c>
      <c r="M3788" t="s">
        <v>717</v>
      </c>
      <c r="N3788" t="s">
        <v>717</v>
      </c>
      <c r="O3788" t="s">
        <v>717</v>
      </c>
      <c r="P3788" t="s">
        <v>717</v>
      </c>
      <c r="Q3788" t="s">
        <v>1034</v>
      </c>
      <c r="R3788" t="s">
        <v>17485</v>
      </c>
      <c r="S3788" t="s">
        <v>17487</v>
      </c>
      <c r="T3788" t="s">
        <v>17419</v>
      </c>
      <c r="U3788" t="s">
        <v>17488</v>
      </c>
    </row>
    <row r="3789" spans="1:21" x14ac:dyDescent="0.25">
      <c r="A3789" t="s">
        <v>17489</v>
      </c>
      <c r="B3789" t="s">
        <v>22</v>
      </c>
      <c r="C3789" t="s">
        <v>17490</v>
      </c>
      <c r="D3789">
        <f t="shared" si="94"/>
        <v>-8787</v>
      </c>
      <c r="E3789" t="s">
        <v>17491</v>
      </c>
      <c r="F3789" t="s">
        <v>14473</v>
      </c>
      <c r="G3789" t="s">
        <v>14474</v>
      </c>
      <c r="H3789">
        <v>-118.051216022888</v>
      </c>
      <c r="I3789">
        <v>34.135905006162602</v>
      </c>
      <c r="J3789">
        <v>4</v>
      </c>
      <c r="K3789" t="s">
        <v>717</v>
      </c>
      <c r="L3789" t="s">
        <v>717</v>
      </c>
      <c r="M3789" t="s">
        <v>717</v>
      </c>
      <c r="N3789" t="s">
        <v>717</v>
      </c>
      <c r="O3789" t="s">
        <v>45</v>
      </c>
      <c r="P3789" t="s">
        <v>45</v>
      </c>
      <c r="Q3789" t="s">
        <v>717</v>
      </c>
      <c r="R3789" t="s">
        <v>17490</v>
      </c>
      <c r="S3789" t="s">
        <v>17492</v>
      </c>
      <c r="T3789" t="s">
        <v>17372</v>
      </c>
      <c r="U3789" t="s">
        <v>17493</v>
      </c>
    </row>
    <row r="3790" spans="1:21" x14ac:dyDescent="0.25">
      <c r="A3790" t="s">
        <v>17494</v>
      </c>
      <c r="B3790" t="s">
        <v>22</v>
      </c>
      <c r="C3790" t="s">
        <v>17495</v>
      </c>
      <c r="D3790">
        <f t="shared" si="94"/>
        <v>-8787</v>
      </c>
      <c r="E3790" t="s">
        <v>17496</v>
      </c>
      <c r="F3790" t="s">
        <v>14473</v>
      </c>
      <c r="G3790" t="s">
        <v>14474</v>
      </c>
      <c r="H3790">
        <v>-117.88678582749</v>
      </c>
      <c r="I3790">
        <v>33.914859356545399</v>
      </c>
      <c r="J3790">
        <v>4</v>
      </c>
      <c r="K3790" t="s">
        <v>717</v>
      </c>
      <c r="L3790" t="s">
        <v>717</v>
      </c>
      <c r="M3790" t="s">
        <v>717</v>
      </c>
      <c r="N3790" t="s">
        <v>717</v>
      </c>
      <c r="O3790" t="s">
        <v>45</v>
      </c>
      <c r="P3790" t="s">
        <v>45</v>
      </c>
      <c r="Q3790" t="s">
        <v>1492</v>
      </c>
      <c r="R3790" t="s">
        <v>17495</v>
      </c>
      <c r="S3790" t="s">
        <v>17497</v>
      </c>
      <c r="T3790" t="s">
        <v>17372</v>
      </c>
      <c r="U3790" t="s">
        <v>17498</v>
      </c>
    </row>
    <row r="3791" spans="1:21" x14ac:dyDescent="0.25">
      <c r="A3791" t="s">
        <v>17499</v>
      </c>
      <c r="B3791" t="s">
        <v>22</v>
      </c>
      <c r="C3791" t="s">
        <v>17500</v>
      </c>
      <c r="D3791">
        <f t="shared" si="94"/>
        <v>-8787</v>
      </c>
      <c r="E3791" t="s">
        <v>17501</v>
      </c>
      <c r="F3791" t="s">
        <v>14473</v>
      </c>
      <c r="G3791" t="s">
        <v>14474</v>
      </c>
      <c r="H3791">
        <v>-87.951387999999994</v>
      </c>
      <c r="I3791">
        <v>41.852128999999998</v>
      </c>
      <c r="J3791">
        <v>20</v>
      </c>
      <c r="K3791" t="s">
        <v>717</v>
      </c>
      <c r="L3791" t="s">
        <v>717</v>
      </c>
      <c r="M3791" t="s">
        <v>717</v>
      </c>
      <c r="N3791" t="s">
        <v>717</v>
      </c>
      <c r="O3791" t="s">
        <v>1035</v>
      </c>
      <c r="P3791" t="s">
        <v>1035</v>
      </c>
      <c r="Q3791" t="s">
        <v>1034</v>
      </c>
      <c r="R3791" t="s">
        <v>17500</v>
      </c>
      <c r="S3791" t="s">
        <v>17502</v>
      </c>
      <c r="T3791" t="s">
        <v>17313</v>
      </c>
      <c r="U3791" t="s">
        <v>17503</v>
      </c>
    </row>
    <row r="3792" spans="1:21" x14ac:dyDescent="0.25">
      <c r="A3792" t="s">
        <v>17504</v>
      </c>
      <c r="B3792" t="s">
        <v>22</v>
      </c>
      <c r="C3792" t="s">
        <v>17505</v>
      </c>
      <c r="D3792">
        <f t="shared" si="94"/>
        <v>-8787</v>
      </c>
      <c r="E3792" t="s">
        <v>17506</v>
      </c>
      <c r="F3792" t="s">
        <v>14473</v>
      </c>
      <c r="G3792" t="s">
        <v>14474</v>
      </c>
      <c r="H3792">
        <v>-75.12465254</v>
      </c>
      <c r="I3792">
        <v>40.140665509999998</v>
      </c>
      <c r="J3792">
        <v>35</v>
      </c>
      <c r="K3792" t="s">
        <v>535</v>
      </c>
      <c r="L3792" t="s">
        <v>535</v>
      </c>
      <c r="M3792" t="s">
        <v>535</v>
      </c>
      <c r="N3792" t="s">
        <v>535</v>
      </c>
      <c r="O3792" t="s">
        <v>535</v>
      </c>
      <c r="P3792" t="s">
        <v>535</v>
      </c>
      <c r="Q3792" t="s">
        <v>1492</v>
      </c>
      <c r="R3792" t="s">
        <v>17505</v>
      </c>
      <c r="S3792" t="s">
        <v>17507</v>
      </c>
      <c r="T3792" t="s">
        <v>17270</v>
      </c>
      <c r="U3792" t="s">
        <v>17508</v>
      </c>
    </row>
    <row r="3793" spans="1:21" x14ac:dyDescent="0.25">
      <c r="A3793" t="s">
        <v>17509</v>
      </c>
      <c r="B3793" t="s">
        <v>38</v>
      </c>
      <c r="C3793" t="s">
        <v>17510</v>
      </c>
      <c r="D3793">
        <f t="shared" si="94"/>
        <v>-8787</v>
      </c>
      <c r="E3793" t="s">
        <v>17461</v>
      </c>
      <c r="F3793" t="s">
        <v>14473</v>
      </c>
      <c r="G3793" t="s">
        <v>14474</v>
      </c>
      <c r="H3793">
        <v>-87.914752089999993</v>
      </c>
      <c r="I3793">
        <v>43.122367820000001</v>
      </c>
      <c r="J3793">
        <v>20</v>
      </c>
      <c r="K3793" t="s">
        <v>717</v>
      </c>
      <c r="L3793" t="s">
        <v>717</v>
      </c>
      <c r="M3793" t="s">
        <v>717</v>
      </c>
      <c r="N3793" t="s">
        <v>717</v>
      </c>
      <c r="O3793" t="s">
        <v>717</v>
      </c>
      <c r="P3793" t="s">
        <v>717</v>
      </c>
      <c r="Q3793" t="s">
        <v>1492</v>
      </c>
      <c r="R3793" t="s">
        <v>17510</v>
      </c>
      <c r="S3793" t="s">
        <v>17511</v>
      </c>
      <c r="T3793" t="s">
        <v>17409</v>
      </c>
      <c r="U3793" t="s">
        <v>17512</v>
      </c>
    </row>
    <row r="3794" spans="1:21" x14ac:dyDescent="0.25">
      <c r="A3794" t="s">
        <v>17513</v>
      </c>
      <c r="B3794" t="s">
        <v>22</v>
      </c>
      <c r="C3794" t="s">
        <v>17514</v>
      </c>
      <c r="D3794">
        <f t="shared" si="94"/>
        <v>-8787</v>
      </c>
      <c r="E3794" t="s">
        <v>17515</v>
      </c>
      <c r="F3794" t="s">
        <v>14473</v>
      </c>
      <c r="G3794" t="s">
        <v>14474</v>
      </c>
      <c r="H3794">
        <v>-76.859737949999996</v>
      </c>
      <c r="I3794">
        <v>39.214838829999998</v>
      </c>
      <c r="J3794">
        <v>35</v>
      </c>
      <c r="K3794" t="s">
        <v>535</v>
      </c>
      <c r="L3794" t="s">
        <v>535</v>
      </c>
      <c r="M3794" t="s">
        <v>535</v>
      </c>
      <c r="N3794" t="s">
        <v>535</v>
      </c>
      <c r="O3794" t="s">
        <v>45</v>
      </c>
      <c r="P3794" t="s">
        <v>45</v>
      </c>
      <c r="Q3794" t="s">
        <v>1492</v>
      </c>
      <c r="R3794" t="s">
        <v>17514</v>
      </c>
      <c r="S3794" t="s">
        <v>17516</v>
      </c>
      <c r="T3794" t="s">
        <v>17286</v>
      </c>
      <c r="U3794" t="s">
        <v>17517</v>
      </c>
    </row>
    <row r="3795" spans="1:21" x14ac:dyDescent="0.25">
      <c r="A3795" t="s">
        <v>17518</v>
      </c>
      <c r="B3795" t="s">
        <v>22</v>
      </c>
      <c r="C3795" t="s">
        <v>17519</v>
      </c>
      <c r="D3795">
        <f t="shared" si="94"/>
        <v>-8787</v>
      </c>
      <c r="E3795" t="s">
        <v>17520</v>
      </c>
      <c r="F3795" t="s">
        <v>14473</v>
      </c>
      <c r="G3795" t="s">
        <v>14474</v>
      </c>
      <c r="H3795">
        <v>-76.598221657046096</v>
      </c>
      <c r="I3795">
        <v>39.403878183806</v>
      </c>
      <c r="J3795">
        <v>35</v>
      </c>
      <c r="K3795" t="s">
        <v>717</v>
      </c>
      <c r="L3795" t="s">
        <v>717</v>
      </c>
      <c r="M3795" t="s">
        <v>717</v>
      </c>
      <c r="N3795" t="s">
        <v>717</v>
      </c>
      <c r="O3795" t="s">
        <v>1035</v>
      </c>
      <c r="P3795" t="s">
        <v>1035</v>
      </c>
      <c r="Q3795" t="s">
        <v>1492</v>
      </c>
      <c r="R3795" t="s">
        <v>17519</v>
      </c>
      <c r="S3795" t="s">
        <v>17521</v>
      </c>
      <c r="T3795" t="s">
        <v>17286</v>
      </c>
      <c r="U3795" t="s">
        <v>17522</v>
      </c>
    </row>
    <row r="3796" spans="1:21" x14ac:dyDescent="0.25">
      <c r="A3796" t="s">
        <v>17523</v>
      </c>
      <c r="B3796" t="s">
        <v>22</v>
      </c>
      <c r="C3796" t="s">
        <v>17524</v>
      </c>
      <c r="D3796">
        <f t="shared" si="94"/>
        <v>-8787</v>
      </c>
      <c r="E3796" t="s">
        <v>17525</v>
      </c>
      <c r="F3796" t="s">
        <v>14473</v>
      </c>
      <c r="G3796" t="s">
        <v>14474</v>
      </c>
      <c r="H3796">
        <v>-121.27041699999999</v>
      </c>
      <c r="I3796">
        <v>38.772472</v>
      </c>
      <c r="J3796">
        <v>4</v>
      </c>
      <c r="K3796" t="s">
        <v>717</v>
      </c>
      <c r="L3796" t="s">
        <v>717</v>
      </c>
      <c r="M3796" t="s">
        <v>717</v>
      </c>
      <c r="N3796" t="s">
        <v>717</v>
      </c>
      <c r="O3796" t="s">
        <v>536</v>
      </c>
      <c r="P3796" t="s">
        <v>536</v>
      </c>
      <c r="Q3796" t="s">
        <v>717</v>
      </c>
      <c r="R3796" t="s">
        <v>17524</v>
      </c>
      <c r="S3796" t="s">
        <v>17526</v>
      </c>
      <c r="T3796" t="s">
        <v>17372</v>
      </c>
      <c r="U3796" t="s">
        <v>17527</v>
      </c>
    </row>
    <row r="3797" spans="1:21" x14ac:dyDescent="0.25">
      <c r="A3797" t="s">
        <v>17528</v>
      </c>
      <c r="B3797" t="s">
        <v>38</v>
      </c>
      <c r="C3797" t="s">
        <v>17529</v>
      </c>
      <c r="D3797">
        <f t="shared" si="94"/>
        <v>-8787</v>
      </c>
      <c r="E3797" t="s">
        <v>17530</v>
      </c>
      <c r="F3797" t="s">
        <v>14473</v>
      </c>
      <c r="G3797" t="s">
        <v>14474</v>
      </c>
      <c r="H3797">
        <v>-70.944895149999994</v>
      </c>
      <c r="I3797">
        <v>42.540994810000001</v>
      </c>
      <c r="J3797">
        <v>35</v>
      </c>
      <c r="K3797" t="s">
        <v>1035</v>
      </c>
      <c r="L3797" t="s">
        <v>1035</v>
      </c>
      <c r="M3797" t="s">
        <v>1035</v>
      </c>
      <c r="N3797" t="s">
        <v>1035</v>
      </c>
      <c r="O3797" t="s">
        <v>536</v>
      </c>
      <c r="P3797" t="s">
        <v>536</v>
      </c>
      <c r="Q3797" t="s">
        <v>1034</v>
      </c>
      <c r="R3797" t="s">
        <v>17529</v>
      </c>
      <c r="S3797" t="s">
        <v>17531</v>
      </c>
      <c r="T3797" t="s">
        <v>17181</v>
      </c>
      <c r="U3797" t="s">
        <v>17532</v>
      </c>
    </row>
    <row r="3798" spans="1:21" x14ac:dyDescent="0.25">
      <c r="A3798" t="s">
        <v>17533</v>
      </c>
      <c r="B3798" t="s">
        <v>22</v>
      </c>
      <c r="C3798" t="s">
        <v>17534</v>
      </c>
      <c r="D3798">
        <f t="shared" si="94"/>
        <v>-8787</v>
      </c>
      <c r="E3798" t="s">
        <v>17535</v>
      </c>
      <c r="F3798" t="s">
        <v>14473</v>
      </c>
      <c r="G3798" t="s">
        <v>14474</v>
      </c>
      <c r="H3798">
        <v>-74.165758449999998</v>
      </c>
      <c r="I3798">
        <v>40.58166404</v>
      </c>
      <c r="J3798">
        <v>35</v>
      </c>
      <c r="K3798" t="s">
        <v>717</v>
      </c>
      <c r="L3798" t="s">
        <v>717</v>
      </c>
      <c r="M3798" t="s">
        <v>717</v>
      </c>
      <c r="N3798" t="s">
        <v>717</v>
      </c>
      <c r="O3798" t="s">
        <v>717</v>
      </c>
      <c r="P3798" t="s">
        <v>717</v>
      </c>
      <c r="Q3798" t="s">
        <v>1034</v>
      </c>
      <c r="R3798" t="s">
        <v>17534</v>
      </c>
      <c r="S3798" t="s">
        <v>17536</v>
      </c>
      <c r="T3798" t="s">
        <v>17165</v>
      </c>
      <c r="U3798" t="s">
        <v>17537</v>
      </c>
    </row>
    <row r="3799" spans="1:21" x14ac:dyDescent="0.25">
      <c r="A3799" t="s">
        <v>17538</v>
      </c>
      <c r="B3799" t="s">
        <v>22</v>
      </c>
      <c r="C3799" t="s">
        <v>17539</v>
      </c>
      <c r="D3799">
        <f t="shared" si="94"/>
        <v>-8787</v>
      </c>
      <c r="E3799" t="s">
        <v>17442</v>
      </c>
      <c r="F3799" t="s">
        <v>14473</v>
      </c>
      <c r="G3799" t="s">
        <v>14474</v>
      </c>
      <c r="H3799">
        <v>-122.47749229999999</v>
      </c>
      <c r="I3799">
        <v>37.727341359999997</v>
      </c>
      <c r="J3799">
        <v>4</v>
      </c>
      <c r="K3799" t="s">
        <v>1035</v>
      </c>
      <c r="L3799" t="s">
        <v>1035</v>
      </c>
      <c r="M3799" t="s">
        <v>1035</v>
      </c>
      <c r="N3799" t="s">
        <v>1035</v>
      </c>
      <c r="O3799" t="s">
        <v>1035</v>
      </c>
      <c r="P3799" t="s">
        <v>1035</v>
      </c>
      <c r="Q3799" t="s">
        <v>717</v>
      </c>
      <c r="R3799" t="s">
        <v>17539</v>
      </c>
      <c r="S3799" t="s">
        <v>17540</v>
      </c>
      <c r="T3799" t="s">
        <v>17372</v>
      </c>
      <c r="U3799" t="s">
        <v>17541</v>
      </c>
    </row>
    <row r="3800" spans="1:21" x14ac:dyDescent="0.25">
      <c r="A3800" t="s">
        <v>17542</v>
      </c>
      <c r="B3800" t="s">
        <v>38</v>
      </c>
      <c r="C3800" t="s">
        <v>17543</v>
      </c>
      <c r="D3800">
        <f t="shared" si="94"/>
        <v>-8787</v>
      </c>
      <c r="E3800" t="s">
        <v>17544</v>
      </c>
      <c r="F3800" t="s">
        <v>14473</v>
      </c>
      <c r="G3800" t="s">
        <v>14474</v>
      </c>
      <c r="H3800">
        <v>-83.222937000000002</v>
      </c>
      <c r="I3800">
        <v>42.316895000000002</v>
      </c>
      <c r="J3800">
        <v>35</v>
      </c>
      <c r="K3800" t="s">
        <v>17207</v>
      </c>
      <c r="L3800" t="s">
        <v>17207</v>
      </c>
      <c r="M3800" t="s">
        <v>17207</v>
      </c>
      <c r="N3800" t="s">
        <v>17207</v>
      </c>
      <c r="O3800" t="s">
        <v>17207</v>
      </c>
      <c r="P3800" t="s">
        <v>17207</v>
      </c>
      <c r="Q3800" t="s">
        <v>1492</v>
      </c>
      <c r="R3800" t="s">
        <v>17543</v>
      </c>
      <c r="S3800" t="s">
        <v>17545</v>
      </c>
      <c r="T3800" t="s">
        <v>17546</v>
      </c>
      <c r="U3800" t="s">
        <v>17547</v>
      </c>
    </row>
    <row r="3801" spans="1:21" x14ac:dyDescent="0.25">
      <c r="A3801" t="s">
        <v>17548</v>
      </c>
      <c r="B3801" t="s">
        <v>38</v>
      </c>
      <c r="C3801" t="s">
        <v>17549</v>
      </c>
      <c r="D3801">
        <f t="shared" si="94"/>
        <v>-8787</v>
      </c>
      <c r="E3801" t="s">
        <v>17550</v>
      </c>
      <c r="F3801" t="s">
        <v>14473</v>
      </c>
      <c r="G3801" t="s">
        <v>14474</v>
      </c>
      <c r="H3801">
        <v>-83.301247000000004</v>
      </c>
      <c r="I3801">
        <v>42.703037999999999</v>
      </c>
      <c r="J3801">
        <v>35</v>
      </c>
      <c r="K3801" t="s">
        <v>717</v>
      </c>
      <c r="L3801" t="s">
        <v>717</v>
      </c>
      <c r="M3801" t="s">
        <v>717</v>
      </c>
      <c r="N3801" t="s">
        <v>717</v>
      </c>
      <c r="O3801" t="s">
        <v>717</v>
      </c>
      <c r="P3801" t="s">
        <v>717</v>
      </c>
      <c r="Q3801" t="s">
        <v>1034</v>
      </c>
      <c r="R3801" t="s">
        <v>17549</v>
      </c>
      <c r="S3801" t="s">
        <v>17551</v>
      </c>
      <c r="T3801" t="s">
        <v>17546</v>
      </c>
      <c r="U3801" t="s">
        <v>17552</v>
      </c>
    </row>
    <row r="3802" spans="1:21" x14ac:dyDescent="0.25">
      <c r="A3802" t="s">
        <v>17553</v>
      </c>
      <c r="B3802" t="s">
        <v>22</v>
      </c>
      <c r="C3802" t="s">
        <v>17554</v>
      </c>
      <c r="D3802">
        <f t="shared" si="94"/>
        <v>-8787</v>
      </c>
      <c r="E3802" t="s">
        <v>17555</v>
      </c>
      <c r="F3802" t="s">
        <v>14473</v>
      </c>
      <c r="G3802" t="s">
        <v>14474</v>
      </c>
      <c r="H3802">
        <v>-72.763014440000006</v>
      </c>
      <c r="I3802">
        <v>41.723624020000003</v>
      </c>
      <c r="J3802">
        <v>35</v>
      </c>
      <c r="K3802" t="s">
        <v>45</v>
      </c>
      <c r="L3802" t="s">
        <v>45</v>
      </c>
      <c r="M3802" t="s">
        <v>45</v>
      </c>
      <c r="N3802" t="s">
        <v>45</v>
      </c>
      <c r="O3802" t="s">
        <v>45</v>
      </c>
      <c r="P3802" t="s">
        <v>45</v>
      </c>
      <c r="Q3802" t="s">
        <v>1034</v>
      </c>
      <c r="R3802" t="s">
        <v>17554</v>
      </c>
      <c r="S3802" t="s">
        <v>17556</v>
      </c>
      <c r="T3802" t="s">
        <v>17336</v>
      </c>
      <c r="U3802" t="s">
        <v>17557</v>
      </c>
    </row>
    <row r="3803" spans="1:21" x14ac:dyDescent="0.25">
      <c r="A3803" t="s">
        <v>17558</v>
      </c>
      <c r="B3803" t="s">
        <v>22</v>
      </c>
      <c r="C3803" t="s">
        <v>17559</v>
      </c>
      <c r="D3803">
        <f t="shared" si="94"/>
        <v>-8787</v>
      </c>
      <c r="E3803" t="s">
        <v>17560</v>
      </c>
      <c r="F3803" t="s">
        <v>14473</v>
      </c>
      <c r="G3803" t="s">
        <v>14474</v>
      </c>
      <c r="H3803">
        <v>-115.1768156</v>
      </c>
      <c r="I3803">
        <v>36.0683954</v>
      </c>
      <c r="J3803">
        <v>4</v>
      </c>
      <c r="K3803" t="s">
        <v>1035</v>
      </c>
      <c r="L3803" t="s">
        <v>1035</v>
      </c>
      <c r="M3803" t="s">
        <v>1035</v>
      </c>
      <c r="N3803" t="s">
        <v>1035</v>
      </c>
      <c r="O3803" t="s">
        <v>1035</v>
      </c>
      <c r="P3803" t="s">
        <v>1035</v>
      </c>
      <c r="Q3803" t="s">
        <v>717</v>
      </c>
      <c r="R3803" t="s">
        <v>17559</v>
      </c>
      <c r="S3803" t="s">
        <v>17561</v>
      </c>
      <c r="T3803" t="s">
        <v>17562</v>
      </c>
      <c r="U3803" t="s">
        <v>17563</v>
      </c>
    </row>
    <row r="3804" spans="1:21" x14ac:dyDescent="0.25">
      <c r="A3804" t="s">
        <v>17564</v>
      </c>
      <c r="B3804" t="s">
        <v>22</v>
      </c>
      <c r="C3804" t="s">
        <v>17565</v>
      </c>
      <c r="D3804">
        <f t="shared" si="94"/>
        <v>-8787</v>
      </c>
      <c r="E3804" t="s">
        <v>17566</v>
      </c>
      <c r="F3804" t="s">
        <v>14473</v>
      </c>
      <c r="G3804" t="s">
        <v>14474</v>
      </c>
      <c r="H3804">
        <v>-121.9246186</v>
      </c>
      <c r="I3804">
        <v>37.694051899999998</v>
      </c>
      <c r="J3804">
        <v>4</v>
      </c>
      <c r="K3804" t="s">
        <v>717</v>
      </c>
      <c r="L3804" t="s">
        <v>717</v>
      </c>
      <c r="M3804" t="s">
        <v>717</v>
      </c>
      <c r="N3804" t="s">
        <v>717</v>
      </c>
      <c r="O3804" t="s">
        <v>1035</v>
      </c>
      <c r="P3804" t="s">
        <v>1035</v>
      </c>
      <c r="Q3804" t="s">
        <v>1492</v>
      </c>
      <c r="R3804" t="s">
        <v>17565</v>
      </c>
      <c r="S3804" t="s">
        <v>17567</v>
      </c>
      <c r="T3804" t="s">
        <v>17372</v>
      </c>
      <c r="U3804" t="s">
        <v>17568</v>
      </c>
    </row>
    <row r="3805" spans="1:21" x14ac:dyDescent="0.25">
      <c r="A3805" t="s">
        <v>17569</v>
      </c>
      <c r="B3805" t="s">
        <v>22</v>
      </c>
      <c r="C3805" t="s">
        <v>17570</v>
      </c>
      <c r="D3805">
        <f t="shared" si="94"/>
        <v>-8787</v>
      </c>
      <c r="E3805" t="s">
        <v>17571</v>
      </c>
      <c r="F3805" t="s">
        <v>14473</v>
      </c>
      <c r="G3805" t="s">
        <v>14474</v>
      </c>
      <c r="H3805">
        <v>-122.291918</v>
      </c>
      <c r="I3805">
        <v>37.834164080000001</v>
      </c>
      <c r="J3805">
        <v>4</v>
      </c>
      <c r="K3805" t="s">
        <v>45</v>
      </c>
      <c r="L3805" t="s">
        <v>45</v>
      </c>
      <c r="M3805" t="s">
        <v>45</v>
      </c>
      <c r="N3805" t="s">
        <v>45</v>
      </c>
      <c r="O3805" t="s">
        <v>536</v>
      </c>
      <c r="P3805" t="s">
        <v>536</v>
      </c>
      <c r="Q3805" t="s">
        <v>1034</v>
      </c>
      <c r="R3805" t="s">
        <v>17570</v>
      </c>
      <c r="S3805" t="s">
        <v>17572</v>
      </c>
      <c r="T3805" t="s">
        <v>17372</v>
      </c>
      <c r="U3805" t="s">
        <v>17573</v>
      </c>
    </row>
    <row r="3806" spans="1:21" x14ac:dyDescent="0.25">
      <c r="A3806" t="s">
        <v>17574</v>
      </c>
      <c r="B3806" t="s">
        <v>22</v>
      </c>
      <c r="C3806" t="s">
        <v>17575</v>
      </c>
      <c r="D3806">
        <f t="shared" si="94"/>
        <v>-8787</v>
      </c>
      <c r="E3806" t="s">
        <v>17576</v>
      </c>
      <c r="F3806" t="s">
        <v>14473</v>
      </c>
      <c r="G3806" t="s">
        <v>14474</v>
      </c>
      <c r="H3806">
        <v>-117.89318</v>
      </c>
      <c r="I3806">
        <v>33.692664999999998</v>
      </c>
      <c r="J3806">
        <v>4</v>
      </c>
      <c r="K3806" t="s">
        <v>1035</v>
      </c>
      <c r="L3806" t="s">
        <v>1035</v>
      </c>
      <c r="M3806" t="s">
        <v>1035</v>
      </c>
      <c r="N3806" t="s">
        <v>1035</v>
      </c>
      <c r="O3806" t="s">
        <v>1035</v>
      </c>
      <c r="P3806" t="s">
        <v>1035</v>
      </c>
      <c r="Q3806" t="s">
        <v>717</v>
      </c>
      <c r="R3806" t="s">
        <v>17575</v>
      </c>
      <c r="S3806" t="s">
        <v>17577</v>
      </c>
      <c r="T3806" t="s">
        <v>17372</v>
      </c>
      <c r="U3806" t="s">
        <v>17578</v>
      </c>
    </row>
    <row r="3807" spans="1:21" x14ac:dyDescent="0.25">
      <c r="A3807" t="s">
        <v>17579</v>
      </c>
      <c r="B3807" t="s">
        <v>22</v>
      </c>
      <c r="C3807" t="s">
        <v>17580</v>
      </c>
      <c r="D3807">
        <f t="shared" si="94"/>
        <v>-8787</v>
      </c>
      <c r="E3807" t="s">
        <v>17581</v>
      </c>
      <c r="F3807" t="s">
        <v>14473</v>
      </c>
      <c r="G3807" t="s">
        <v>14474</v>
      </c>
      <c r="H3807">
        <v>-74.335405829999999</v>
      </c>
      <c r="I3807">
        <v>40.546588790000001</v>
      </c>
      <c r="J3807">
        <v>35</v>
      </c>
      <c r="K3807" t="s">
        <v>717</v>
      </c>
      <c r="L3807" t="s">
        <v>717</v>
      </c>
      <c r="M3807" t="s">
        <v>717</v>
      </c>
      <c r="N3807" t="s">
        <v>717</v>
      </c>
      <c r="O3807" t="s">
        <v>717</v>
      </c>
      <c r="P3807" t="s">
        <v>717</v>
      </c>
      <c r="Q3807" t="s">
        <v>717</v>
      </c>
      <c r="R3807" t="s">
        <v>17580</v>
      </c>
      <c r="S3807" t="s">
        <v>17582</v>
      </c>
      <c r="T3807" t="s">
        <v>17159</v>
      </c>
      <c r="U3807" t="s">
        <v>17583</v>
      </c>
    </row>
    <row r="3808" spans="1:21" x14ac:dyDescent="0.25">
      <c r="A3808" t="s">
        <v>17584</v>
      </c>
      <c r="B3808" t="s">
        <v>38</v>
      </c>
      <c r="C3808" t="s">
        <v>17585</v>
      </c>
      <c r="D3808">
        <f t="shared" si="94"/>
        <v>-8787</v>
      </c>
      <c r="E3808" t="s">
        <v>17586</v>
      </c>
      <c r="F3808" t="s">
        <v>14473</v>
      </c>
      <c r="G3808" t="s">
        <v>14474</v>
      </c>
      <c r="H3808">
        <v>-88.042770200000007</v>
      </c>
      <c r="I3808">
        <v>41.717164859999997</v>
      </c>
      <c r="J3808">
        <v>20</v>
      </c>
      <c r="K3808" t="s">
        <v>1035</v>
      </c>
      <c r="L3808" t="s">
        <v>1035</v>
      </c>
      <c r="M3808" t="s">
        <v>1035</v>
      </c>
      <c r="N3808" t="s">
        <v>1035</v>
      </c>
      <c r="O3808" t="s">
        <v>1035</v>
      </c>
      <c r="P3808" t="s">
        <v>1035</v>
      </c>
      <c r="Q3808" t="s">
        <v>1034</v>
      </c>
      <c r="R3808" t="s">
        <v>17585</v>
      </c>
      <c r="S3808" t="s">
        <v>17587</v>
      </c>
      <c r="T3808" t="s">
        <v>17313</v>
      </c>
      <c r="U3808" t="s">
        <v>17588</v>
      </c>
    </row>
    <row r="3809" spans="1:21" x14ac:dyDescent="0.25">
      <c r="A3809" t="s">
        <v>17589</v>
      </c>
      <c r="B3809" t="s">
        <v>22</v>
      </c>
      <c r="C3809" t="s">
        <v>17590</v>
      </c>
      <c r="D3809">
        <f t="shared" si="94"/>
        <v>-8787</v>
      </c>
      <c r="E3809" t="s">
        <v>17237</v>
      </c>
      <c r="F3809" t="s">
        <v>14473</v>
      </c>
      <c r="G3809" t="s">
        <v>14474</v>
      </c>
      <c r="H3809">
        <v>-73.985150899999994</v>
      </c>
      <c r="I3809">
        <v>40.690814699999997</v>
      </c>
      <c r="J3809">
        <v>35</v>
      </c>
      <c r="K3809" t="s">
        <v>717</v>
      </c>
      <c r="L3809" t="s">
        <v>717</v>
      </c>
      <c r="M3809" t="s">
        <v>717</v>
      </c>
      <c r="N3809" t="s">
        <v>717</v>
      </c>
      <c r="O3809" t="s">
        <v>717</v>
      </c>
      <c r="P3809" t="s">
        <v>717</v>
      </c>
      <c r="Q3809" t="s">
        <v>717</v>
      </c>
      <c r="R3809" t="s">
        <v>17590</v>
      </c>
      <c r="S3809" t="s">
        <v>17591</v>
      </c>
      <c r="T3809" t="s">
        <v>17165</v>
      </c>
      <c r="U3809" t="s">
        <v>17592</v>
      </c>
    </row>
    <row r="3810" spans="1:21" x14ac:dyDescent="0.25">
      <c r="A3810" t="s">
        <v>17593</v>
      </c>
      <c r="B3810" t="s">
        <v>22</v>
      </c>
      <c r="C3810" t="s">
        <v>17594</v>
      </c>
      <c r="D3810">
        <f t="shared" si="94"/>
        <v>-8787</v>
      </c>
      <c r="E3810" t="s">
        <v>17560</v>
      </c>
      <c r="F3810" t="s">
        <v>14473</v>
      </c>
      <c r="G3810" t="s">
        <v>14474</v>
      </c>
      <c r="H3810">
        <v>-115.1701841</v>
      </c>
      <c r="I3810">
        <v>36.110981899999999</v>
      </c>
      <c r="J3810">
        <v>4</v>
      </c>
      <c r="K3810" t="s">
        <v>536</v>
      </c>
      <c r="L3810" t="s">
        <v>536</v>
      </c>
      <c r="M3810" t="s">
        <v>536</v>
      </c>
      <c r="N3810" t="s">
        <v>536</v>
      </c>
      <c r="O3810" t="s">
        <v>536</v>
      </c>
      <c r="P3810" t="s">
        <v>536</v>
      </c>
      <c r="Q3810" t="s">
        <v>536</v>
      </c>
      <c r="R3810" t="s">
        <v>17594</v>
      </c>
      <c r="S3810" t="s">
        <v>17595</v>
      </c>
      <c r="T3810" t="s">
        <v>17562</v>
      </c>
      <c r="U3810" t="s">
        <v>17596</v>
      </c>
    </row>
    <row r="3811" spans="1:21" x14ac:dyDescent="0.25">
      <c r="A3811" t="s">
        <v>17597</v>
      </c>
      <c r="B3811" t="s">
        <v>22</v>
      </c>
      <c r="C3811" t="s">
        <v>17598</v>
      </c>
      <c r="D3811">
        <f t="shared" si="94"/>
        <v>-8787</v>
      </c>
      <c r="E3811" t="s">
        <v>17599</v>
      </c>
      <c r="F3811" t="s">
        <v>14473</v>
      </c>
      <c r="G3811" t="s">
        <v>14474</v>
      </c>
      <c r="H3811">
        <v>-121.8978029</v>
      </c>
      <c r="I3811">
        <v>37.414369059999999</v>
      </c>
      <c r="J3811">
        <v>4</v>
      </c>
      <c r="K3811" t="s">
        <v>536</v>
      </c>
      <c r="L3811" t="s">
        <v>536</v>
      </c>
      <c r="M3811" t="s">
        <v>536</v>
      </c>
      <c r="N3811" t="s">
        <v>536</v>
      </c>
      <c r="O3811" t="s">
        <v>536</v>
      </c>
      <c r="P3811" t="s">
        <v>536</v>
      </c>
      <c r="Q3811" t="s">
        <v>717</v>
      </c>
      <c r="R3811" t="s">
        <v>17598</v>
      </c>
      <c r="S3811" t="s">
        <v>17600</v>
      </c>
      <c r="T3811" t="s">
        <v>17372</v>
      </c>
      <c r="U3811" t="s">
        <v>17601</v>
      </c>
    </row>
    <row r="3812" spans="1:21" x14ac:dyDescent="0.25">
      <c r="A3812" t="s">
        <v>17602</v>
      </c>
      <c r="B3812" t="s">
        <v>22</v>
      </c>
      <c r="C3812" t="s">
        <v>17603</v>
      </c>
      <c r="D3812">
        <f t="shared" si="94"/>
        <v>-8787</v>
      </c>
      <c r="E3812" t="s">
        <v>17381</v>
      </c>
      <c r="F3812" t="s">
        <v>14473</v>
      </c>
      <c r="G3812" t="s">
        <v>14474</v>
      </c>
      <c r="H3812">
        <v>-86.064902617796804</v>
      </c>
      <c r="I3812">
        <v>39.907863705366601</v>
      </c>
      <c r="J3812">
        <v>40</v>
      </c>
      <c r="K3812" t="s">
        <v>1035</v>
      </c>
      <c r="L3812" t="s">
        <v>1035</v>
      </c>
      <c r="M3812" t="s">
        <v>1035</v>
      </c>
      <c r="N3812" t="s">
        <v>1035</v>
      </c>
      <c r="O3812" t="s">
        <v>536</v>
      </c>
      <c r="P3812" t="s">
        <v>536</v>
      </c>
      <c r="Q3812" t="s">
        <v>1034</v>
      </c>
      <c r="R3812" t="s">
        <v>17603</v>
      </c>
      <c r="S3812" t="s">
        <v>17604</v>
      </c>
      <c r="T3812" t="s">
        <v>17366</v>
      </c>
      <c r="U3812" t="s">
        <v>17605</v>
      </c>
    </row>
    <row r="3813" spans="1:21" x14ac:dyDescent="0.25">
      <c r="A3813" t="s">
        <v>17606</v>
      </c>
      <c r="B3813" t="s">
        <v>38</v>
      </c>
      <c r="C3813" t="s">
        <v>17607</v>
      </c>
      <c r="D3813">
        <f t="shared" si="94"/>
        <v>-8787</v>
      </c>
      <c r="E3813" t="s">
        <v>17608</v>
      </c>
      <c r="F3813" t="s">
        <v>14473</v>
      </c>
      <c r="G3813" t="s">
        <v>14474</v>
      </c>
      <c r="H3813">
        <v>-71.350119000000007</v>
      </c>
      <c r="I3813">
        <v>41.946376999999998</v>
      </c>
      <c r="J3813">
        <v>35</v>
      </c>
      <c r="K3813" t="s">
        <v>1035</v>
      </c>
      <c r="L3813" t="s">
        <v>1035</v>
      </c>
      <c r="M3813" t="s">
        <v>1035</v>
      </c>
      <c r="N3813" t="s">
        <v>1035</v>
      </c>
      <c r="O3813" t="s">
        <v>1035</v>
      </c>
      <c r="P3813" t="s">
        <v>1035</v>
      </c>
      <c r="Q3813" t="s">
        <v>1034</v>
      </c>
      <c r="R3813" t="s">
        <v>17607</v>
      </c>
      <c r="S3813" t="s">
        <v>17609</v>
      </c>
      <c r="T3813" t="s">
        <v>17181</v>
      </c>
      <c r="U3813" t="s">
        <v>17610</v>
      </c>
    </row>
    <row r="3814" spans="1:21" x14ac:dyDescent="0.25">
      <c r="A3814" t="s">
        <v>17611</v>
      </c>
      <c r="B3814" t="s">
        <v>38</v>
      </c>
      <c r="C3814" t="s">
        <v>17612</v>
      </c>
      <c r="D3814">
        <f t="shared" si="94"/>
        <v>-8787</v>
      </c>
      <c r="E3814" t="s">
        <v>17613</v>
      </c>
      <c r="F3814" t="s">
        <v>14473</v>
      </c>
      <c r="G3814" t="s">
        <v>14474</v>
      </c>
      <c r="H3814">
        <v>-117.6947629</v>
      </c>
      <c r="I3814">
        <v>34.08653786</v>
      </c>
      <c r="J3814">
        <v>4</v>
      </c>
      <c r="K3814" t="s">
        <v>717</v>
      </c>
      <c r="L3814" t="s">
        <v>717</v>
      </c>
      <c r="M3814" t="s">
        <v>717</v>
      </c>
      <c r="N3814" t="s">
        <v>717</v>
      </c>
      <c r="O3814" t="s">
        <v>717</v>
      </c>
      <c r="P3814" t="s">
        <v>717</v>
      </c>
      <c r="Q3814" t="s">
        <v>717</v>
      </c>
      <c r="R3814" t="s">
        <v>17612</v>
      </c>
      <c r="S3814" t="s">
        <v>17614</v>
      </c>
      <c r="T3814" t="s">
        <v>17372</v>
      </c>
      <c r="U3814" t="s">
        <v>17615</v>
      </c>
    </row>
    <row r="3815" spans="1:21" x14ac:dyDescent="0.25">
      <c r="A3815" t="s">
        <v>17616</v>
      </c>
      <c r="B3815" t="s">
        <v>22</v>
      </c>
      <c r="C3815" t="s">
        <v>17617</v>
      </c>
      <c r="D3815">
        <f t="shared" si="94"/>
        <v>-8787</v>
      </c>
      <c r="E3815" t="s">
        <v>17618</v>
      </c>
      <c r="F3815" t="s">
        <v>14473</v>
      </c>
      <c r="G3815" t="s">
        <v>14474</v>
      </c>
      <c r="H3815">
        <v>-122.2997163</v>
      </c>
      <c r="I3815">
        <v>47.663951390000001</v>
      </c>
      <c r="J3815">
        <v>4</v>
      </c>
      <c r="K3815" t="s">
        <v>45</v>
      </c>
      <c r="L3815" t="s">
        <v>45</v>
      </c>
      <c r="M3815" t="s">
        <v>45</v>
      </c>
      <c r="N3815" t="s">
        <v>45</v>
      </c>
      <c r="O3815" t="s">
        <v>45</v>
      </c>
      <c r="P3815" t="s">
        <v>45</v>
      </c>
      <c r="Q3815" t="s">
        <v>1034</v>
      </c>
      <c r="R3815" t="s">
        <v>17617</v>
      </c>
      <c r="S3815" t="s">
        <v>17619</v>
      </c>
      <c r="T3815" t="s">
        <v>17620</v>
      </c>
      <c r="U3815" t="s">
        <v>17621</v>
      </c>
    </row>
    <row r="3816" spans="1:21" x14ac:dyDescent="0.25">
      <c r="A3816" t="s">
        <v>17622</v>
      </c>
      <c r="B3816" t="s">
        <v>22</v>
      </c>
      <c r="C3816" t="s">
        <v>17623</v>
      </c>
      <c r="D3816">
        <f t="shared" si="94"/>
        <v>-8787</v>
      </c>
      <c r="E3816" t="s">
        <v>17624</v>
      </c>
      <c r="F3816" t="s">
        <v>14473</v>
      </c>
      <c r="G3816" t="s">
        <v>14474</v>
      </c>
      <c r="H3816">
        <v>-122.25761060000001</v>
      </c>
      <c r="I3816">
        <v>47.45817598</v>
      </c>
      <c r="J3816">
        <v>4</v>
      </c>
      <c r="K3816" t="s">
        <v>1035</v>
      </c>
      <c r="L3816" t="s">
        <v>1035</v>
      </c>
      <c r="M3816" t="s">
        <v>1035</v>
      </c>
      <c r="N3816" t="s">
        <v>1035</v>
      </c>
      <c r="O3816" t="s">
        <v>536</v>
      </c>
      <c r="P3816" t="s">
        <v>536</v>
      </c>
      <c r="Q3816" t="s">
        <v>717</v>
      </c>
      <c r="R3816" t="s">
        <v>17623</v>
      </c>
      <c r="S3816" t="s">
        <v>17625</v>
      </c>
      <c r="T3816" t="s">
        <v>17620</v>
      </c>
      <c r="U3816" t="s">
        <v>17626</v>
      </c>
    </row>
    <row r="3817" spans="1:21" x14ac:dyDescent="0.25">
      <c r="A3817" t="s">
        <v>17627</v>
      </c>
      <c r="B3817" t="s">
        <v>22</v>
      </c>
      <c r="C3817" t="s">
        <v>17628</v>
      </c>
      <c r="D3817">
        <f t="shared" si="94"/>
        <v>-8787</v>
      </c>
      <c r="E3817" t="s">
        <v>17629</v>
      </c>
      <c r="F3817" t="s">
        <v>14473</v>
      </c>
      <c r="G3817" t="s">
        <v>14474</v>
      </c>
      <c r="H3817">
        <v>-84.395787119999994</v>
      </c>
      <c r="I3817">
        <v>33.792482665000001</v>
      </c>
      <c r="J3817">
        <v>35</v>
      </c>
      <c r="K3817" t="s">
        <v>717</v>
      </c>
      <c r="L3817" t="s">
        <v>717</v>
      </c>
      <c r="M3817" t="s">
        <v>717</v>
      </c>
      <c r="N3817" t="s">
        <v>717</v>
      </c>
      <c r="O3817" t="s">
        <v>717</v>
      </c>
      <c r="P3817" t="s">
        <v>717</v>
      </c>
      <c r="Q3817" t="s">
        <v>17207</v>
      </c>
      <c r="R3817" t="s">
        <v>17630</v>
      </c>
      <c r="T3817" t="s">
        <v>9074</v>
      </c>
      <c r="U3817" t="s">
        <v>17631</v>
      </c>
    </row>
    <row r="3818" spans="1:21" x14ac:dyDescent="0.25">
      <c r="A3818" t="s">
        <v>17632</v>
      </c>
      <c r="B3818" t="s">
        <v>22</v>
      </c>
      <c r="C3818" t="s">
        <v>17633</v>
      </c>
      <c r="D3818">
        <f t="shared" si="94"/>
        <v>-8787</v>
      </c>
      <c r="E3818" t="s">
        <v>17634</v>
      </c>
      <c r="F3818" t="s">
        <v>14473</v>
      </c>
      <c r="G3818" t="s">
        <v>14474</v>
      </c>
      <c r="H3818">
        <v>-118.49511</v>
      </c>
      <c r="I3818">
        <v>34.014385480000001</v>
      </c>
      <c r="J3818">
        <v>4</v>
      </c>
      <c r="K3818" t="s">
        <v>1035</v>
      </c>
      <c r="L3818" t="s">
        <v>1035</v>
      </c>
      <c r="M3818" t="s">
        <v>1035</v>
      </c>
      <c r="N3818" t="s">
        <v>1035</v>
      </c>
      <c r="O3818" t="s">
        <v>45</v>
      </c>
      <c r="P3818" t="s">
        <v>45</v>
      </c>
      <c r="Q3818" t="s">
        <v>1035</v>
      </c>
      <c r="R3818" t="s">
        <v>17633</v>
      </c>
      <c r="S3818" t="s">
        <v>17635</v>
      </c>
      <c r="T3818" t="s">
        <v>17372</v>
      </c>
      <c r="U3818" t="s">
        <v>17636</v>
      </c>
    </row>
    <row r="3819" spans="1:21" x14ac:dyDescent="0.25">
      <c r="A3819" t="s">
        <v>17637</v>
      </c>
      <c r="B3819" t="s">
        <v>22</v>
      </c>
      <c r="C3819" t="s">
        <v>17638</v>
      </c>
      <c r="D3819">
        <f t="shared" si="94"/>
        <v>-8787</v>
      </c>
      <c r="E3819" t="s">
        <v>17639</v>
      </c>
      <c r="F3819" t="s">
        <v>14473</v>
      </c>
      <c r="G3819" t="s">
        <v>14474</v>
      </c>
      <c r="H3819">
        <v>-117.1685683</v>
      </c>
      <c r="I3819">
        <v>32.7671858</v>
      </c>
      <c r="J3819">
        <v>4</v>
      </c>
      <c r="K3819" t="s">
        <v>1035</v>
      </c>
      <c r="L3819" t="s">
        <v>1035</v>
      </c>
      <c r="M3819" t="s">
        <v>1035</v>
      </c>
      <c r="N3819" t="s">
        <v>1035</v>
      </c>
      <c r="O3819" t="s">
        <v>536</v>
      </c>
      <c r="P3819" t="s">
        <v>536</v>
      </c>
      <c r="Q3819" t="s">
        <v>717</v>
      </c>
      <c r="R3819" t="s">
        <v>17638</v>
      </c>
      <c r="S3819" t="s">
        <v>17640</v>
      </c>
      <c r="T3819" t="s">
        <v>17372</v>
      </c>
      <c r="U3819" t="s">
        <v>17641</v>
      </c>
    </row>
    <row r="3820" spans="1:21" x14ac:dyDescent="0.25">
      <c r="A3820" t="s">
        <v>17642</v>
      </c>
      <c r="B3820" t="s">
        <v>22</v>
      </c>
      <c r="C3820" t="s">
        <v>17643</v>
      </c>
      <c r="D3820">
        <f t="shared" si="94"/>
        <v>-8787</v>
      </c>
      <c r="E3820" t="s">
        <v>17644</v>
      </c>
      <c r="F3820" t="s">
        <v>14473</v>
      </c>
      <c r="G3820" t="s">
        <v>14474</v>
      </c>
      <c r="H3820">
        <v>-117.730555</v>
      </c>
      <c r="I3820">
        <v>34.000537999999999</v>
      </c>
      <c r="J3820">
        <v>4</v>
      </c>
      <c r="K3820" t="s">
        <v>45</v>
      </c>
      <c r="L3820" t="s">
        <v>45</v>
      </c>
      <c r="M3820" t="s">
        <v>45</v>
      </c>
      <c r="N3820" t="s">
        <v>45</v>
      </c>
      <c r="O3820" t="s">
        <v>536</v>
      </c>
      <c r="P3820" t="s">
        <v>536</v>
      </c>
      <c r="Q3820" t="s">
        <v>717</v>
      </c>
      <c r="R3820" t="s">
        <v>17643</v>
      </c>
      <c r="S3820" t="s">
        <v>17645</v>
      </c>
      <c r="T3820" t="s">
        <v>17372</v>
      </c>
      <c r="U3820" t="s">
        <v>17646</v>
      </c>
    </row>
    <row r="3821" spans="1:21" x14ac:dyDescent="0.25">
      <c r="A3821" t="s">
        <v>17647</v>
      </c>
      <c r="B3821" t="s">
        <v>22</v>
      </c>
      <c r="C3821" t="s">
        <v>17648</v>
      </c>
      <c r="D3821">
        <f t="shared" si="94"/>
        <v>-8787</v>
      </c>
      <c r="E3821" t="s">
        <v>17649</v>
      </c>
      <c r="F3821" t="s">
        <v>14473</v>
      </c>
      <c r="G3821" t="s">
        <v>14474</v>
      </c>
      <c r="H3821">
        <v>-116.96789459999999</v>
      </c>
      <c r="I3821">
        <v>32.623567600000001</v>
      </c>
      <c r="J3821">
        <v>4</v>
      </c>
      <c r="K3821" t="s">
        <v>717</v>
      </c>
      <c r="L3821" t="s">
        <v>717</v>
      </c>
      <c r="M3821" t="s">
        <v>717</v>
      </c>
      <c r="N3821" t="s">
        <v>717</v>
      </c>
      <c r="O3821" t="s">
        <v>717</v>
      </c>
      <c r="P3821" t="s">
        <v>717</v>
      </c>
      <c r="Q3821" t="s">
        <v>1492</v>
      </c>
      <c r="R3821" t="s">
        <v>17648</v>
      </c>
      <c r="S3821" t="s">
        <v>17650</v>
      </c>
      <c r="T3821" t="s">
        <v>17372</v>
      </c>
      <c r="U3821" t="s">
        <v>17651</v>
      </c>
    </row>
    <row r="3822" spans="1:21" x14ac:dyDescent="0.25">
      <c r="A3822" t="s">
        <v>17652</v>
      </c>
      <c r="B3822" t="s">
        <v>22</v>
      </c>
      <c r="C3822" t="s">
        <v>17653</v>
      </c>
      <c r="D3822">
        <f t="shared" si="94"/>
        <v>-8787</v>
      </c>
      <c r="E3822" t="s">
        <v>17654</v>
      </c>
      <c r="F3822" t="s">
        <v>14473</v>
      </c>
      <c r="G3822" t="s">
        <v>14474</v>
      </c>
      <c r="H3822">
        <v>-84.294900999999996</v>
      </c>
      <c r="I3822">
        <v>34.047890000000002</v>
      </c>
      <c r="J3822">
        <v>35</v>
      </c>
      <c r="K3822" t="s">
        <v>717</v>
      </c>
      <c r="L3822" t="s">
        <v>717</v>
      </c>
      <c r="M3822" t="s">
        <v>717</v>
      </c>
      <c r="N3822" t="s">
        <v>717</v>
      </c>
      <c r="O3822" t="s">
        <v>717</v>
      </c>
      <c r="P3822" t="s">
        <v>717</v>
      </c>
      <c r="Q3822" t="s">
        <v>1492</v>
      </c>
      <c r="R3822" t="s">
        <v>17653</v>
      </c>
      <c r="S3822" t="s">
        <v>17655</v>
      </c>
      <c r="T3822" t="s">
        <v>9074</v>
      </c>
      <c r="U3822" t="s">
        <v>17656</v>
      </c>
    </row>
    <row r="3823" spans="1:21" x14ac:dyDescent="0.25">
      <c r="A3823" t="s">
        <v>17657</v>
      </c>
      <c r="B3823" t="s">
        <v>22</v>
      </c>
      <c r="C3823" t="s">
        <v>17658</v>
      </c>
      <c r="D3823">
        <f t="shared" si="94"/>
        <v>-8787</v>
      </c>
      <c r="E3823" t="s">
        <v>17659</v>
      </c>
      <c r="F3823" t="s">
        <v>14473</v>
      </c>
      <c r="G3823" t="s">
        <v>14474</v>
      </c>
      <c r="H3823">
        <v>-74.258798799999994</v>
      </c>
      <c r="I3823">
        <v>40.888075299999997</v>
      </c>
      <c r="J3823">
        <v>35</v>
      </c>
      <c r="K3823" t="s">
        <v>717</v>
      </c>
      <c r="L3823" t="s">
        <v>717</v>
      </c>
      <c r="M3823" t="s">
        <v>717</v>
      </c>
      <c r="N3823" t="s">
        <v>717</v>
      </c>
      <c r="O3823" t="s">
        <v>717</v>
      </c>
      <c r="P3823" t="s">
        <v>717</v>
      </c>
      <c r="Q3823" t="s">
        <v>1034</v>
      </c>
      <c r="R3823" t="s">
        <v>17658</v>
      </c>
      <c r="S3823" t="s">
        <v>17660</v>
      </c>
      <c r="T3823" t="s">
        <v>17159</v>
      </c>
      <c r="U3823" t="s">
        <v>17661</v>
      </c>
    </row>
    <row r="3824" spans="1:21" x14ac:dyDescent="0.25">
      <c r="A3824" t="s">
        <v>17662</v>
      </c>
      <c r="B3824" t="s">
        <v>22</v>
      </c>
      <c r="C3824" t="s">
        <v>17663</v>
      </c>
      <c r="D3824">
        <f t="shared" si="94"/>
        <v>-8787</v>
      </c>
      <c r="E3824" t="s">
        <v>17664</v>
      </c>
      <c r="F3824" t="s">
        <v>14473</v>
      </c>
      <c r="G3824" t="s">
        <v>14474</v>
      </c>
      <c r="H3824">
        <v>-122.469674</v>
      </c>
      <c r="I3824">
        <v>47.215558999999999</v>
      </c>
      <c r="J3824">
        <v>4</v>
      </c>
      <c r="K3824" t="s">
        <v>717</v>
      </c>
      <c r="L3824" t="s">
        <v>717</v>
      </c>
      <c r="M3824" t="s">
        <v>717</v>
      </c>
      <c r="N3824" t="s">
        <v>717</v>
      </c>
      <c r="O3824" t="s">
        <v>45</v>
      </c>
      <c r="P3824" t="s">
        <v>45</v>
      </c>
      <c r="Q3824" t="s">
        <v>717</v>
      </c>
      <c r="R3824" t="s">
        <v>17663</v>
      </c>
      <c r="S3824" t="s">
        <v>17665</v>
      </c>
      <c r="T3824" t="s">
        <v>17620</v>
      </c>
      <c r="U3824" t="s">
        <v>17666</v>
      </c>
    </row>
    <row r="3825" spans="1:21" x14ac:dyDescent="0.25">
      <c r="A3825" t="s">
        <v>17667</v>
      </c>
      <c r="B3825" t="s">
        <v>22</v>
      </c>
      <c r="C3825" t="s">
        <v>17668</v>
      </c>
      <c r="D3825">
        <f t="shared" si="94"/>
        <v>-8787</v>
      </c>
      <c r="E3825" t="s">
        <v>17669</v>
      </c>
      <c r="F3825" t="s">
        <v>14473</v>
      </c>
      <c r="G3825" t="s">
        <v>14474</v>
      </c>
      <c r="H3825">
        <v>-117.065173</v>
      </c>
      <c r="I3825">
        <v>32.655363000000001</v>
      </c>
      <c r="J3825">
        <v>4</v>
      </c>
      <c r="K3825" t="s">
        <v>536</v>
      </c>
      <c r="L3825" t="s">
        <v>536</v>
      </c>
      <c r="M3825" t="s">
        <v>536</v>
      </c>
      <c r="N3825" t="s">
        <v>536</v>
      </c>
      <c r="O3825" t="s">
        <v>536</v>
      </c>
      <c r="P3825" t="s">
        <v>536</v>
      </c>
      <c r="Q3825" t="s">
        <v>717</v>
      </c>
      <c r="R3825" t="s">
        <v>17668</v>
      </c>
      <c r="S3825" t="s">
        <v>17670</v>
      </c>
      <c r="T3825" t="s">
        <v>17372</v>
      </c>
      <c r="U3825" t="s">
        <v>17671</v>
      </c>
    </row>
    <row r="3826" spans="1:21" x14ac:dyDescent="0.25">
      <c r="A3826" t="s">
        <v>17672</v>
      </c>
      <c r="B3826" t="s">
        <v>22</v>
      </c>
      <c r="C3826" t="s">
        <v>17673</v>
      </c>
      <c r="D3826">
        <f t="shared" si="94"/>
        <v>-8787</v>
      </c>
      <c r="E3826" t="s">
        <v>17674</v>
      </c>
      <c r="F3826" t="s">
        <v>14473</v>
      </c>
      <c r="G3826" t="s">
        <v>14474</v>
      </c>
      <c r="H3826">
        <v>-83.983986639999998</v>
      </c>
      <c r="I3826">
        <v>34.065145989999998</v>
      </c>
      <c r="J3826">
        <v>35</v>
      </c>
      <c r="K3826" t="s">
        <v>717</v>
      </c>
      <c r="L3826" t="s">
        <v>717</v>
      </c>
      <c r="M3826" t="s">
        <v>717</v>
      </c>
      <c r="N3826" t="s">
        <v>717</v>
      </c>
      <c r="O3826" t="s">
        <v>717</v>
      </c>
      <c r="P3826" t="s">
        <v>717</v>
      </c>
      <c r="Q3826" t="s">
        <v>17207</v>
      </c>
      <c r="R3826" t="s">
        <v>17673</v>
      </c>
      <c r="S3826" t="s">
        <v>17675</v>
      </c>
      <c r="T3826" t="s">
        <v>9074</v>
      </c>
      <c r="U3826" t="s">
        <v>17676</v>
      </c>
    </row>
    <row r="3827" spans="1:21" x14ac:dyDescent="0.25">
      <c r="A3827" t="s">
        <v>17677</v>
      </c>
      <c r="B3827" t="s">
        <v>32</v>
      </c>
      <c r="C3827" t="s">
        <v>17678</v>
      </c>
      <c r="D3827">
        <f t="shared" si="94"/>
        <v>-8787</v>
      </c>
      <c r="E3827" t="s">
        <v>17560</v>
      </c>
      <c r="F3827" t="s">
        <v>14473</v>
      </c>
      <c r="G3827" t="s">
        <v>14474</v>
      </c>
      <c r="H3827">
        <v>-115.1771761</v>
      </c>
      <c r="I3827">
        <v>36.119253669999999</v>
      </c>
      <c r="J3827">
        <v>4</v>
      </c>
      <c r="K3827" t="s">
        <v>1035</v>
      </c>
      <c r="L3827" t="s">
        <v>1035</v>
      </c>
      <c r="M3827" t="s">
        <v>1035</v>
      </c>
      <c r="N3827" t="s">
        <v>1035</v>
      </c>
      <c r="O3827" t="s">
        <v>1501</v>
      </c>
      <c r="P3827" t="s">
        <v>1501</v>
      </c>
      <c r="Q3827" t="s">
        <v>1035</v>
      </c>
      <c r="R3827" t="s">
        <v>17678</v>
      </c>
      <c r="S3827" t="s">
        <v>17679</v>
      </c>
      <c r="T3827" t="s">
        <v>17562</v>
      </c>
      <c r="U3827" t="s">
        <v>17680</v>
      </c>
    </row>
    <row r="3828" spans="1:21" x14ac:dyDescent="0.25">
      <c r="A3828" t="s">
        <v>17681</v>
      </c>
      <c r="B3828" t="s">
        <v>38</v>
      </c>
      <c r="C3828" t="s">
        <v>17682</v>
      </c>
      <c r="D3828">
        <f t="shared" si="94"/>
        <v>-8787</v>
      </c>
      <c r="E3828" t="s">
        <v>1549</v>
      </c>
      <c r="F3828" t="s">
        <v>14473</v>
      </c>
      <c r="G3828" t="s">
        <v>14474</v>
      </c>
      <c r="H3828">
        <v>-117.55197819999999</v>
      </c>
      <c r="I3828">
        <v>34.072795259999999</v>
      </c>
      <c r="J3828">
        <v>4</v>
      </c>
      <c r="K3828" t="s">
        <v>717</v>
      </c>
      <c r="L3828" t="s">
        <v>717</v>
      </c>
      <c r="M3828" t="s">
        <v>717</v>
      </c>
      <c r="N3828" t="s">
        <v>717</v>
      </c>
      <c r="O3828" t="s">
        <v>45</v>
      </c>
      <c r="P3828" t="s">
        <v>45</v>
      </c>
      <c r="Q3828" t="s">
        <v>717</v>
      </c>
      <c r="R3828" t="s">
        <v>17682</v>
      </c>
      <c r="S3828" t="s">
        <v>17683</v>
      </c>
      <c r="T3828" t="s">
        <v>17372</v>
      </c>
      <c r="U3828" t="s">
        <v>17684</v>
      </c>
    </row>
    <row r="3829" spans="1:21" x14ac:dyDescent="0.25">
      <c r="A3829" t="s">
        <v>17685</v>
      </c>
      <c r="B3829" t="s">
        <v>22</v>
      </c>
      <c r="C3829" t="s">
        <v>17686</v>
      </c>
      <c r="D3829">
        <f t="shared" si="94"/>
        <v>-8787</v>
      </c>
      <c r="E3829" t="s">
        <v>17687</v>
      </c>
      <c r="F3829" t="s">
        <v>14473</v>
      </c>
      <c r="G3829" t="s">
        <v>14474</v>
      </c>
      <c r="H3829">
        <v>-104.9909505</v>
      </c>
      <c r="I3829">
        <v>39.74384895</v>
      </c>
      <c r="J3829">
        <v>10</v>
      </c>
      <c r="K3829" t="s">
        <v>717</v>
      </c>
      <c r="L3829" t="s">
        <v>717</v>
      </c>
      <c r="M3829" t="s">
        <v>717</v>
      </c>
      <c r="N3829" t="s">
        <v>717</v>
      </c>
      <c r="O3829" t="s">
        <v>717</v>
      </c>
      <c r="P3829" t="s">
        <v>717</v>
      </c>
      <c r="Q3829" t="s">
        <v>8232</v>
      </c>
      <c r="R3829" t="s">
        <v>17686</v>
      </c>
      <c r="S3829" t="s">
        <v>17688</v>
      </c>
      <c r="T3829" t="s">
        <v>17689</v>
      </c>
      <c r="U3829" t="s">
        <v>17690</v>
      </c>
    </row>
    <row r="3830" spans="1:21" x14ac:dyDescent="0.25">
      <c r="A3830" t="s">
        <v>17691</v>
      </c>
      <c r="B3830" t="s">
        <v>38</v>
      </c>
      <c r="C3830" t="s">
        <v>17692</v>
      </c>
      <c r="D3830">
        <f t="shared" si="94"/>
        <v>-8787</v>
      </c>
      <c r="E3830" t="s">
        <v>17693</v>
      </c>
      <c r="F3830" t="s">
        <v>14473</v>
      </c>
      <c r="G3830" t="s">
        <v>14474</v>
      </c>
      <c r="H3830">
        <v>-71.175892349999998</v>
      </c>
      <c r="I3830">
        <v>42.230644429999998</v>
      </c>
      <c r="J3830">
        <v>35</v>
      </c>
      <c r="K3830" t="s">
        <v>45</v>
      </c>
      <c r="L3830" t="s">
        <v>45</v>
      </c>
      <c r="M3830" t="s">
        <v>45</v>
      </c>
      <c r="N3830" t="s">
        <v>45</v>
      </c>
      <c r="O3830" t="s">
        <v>536</v>
      </c>
      <c r="P3830" t="s">
        <v>536</v>
      </c>
      <c r="Q3830" t="s">
        <v>1034</v>
      </c>
      <c r="R3830" t="s">
        <v>17692</v>
      </c>
      <c r="S3830" t="s">
        <v>17694</v>
      </c>
      <c r="T3830" t="s">
        <v>17181</v>
      </c>
      <c r="U3830" t="s">
        <v>17695</v>
      </c>
    </row>
    <row r="3831" spans="1:21" x14ac:dyDescent="0.25">
      <c r="A3831" t="s">
        <v>17696</v>
      </c>
      <c r="B3831" t="s">
        <v>22</v>
      </c>
      <c r="C3831" t="s">
        <v>17697</v>
      </c>
      <c r="D3831">
        <f t="shared" si="94"/>
        <v>-8787</v>
      </c>
      <c r="E3831" t="s">
        <v>17698</v>
      </c>
      <c r="F3831" t="s">
        <v>14473</v>
      </c>
      <c r="G3831" t="s">
        <v>14474</v>
      </c>
      <c r="H3831">
        <v>-74.038267529999999</v>
      </c>
      <c r="I3831">
        <v>40.727812870000001</v>
      </c>
      <c r="J3831">
        <v>35</v>
      </c>
      <c r="K3831" t="s">
        <v>1035</v>
      </c>
      <c r="L3831" t="s">
        <v>1035</v>
      </c>
      <c r="M3831" t="s">
        <v>1035</v>
      </c>
      <c r="N3831" t="s">
        <v>1035</v>
      </c>
      <c r="O3831" t="s">
        <v>536</v>
      </c>
      <c r="P3831" t="s">
        <v>536</v>
      </c>
      <c r="Q3831" t="s">
        <v>17207</v>
      </c>
      <c r="R3831" t="s">
        <v>17697</v>
      </c>
      <c r="S3831" t="s">
        <v>17699</v>
      </c>
      <c r="T3831" t="s">
        <v>17159</v>
      </c>
      <c r="U3831" t="s">
        <v>17700</v>
      </c>
    </row>
    <row r="3832" spans="1:21" x14ac:dyDescent="0.25">
      <c r="A3832" t="s">
        <v>17701</v>
      </c>
      <c r="B3832" t="s">
        <v>22</v>
      </c>
      <c r="C3832" t="s">
        <v>17702</v>
      </c>
      <c r="D3832">
        <f t="shared" si="94"/>
        <v>-8787</v>
      </c>
      <c r="E3832" t="s">
        <v>17311</v>
      </c>
      <c r="F3832" t="s">
        <v>14473</v>
      </c>
      <c r="G3832" t="s">
        <v>14474</v>
      </c>
      <c r="H3832">
        <v>-87.632216</v>
      </c>
      <c r="I3832">
        <v>41.868378</v>
      </c>
      <c r="J3832">
        <v>20</v>
      </c>
      <c r="K3832" t="s">
        <v>717</v>
      </c>
      <c r="L3832" t="s">
        <v>717</v>
      </c>
      <c r="M3832" t="s">
        <v>717</v>
      </c>
      <c r="N3832" t="s">
        <v>717</v>
      </c>
      <c r="O3832" t="s">
        <v>717</v>
      </c>
      <c r="P3832" t="s">
        <v>717</v>
      </c>
      <c r="Q3832" t="s">
        <v>1034</v>
      </c>
      <c r="R3832" t="s">
        <v>17702</v>
      </c>
      <c r="S3832" t="s">
        <v>17703</v>
      </c>
      <c r="T3832" t="s">
        <v>17313</v>
      </c>
      <c r="U3832" t="s">
        <v>17704</v>
      </c>
    </row>
    <row r="3833" spans="1:21" x14ac:dyDescent="0.25">
      <c r="A3833" t="s">
        <v>17705</v>
      </c>
      <c r="B3833" t="s">
        <v>22</v>
      </c>
      <c r="C3833" t="s">
        <v>17706</v>
      </c>
      <c r="D3833">
        <f t="shared" si="94"/>
        <v>-8787</v>
      </c>
      <c r="E3833" t="s">
        <v>17707</v>
      </c>
      <c r="F3833" t="s">
        <v>14473</v>
      </c>
      <c r="G3833" t="s">
        <v>14474</v>
      </c>
      <c r="H3833">
        <v>-73.854477500000002</v>
      </c>
      <c r="I3833">
        <v>40.927911299999998</v>
      </c>
      <c r="J3833">
        <v>35</v>
      </c>
      <c r="K3833" t="s">
        <v>717</v>
      </c>
      <c r="L3833" t="s">
        <v>717</v>
      </c>
      <c r="M3833" t="s">
        <v>717</v>
      </c>
      <c r="N3833" t="s">
        <v>717</v>
      </c>
      <c r="O3833" t="s">
        <v>717</v>
      </c>
      <c r="P3833" t="s">
        <v>717</v>
      </c>
      <c r="Q3833" t="s">
        <v>717</v>
      </c>
      <c r="R3833" t="s">
        <v>17706</v>
      </c>
      <c r="S3833" t="s">
        <v>17708</v>
      </c>
      <c r="T3833" t="s">
        <v>17165</v>
      </c>
      <c r="U3833" t="s">
        <v>17709</v>
      </c>
    </row>
    <row r="3834" spans="1:21" x14ac:dyDescent="0.25">
      <c r="A3834" t="s">
        <v>17710</v>
      </c>
      <c r="B3834" t="s">
        <v>22</v>
      </c>
      <c r="C3834" t="s">
        <v>17134</v>
      </c>
      <c r="D3834">
        <f t="shared" si="94"/>
        <v>-8787</v>
      </c>
      <c r="E3834" t="s">
        <v>17711</v>
      </c>
      <c r="F3834" t="s">
        <v>14473</v>
      </c>
      <c r="G3834" t="s">
        <v>14474</v>
      </c>
      <c r="H3834">
        <v>-117.53469680000001</v>
      </c>
      <c r="I3834">
        <v>34.111076160000003</v>
      </c>
      <c r="J3834">
        <v>4</v>
      </c>
      <c r="K3834" t="s">
        <v>1035</v>
      </c>
      <c r="L3834" t="s">
        <v>1035</v>
      </c>
      <c r="M3834" t="s">
        <v>1035</v>
      </c>
      <c r="N3834" t="s">
        <v>1035</v>
      </c>
      <c r="O3834" t="s">
        <v>1035</v>
      </c>
      <c r="P3834" t="s">
        <v>1035</v>
      </c>
      <c r="Q3834" t="s">
        <v>717</v>
      </c>
      <c r="R3834" t="s">
        <v>17134</v>
      </c>
      <c r="S3834" t="s">
        <v>17712</v>
      </c>
      <c r="T3834" t="s">
        <v>17372</v>
      </c>
      <c r="U3834" t="s">
        <v>17713</v>
      </c>
    </row>
    <row r="3835" spans="1:21" x14ac:dyDescent="0.25">
      <c r="A3835" t="s">
        <v>17714</v>
      </c>
      <c r="B3835" t="s">
        <v>22</v>
      </c>
      <c r="C3835" t="s">
        <v>17715</v>
      </c>
      <c r="D3835">
        <f t="shared" si="94"/>
        <v>-8787</v>
      </c>
      <c r="E3835" t="s">
        <v>17716</v>
      </c>
      <c r="F3835" t="s">
        <v>14473</v>
      </c>
      <c r="G3835" t="s">
        <v>14474</v>
      </c>
      <c r="H3835">
        <v>-71.476551889999996</v>
      </c>
      <c r="I3835">
        <v>41.724112490000003</v>
      </c>
      <c r="J3835">
        <v>35</v>
      </c>
      <c r="K3835" t="s">
        <v>45</v>
      </c>
      <c r="L3835" t="s">
        <v>45</v>
      </c>
      <c r="M3835" t="s">
        <v>45</v>
      </c>
      <c r="N3835" t="s">
        <v>1035</v>
      </c>
      <c r="O3835" t="s">
        <v>536</v>
      </c>
      <c r="P3835" t="s">
        <v>536</v>
      </c>
      <c r="Q3835" t="s">
        <v>1034</v>
      </c>
      <c r="R3835" t="s">
        <v>17715</v>
      </c>
      <c r="S3835" t="s">
        <v>17717</v>
      </c>
      <c r="T3835" t="s">
        <v>17718</v>
      </c>
      <c r="U3835" t="s">
        <v>17719</v>
      </c>
    </row>
    <row r="3836" spans="1:21" x14ac:dyDescent="0.25">
      <c r="A3836" t="s">
        <v>17720</v>
      </c>
      <c r="B3836" t="s">
        <v>22</v>
      </c>
      <c r="C3836" t="s">
        <v>17721</v>
      </c>
      <c r="D3836">
        <f t="shared" si="94"/>
        <v>-8787</v>
      </c>
      <c r="E3836" t="s">
        <v>17722</v>
      </c>
      <c r="F3836" t="s">
        <v>14473</v>
      </c>
      <c r="G3836" t="s">
        <v>14474</v>
      </c>
      <c r="H3836">
        <v>-81.397031839999997</v>
      </c>
      <c r="I3836">
        <v>28.446635839999999</v>
      </c>
      <c r="J3836">
        <v>35</v>
      </c>
      <c r="K3836" t="s">
        <v>1035</v>
      </c>
      <c r="L3836" t="s">
        <v>1035</v>
      </c>
      <c r="M3836" t="s">
        <v>1035</v>
      </c>
      <c r="N3836" t="s">
        <v>1501</v>
      </c>
      <c r="O3836" t="s">
        <v>536</v>
      </c>
      <c r="P3836" t="s">
        <v>536</v>
      </c>
      <c r="Q3836" t="s">
        <v>717</v>
      </c>
      <c r="R3836" t="s">
        <v>17721</v>
      </c>
      <c r="S3836" t="s">
        <v>17723</v>
      </c>
      <c r="T3836" t="s">
        <v>17724</v>
      </c>
      <c r="U3836" t="s">
        <v>17725</v>
      </c>
    </row>
    <row r="3837" spans="1:21" x14ac:dyDescent="0.25">
      <c r="A3837" t="s">
        <v>17726</v>
      </c>
      <c r="B3837" t="s">
        <v>22</v>
      </c>
      <c r="C3837" t="s">
        <v>17727</v>
      </c>
      <c r="D3837">
        <f t="shared" si="94"/>
        <v>-8787</v>
      </c>
      <c r="E3837" t="s">
        <v>17629</v>
      </c>
      <c r="F3837" t="s">
        <v>14473</v>
      </c>
      <c r="G3837" t="s">
        <v>14474</v>
      </c>
      <c r="H3837">
        <v>-84.468773080000005</v>
      </c>
      <c r="I3837">
        <v>33.880800520000001</v>
      </c>
      <c r="J3837">
        <v>35</v>
      </c>
      <c r="K3837" t="s">
        <v>717</v>
      </c>
      <c r="L3837" t="s">
        <v>717</v>
      </c>
      <c r="M3837" t="s">
        <v>717</v>
      </c>
      <c r="N3837" t="s">
        <v>717</v>
      </c>
      <c r="O3837" t="s">
        <v>45</v>
      </c>
      <c r="P3837" t="s">
        <v>45</v>
      </c>
      <c r="Q3837" t="s">
        <v>1492</v>
      </c>
      <c r="R3837" t="s">
        <v>17727</v>
      </c>
      <c r="S3837" t="s">
        <v>17728</v>
      </c>
      <c r="T3837" t="s">
        <v>9074</v>
      </c>
      <c r="U3837" t="s">
        <v>17729</v>
      </c>
    </row>
    <row r="3838" spans="1:21" x14ac:dyDescent="0.25">
      <c r="A3838" t="s">
        <v>17730</v>
      </c>
      <c r="B3838" t="s">
        <v>22</v>
      </c>
      <c r="C3838" t="s">
        <v>17731</v>
      </c>
      <c r="D3838">
        <f t="shared" si="94"/>
        <v>-8787</v>
      </c>
      <c r="E3838" t="s">
        <v>17732</v>
      </c>
      <c r="F3838" t="s">
        <v>14473</v>
      </c>
      <c r="G3838" t="s">
        <v>14474</v>
      </c>
      <c r="H3838">
        <v>-76.924916359999997</v>
      </c>
      <c r="I3838">
        <v>38.617600639999999</v>
      </c>
      <c r="J3838">
        <v>35</v>
      </c>
      <c r="K3838" t="s">
        <v>1035</v>
      </c>
      <c r="L3838" t="s">
        <v>1035</v>
      </c>
      <c r="M3838" t="s">
        <v>1035</v>
      </c>
      <c r="N3838" t="s">
        <v>1035</v>
      </c>
      <c r="O3838" t="s">
        <v>536</v>
      </c>
      <c r="P3838" t="s">
        <v>536</v>
      </c>
      <c r="Q3838" t="s">
        <v>1034</v>
      </c>
      <c r="R3838" t="s">
        <v>17731</v>
      </c>
      <c r="S3838" t="s">
        <v>17733</v>
      </c>
      <c r="T3838" t="s">
        <v>17286</v>
      </c>
      <c r="U3838" t="s">
        <v>17734</v>
      </c>
    </row>
    <row r="3839" spans="1:21" x14ac:dyDescent="0.25">
      <c r="A3839" t="s">
        <v>17735</v>
      </c>
      <c r="B3839" t="s">
        <v>22</v>
      </c>
      <c r="C3839" t="s">
        <v>17736</v>
      </c>
      <c r="D3839">
        <f t="shared" si="94"/>
        <v>-8787</v>
      </c>
      <c r="E3839" t="s">
        <v>17737</v>
      </c>
      <c r="F3839" t="s">
        <v>14473</v>
      </c>
      <c r="G3839" t="s">
        <v>14474</v>
      </c>
      <c r="H3839">
        <v>-121.8625201</v>
      </c>
      <c r="I3839">
        <v>37.25154989</v>
      </c>
      <c r="J3839">
        <v>4</v>
      </c>
      <c r="K3839" t="s">
        <v>1035</v>
      </c>
      <c r="L3839" t="s">
        <v>1035</v>
      </c>
      <c r="M3839" t="s">
        <v>1035</v>
      </c>
      <c r="N3839" t="s">
        <v>1035</v>
      </c>
      <c r="O3839" t="s">
        <v>536</v>
      </c>
      <c r="P3839" t="s">
        <v>536</v>
      </c>
      <c r="Q3839" t="s">
        <v>1035</v>
      </c>
      <c r="R3839" t="s">
        <v>17736</v>
      </c>
      <c r="S3839" t="s">
        <v>17738</v>
      </c>
      <c r="T3839" t="s">
        <v>17372</v>
      </c>
      <c r="U3839" t="s">
        <v>17739</v>
      </c>
    </row>
    <row r="3840" spans="1:21" x14ac:dyDescent="0.25">
      <c r="A3840" t="s">
        <v>17740</v>
      </c>
      <c r="B3840" t="s">
        <v>22</v>
      </c>
      <c r="C3840" t="s">
        <v>17741</v>
      </c>
      <c r="D3840">
        <f t="shared" si="94"/>
        <v>-8787</v>
      </c>
      <c r="E3840" t="s">
        <v>17742</v>
      </c>
      <c r="F3840" t="s">
        <v>14473</v>
      </c>
      <c r="G3840" t="s">
        <v>14474</v>
      </c>
      <c r="H3840">
        <v>-118.55620136872599</v>
      </c>
      <c r="I3840">
        <v>34.239800862715697</v>
      </c>
      <c r="J3840">
        <v>4</v>
      </c>
      <c r="K3840" t="s">
        <v>717</v>
      </c>
      <c r="L3840" t="s">
        <v>717</v>
      </c>
      <c r="M3840" t="s">
        <v>717</v>
      </c>
      <c r="N3840" t="s">
        <v>717</v>
      </c>
      <c r="O3840" t="s">
        <v>1035</v>
      </c>
      <c r="P3840" t="s">
        <v>1035</v>
      </c>
      <c r="Q3840" t="s">
        <v>717</v>
      </c>
      <c r="R3840" t="s">
        <v>17741</v>
      </c>
      <c r="S3840" t="s">
        <v>17743</v>
      </c>
      <c r="T3840" t="s">
        <v>17372</v>
      </c>
      <c r="U3840" t="s">
        <v>17744</v>
      </c>
    </row>
    <row r="3841" spans="1:21" x14ac:dyDescent="0.25">
      <c r="A3841" t="s">
        <v>17745</v>
      </c>
      <c r="B3841" t="s">
        <v>22</v>
      </c>
      <c r="C3841" t="s">
        <v>17746</v>
      </c>
      <c r="D3841">
        <f t="shared" si="94"/>
        <v>-8787</v>
      </c>
      <c r="E3841" t="s">
        <v>17747</v>
      </c>
      <c r="F3841" t="s">
        <v>14473</v>
      </c>
      <c r="G3841" t="s">
        <v>14474</v>
      </c>
      <c r="H3841">
        <v>-117.0661175</v>
      </c>
      <c r="I3841">
        <v>33.071373289999997</v>
      </c>
      <c r="J3841">
        <v>4</v>
      </c>
      <c r="K3841" t="s">
        <v>717</v>
      </c>
      <c r="L3841" t="s">
        <v>717</v>
      </c>
      <c r="M3841" t="s">
        <v>717</v>
      </c>
      <c r="N3841" t="s">
        <v>717</v>
      </c>
      <c r="O3841" t="s">
        <v>536</v>
      </c>
      <c r="P3841" t="s">
        <v>536</v>
      </c>
      <c r="Q3841" t="s">
        <v>1034</v>
      </c>
      <c r="R3841" t="s">
        <v>17746</v>
      </c>
      <c r="S3841" t="s">
        <v>17748</v>
      </c>
      <c r="T3841" t="s">
        <v>17372</v>
      </c>
      <c r="U3841" t="s">
        <v>17749</v>
      </c>
    </row>
    <row r="3842" spans="1:21" x14ac:dyDescent="0.25">
      <c r="A3842" t="s">
        <v>17750</v>
      </c>
      <c r="B3842" t="s">
        <v>22</v>
      </c>
      <c r="C3842" t="s">
        <v>17751</v>
      </c>
      <c r="D3842">
        <f t="shared" si="94"/>
        <v>-8787</v>
      </c>
      <c r="E3842" t="s">
        <v>17752</v>
      </c>
      <c r="F3842" t="s">
        <v>14473</v>
      </c>
      <c r="G3842" t="s">
        <v>14474</v>
      </c>
      <c r="H3842">
        <v>-121.054007953989</v>
      </c>
      <c r="I3842">
        <v>37.688958483373099</v>
      </c>
      <c r="J3842">
        <v>4</v>
      </c>
      <c r="K3842" t="s">
        <v>1501</v>
      </c>
      <c r="L3842" t="s">
        <v>1501</v>
      </c>
      <c r="M3842" t="s">
        <v>1501</v>
      </c>
      <c r="N3842" t="s">
        <v>1501</v>
      </c>
      <c r="O3842" t="s">
        <v>536</v>
      </c>
      <c r="P3842" t="s">
        <v>536</v>
      </c>
      <c r="Q3842" t="s">
        <v>717</v>
      </c>
      <c r="R3842" t="s">
        <v>17751</v>
      </c>
      <c r="S3842" t="s">
        <v>17753</v>
      </c>
      <c r="T3842" t="s">
        <v>17372</v>
      </c>
      <c r="U3842" t="s">
        <v>17754</v>
      </c>
    </row>
    <row r="3843" spans="1:21" x14ac:dyDescent="0.25">
      <c r="A3843" t="s">
        <v>17755</v>
      </c>
      <c r="B3843" t="s">
        <v>22</v>
      </c>
      <c r="C3843" t="s">
        <v>17756</v>
      </c>
      <c r="D3843">
        <f t="shared" si="94"/>
        <v>-8787</v>
      </c>
      <c r="E3843" t="s">
        <v>17757</v>
      </c>
      <c r="F3843" t="s">
        <v>14473</v>
      </c>
      <c r="G3843" t="s">
        <v>14474</v>
      </c>
      <c r="H3843">
        <v>-118.3932501</v>
      </c>
      <c r="I3843">
        <v>33.985871320000001</v>
      </c>
      <c r="J3843">
        <v>4</v>
      </c>
      <c r="K3843" t="s">
        <v>1035</v>
      </c>
      <c r="L3843" t="s">
        <v>1035</v>
      </c>
      <c r="M3843" t="s">
        <v>1035</v>
      </c>
      <c r="N3843" t="s">
        <v>1035</v>
      </c>
      <c r="O3843" t="s">
        <v>536</v>
      </c>
      <c r="P3843" t="s">
        <v>536</v>
      </c>
      <c r="Q3843" t="s">
        <v>717</v>
      </c>
      <c r="R3843" t="s">
        <v>17756</v>
      </c>
      <c r="S3843" t="s">
        <v>17758</v>
      </c>
      <c r="T3843" t="s">
        <v>17372</v>
      </c>
      <c r="U3843" t="s">
        <v>17759</v>
      </c>
    </row>
    <row r="3844" spans="1:21" x14ac:dyDescent="0.25">
      <c r="A3844" t="s">
        <v>17760</v>
      </c>
      <c r="B3844" t="s">
        <v>38</v>
      </c>
      <c r="C3844" t="s">
        <v>17761</v>
      </c>
      <c r="D3844">
        <f t="shared" si="94"/>
        <v>-8787</v>
      </c>
      <c r="E3844" t="s">
        <v>17762</v>
      </c>
      <c r="F3844" t="s">
        <v>14473</v>
      </c>
      <c r="G3844" t="s">
        <v>14474</v>
      </c>
      <c r="H3844">
        <v>-118.1517721</v>
      </c>
      <c r="I3844">
        <v>34.00837782</v>
      </c>
      <c r="J3844">
        <v>4</v>
      </c>
      <c r="K3844" t="s">
        <v>45</v>
      </c>
      <c r="L3844" t="s">
        <v>45</v>
      </c>
      <c r="M3844" t="s">
        <v>45</v>
      </c>
      <c r="N3844" t="s">
        <v>45</v>
      </c>
      <c r="O3844" t="s">
        <v>45</v>
      </c>
      <c r="P3844" t="s">
        <v>45</v>
      </c>
      <c r="Q3844" t="s">
        <v>45</v>
      </c>
      <c r="R3844" t="s">
        <v>17761</v>
      </c>
      <c r="S3844" t="s">
        <v>17763</v>
      </c>
      <c r="T3844" t="s">
        <v>17372</v>
      </c>
      <c r="U3844" t="s">
        <v>17764</v>
      </c>
    </row>
    <row r="3845" spans="1:21" x14ac:dyDescent="0.25">
      <c r="A3845" t="s">
        <v>17765</v>
      </c>
      <c r="B3845" t="s">
        <v>38</v>
      </c>
      <c r="C3845" t="s">
        <v>17766</v>
      </c>
      <c r="D3845">
        <f t="shared" si="94"/>
        <v>-8787</v>
      </c>
      <c r="E3845" t="s">
        <v>17767</v>
      </c>
      <c r="F3845" t="s">
        <v>14473</v>
      </c>
      <c r="G3845" t="s">
        <v>14474</v>
      </c>
      <c r="H3845">
        <v>-93.021380640000004</v>
      </c>
      <c r="I3845">
        <v>45.031828040000001</v>
      </c>
      <c r="J3845">
        <v>20</v>
      </c>
      <c r="K3845" t="s">
        <v>45</v>
      </c>
      <c r="L3845" t="s">
        <v>45</v>
      </c>
      <c r="M3845" t="s">
        <v>45</v>
      </c>
      <c r="N3845" t="s">
        <v>45</v>
      </c>
      <c r="O3845" t="s">
        <v>45</v>
      </c>
      <c r="P3845" t="s">
        <v>45</v>
      </c>
      <c r="Q3845" t="s">
        <v>1492</v>
      </c>
      <c r="R3845" t="s">
        <v>17768</v>
      </c>
      <c r="T3845" t="s">
        <v>17769</v>
      </c>
      <c r="U3845" t="s">
        <v>17770</v>
      </c>
    </row>
    <row r="3846" spans="1:21" x14ac:dyDescent="0.25">
      <c r="A3846" t="s">
        <v>17771</v>
      </c>
      <c r="B3846" t="s">
        <v>22</v>
      </c>
      <c r="C3846" t="s">
        <v>17772</v>
      </c>
      <c r="D3846">
        <f t="shared" si="94"/>
        <v>-8787</v>
      </c>
      <c r="E3846" t="s">
        <v>17773</v>
      </c>
      <c r="F3846" t="s">
        <v>14473</v>
      </c>
      <c r="G3846" t="s">
        <v>14474</v>
      </c>
      <c r="H3846">
        <v>-78.679496999999998</v>
      </c>
      <c r="I3846">
        <v>35.840024</v>
      </c>
      <c r="J3846">
        <v>35</v>
      </c>
      <c r="K3846" t="s">
        <v>717</v>
      </c>
      <c r="L3846" t="s">
        <v>717</v>
      </c>
      <c r="M3846" t="s">
        <v>717</v>
      </c>
      <c r="N3846" t="s">
        <v>717</v>
      </c>
      <c r="O3846" t="s">
        <v>1035</v>
      </c>
      <c r="P3846" t="s">
        <v>1035</v>
      </c>
      <c r="Q3846" t="s">
        <v>1492</v>
      </c>
      <c r="R3846" t="s">
        <v>17772</v>
      </c>
      <c r="S3846" t="s">
        <v>17774</v>
      </c>
      <c r="T3846" t="s">
        <v>17775</v>
      </c>
      <c r="U3846" t="s">
        <v>17776</v>
      </c>
    </row>
    <row r="3847" spans="1:21" x14ac:dyDescent="0.25">
      <c r="A3847" t="s">
        <v>17777</v>
      </c>
      <c r="B3847" t="s">
        <v>32</v>
      </c>
      <c r="C3847" t="s">
        <v>17778</v>
      </c>
      <c r="D3847">
        <f t="shared" si="94"/>
        <v>-8787</v>
      </c>
      <c r="E3847" t="s">
        <v>17779</v>
      </c>
      <c r="F3847" t="s">
        <v>14473</v>
      </c>
      <c r="G3847" t="s">
        <v>14474</v>
      </c>
      <c r="H3847">
        <v>-96.773211250000003</v>
      </c>
      <c r="I3847">
        <v>32.868875670000001</v>
      </c>
      <c r="J3847">
        <v>20</v>
      </c>
      <c r="K3847" t="s">
        <v>45</v>
      </c>
      <c r="L3847" t="s">
        <v>45</v>
      </c>
      <c r="M3847" t="s">
        <v>45</v>
      </c>
      <c r="N3847" t="s">
        <v>45</v>
      </c>
      <c r="O3847" t="s">
        <v>45</v>
      </c>
      <c r="P3847" t="s">
        <v>45</v>
      </c>
      <c r="Q3847" t="s">
        <v>1492</v>
      </c>
      <c r="R3847" t="s">
        <v>17778</v>
      </c>
      <c r="S3847" t="s">
        <v>17780</v>
      </c>
      <c r="T3847" t="s">
        <v>17781</v>
      </c>
      <c r="U3847" t="s">
        <v>17782</v>
      </c>
    </row>
    <row r="3848" spans="1:21" x14ac:dyDescent="0.25">
      <c r="A3848" t="s">
        <v>17783</v>
      </c>
      <c r="B3848" t="s">
        <v>38</v>
      </c>
      <c r="C3848" t="s">
        <v>17784</v>
      </c>
      <c r="D3848">
        <f t="shared" si="94"/>
        <v>-8787</v>
      </c>
      <c r="E3848" t="s">
        <v>17785</v>
      </c>
      <c r="F3848" t="s">
        <v>14473</v>
      </c>
      <c r="G3848" t="s">
        <v>14474</v>
      </c>
      <c r="H3848">
        <v>-76.394136939999996</v>
      </c>
      <c r="I3848">
        <v>37.043729020000001</v>
      </c>
      <c r="J3848">
        <v>35</v>
      </c>
      <c r="K3848" t="s">
        <v>536</v>
      </c>
      <c r="L3848" t="s">
        <v>536</v>
      </c>
      <c r="M3848" t="s">
        <v>536</v>
      </c>
      <c r="N3848" t="s">
        <v>536</v>
      </c>
      <c r="O3848" t="s">
        <v>536</v>
      </c>
      <c r="P3848" t="s">
        <v>536</v>
      </c>
      <c r="Q3848" t="s">
        <v>1492</v>
      </c>
      <c r="R3848" t="s">
        <v>17784</v>
      </c>
      <c r="S3848" t="s">
        <v>17786</v>
      </c>
      <c r="T3848" t="s">
        <v>17202</v>
      </c>
      <c r="U3848" t="s">
        <v>17787</v>
      </c>
    </row>
    <row r="3849" spans="1:21" x14ac:dyDescent="0.25">
      <c r="A3849" t="s">
        <v>17788</v>
      </c>
      <c r="B3849" t="s">
        <v>22</v>
      </c>
      <c r="C3849" t="s">
        <v>17789</v>
      </c>
      <c r="D3849">
        <f t="shared" si="94"/>
        <v>-8787</v>
      </c>
      <c r="E3849" t="s">
        <v>17790</v>
      </c>
      <c r="F3849" t="s">
        <v>14473</v>
      </c>
      <c r="G3849" t="s">
        <v>14474</v>
      </c>
      <c r="H3849">
        <v>-111.927622</v>
      </c>
      <c r="I3849">
        <v>33.503613000000001</v>
      </c>
      <c r="J3849">
        <v>10</v>
      </c>
      <c r="K3849" t="s">
        <v>536</v>
      </c>
      <c r="L3849" t="s">
        <v>536</v>
      </c>
      <c r="M3849" t="s">
        <v>536</v>
      </c>
      <c r="N3849" t="s">
        <v>536</v>
      </c>
      <c r="O3849" t="s">
        <v>536</v>
      </c>
      <c r="P3849" t="s">
        <v>536</v>
      </c>
      <c r="Q3849" t="s">
        <v>1034</v>
      </c>
      <c r="R3849" t="s">
        <v>17789</v>
      </c>
      <c r="S3849" t="s">
        <v>17791</v>
      </c>
      <c r="T3849" t="s">
        <v>17792</v>
      </c>
      <c r="U3849" t="s">
        <v>17793</v>
      </c>
    </row>
    <row r="3850" spans="1:21" x14ac:dyDescent="0.25">
      <c r="A3850" t="s">
        <v>17794</v>
      </c>
      <c r="B3850" t="s">
        <v>22</v>
      </c>
      <c r="C3850" t="s">
        <v>17795</v>
      </c>
      <c r="D3850">
        <f t="shared" ref="D3850:D3913" si="95">1-855-466-7467</f>
        <v>-8787</v>
      </c>
      <c r="E3850" t="s">
        <v>17796</v>
      </c>
      <c r="F3850" t="s">
        <v>14473</v>
      </c>
      <c r="G3850" t="s">
        <v>14474</v>
      </c>
      <c r="H3850">
        <v>-110.973695729735</v>
      </c>
      <c r="I3850">
        <v>32.2880587239055</v>
      </c>
      <c r="J3850">
        <v>10</v>
      </c>
      <c r="K3850" t="s">
        <v>717</v>
      </c>
      <c r="L3850" t="s">
        <v>717</v>
      </c>
      <c r="M3850" t="s">
        <v>717</v>
      </c>
      <c r="N3850" t="s">
        <v>717</v>
      </c>
      <c r="O3850" t="s">
        <v>1035</v>
      </c>
      <c r="P3850" t="s">
        <v>1035</v>
      </c>
      <c r="Q3850" t="s">
        <v>1492</v>
      </c>
      <c r="R3850" t="s">
        <v>17795</v>
      </c>
      <c r="S3850" t="s">
        <v>17797</v>
      </c>
      <c r="T3850" t="s">
        <v>17792</v>
      </c>
      <c r="U3850" t="s">
        <v>17798</v>
      </c>
    </row>
    <row r="3851" spans="1:21" x14ac:dyDescent="0.25">
      <c r="A3851" t="s">
        <v>17799</v>
      </c>
      <c r="B3851" t="s">
        <v>22</v>
      </c>
      <c r="C3851" t="s">
        <v>17800</v>
      </c>
      <c r="D3851">
        <f t="shared" si="95"/>
        <v>-8787</v>
      </c>
      <c r="E3851" t="s">
        <v>17801</v>
      </c>
      <c r="F3851" t="s">
        <v>14473</v>
      </c>
      <c r="G3851" t="s">
        <v>14474</v>
      </c>
      <c r="H3851">
        <v>-117.89285940000001</v>
      </c>
      <c r="I3851">
        <v>33.783495619999997</v>
      </c>
      <c r="J3851">
        <v>4</v>
      </c>
      <c r="K3851" t="s">
        <v>1501</v>
      </c>
      <c r="L3851" t="s">
        <v>1501</v>
      </c>
      <c r="M3851" t="s">
        <v>1501</v>
      </c>
      <c r="N3851" t="s">
        <v>1501</v>
      </c>
      <c r="O3851" t="s">
        <v>536</v>
      </c>
      <c r="P3851" t="s">
        <v>536</v>
      </c>
      <c r="Q3851" t="s">
        <v>17207</v>
      </c>
      <c r="R3851" t="s">
        <v>17800</v>
      </c>
      <c r="S3851" t="s">
        <v>17802</v>
      </c>
      <c r="T3851" t="s">
        <v>17372</v>
      </c>
      <c r="U3851" t="s">
        <v>17803</v>
      </c>
    </row>
    <row r="3852" spans="1:21" x14ac:dyDescent="0.25">
      <c r="A3852" t="s">
        <v>17804</v>
      </c>
      <c r="B3852" t="s">
        <v>22</v>
      </c>
      <c r="C3852" t="s">
        <v>17805</v>
      </c>
      <c r="D3852">
        <f t="shared" si="95"/>
        <v>-8787</v>
      </c>
      <c r="E3852" t="s">
        <v>17806</v>
      </c>
      <c r="F3852" t="s">
        <v>14473</v>
      </c>
      <c r="G3852" t="s">
        <v>14474</v>
      </c>
      <c r="H3852">
        <v>-75.652507999999997</v>
      </c>
      <c r="I3852">
        <v>39.680002999999999</v>
      </c>
      <c r="J3852">
        <v>35</v>
      </c>
      <c r="K3852" t="s">
        <v>45</v>
      </c>
      <c r="L3852" t="s">
        <v>45</v>
      </c>
      <c r="M3852" t="s">
        <v>45</v>
      </c>
      <c r="N3852" t="s">
        <v>45</v>
      </c>
      <c r="O3852" t="s">
        <v>45</v>
      </c>
      <c r="P3852" t="s">
        <v>45</v>
      </c>
      <c r="Q3852" t="s">
        <v>1034</v>
      </c>
      <c r="R3852" t="s">
        <v>17805</v>
      </c>
      <c r="S3852" t="s">
        <v>17807</v>
      </c>
      <c r="T3852" t="s">
        <v>17259</v>
      </c>
      <c r="U3852" t="s">
        <v>17808</v>
      </c>
    </row>
    <row r="3853" spans="1:21" x14ac:dyDescent="0.25">
      <c r="A3853" t="s">
        <v>17809</v>
      </c>
      <c r="B3853" t="s">
        <v>22</v>
      </c>
      <c r="C3853" t="s">
        <v>17810</v>
      </c>
      <c r="D3853">
        <f t="shared" si="95"/>
        <v>-8787</v>
      </c>
      <c r="E3853" t="s">
        <v>17811</v>
      </c>
      <c r="F3853" t="s">
        <v>14473</v>
      </c>
      <c r="G3853" t="s">
        <v>14474</v>
      </c>
      <c r="H3853">
        <v>-122.676526</v>
      </c>
      <c r="I3853">
        <v>45.517925499999997</v>
      </c>
      <c r="J3853">
        <v>4</v>
      </c>
      <c r="K3853" t="s">
        <v>1034</v>
      </c>
      <c r="L3853" t="s">
        <v>1034</v>
      </c>
      <c r="M3853" t="s">
        <v>1034</v>
      </c>
      <c r="N3853" t="s">
        <v>1034</v>
      </c>
      <c r="O3853" t="s">
        <v>1034</v>
      </c>
      <c r="P3853" t="s">
        <v>1034</v>
      </c>
      <c r="Q3853" t="s">
        <v>1492</v>
      </c>
      <c r="R3853" t="s">
        <v>17810</v>
      </c>
      <c r="S3853" t="s">
        <v>17812</v>
      </c>
      <c r="T3853" t="s">
        <v>17813</v>
      </c>
      <c r="U3853" t="s">
        <v>17814</v>
      </c>
    </row>
    <row r="3854" spans="1:21" x14ac:dyDescent="0.25">
      <c r="A3854" t="s">
        <v>17815</v>
      </c>
      <c r="B3854" t="s">
        <v>22</v>
      </c>
      <c r="C3854" t="s">
        <v>17816</v>
      </c>
      <c r="D3854">
        <f t="shared" si="95"/>
        <v>-8787</v>
      </c>
      <c r="E3854" t="s">
        <v>17817</v>
      </c>
      <c r="F3854" t="s">
        <v>14473</v>
      </c>
      <c r="G3854" t="s">
        <v>14474</v>
      </c>
      <c r="H3854">
        <v>-73.227563477829193</v>
      </c>
      <c r="I3854">
        <v>41.229495351029101</v>
      </c>
      <c r="J3854">
        <v>35</v>
      </c>
      <c r="K3854" t="s">
        <v>717</v>
      </c>
      <c r="L3854" t="s">
        <v>717</v>
      </c>
      <c r="M3854" t="s">
        <v>717</v>
      </c>
      <c r="N3854" t="s">
        <v>717</v>
      </c>
      <c r="O3854" t="s">
        <v>717</v>
      </c>
      <c r="P3854" t="s">
        <v>717</v>
      </c>
      <c r="Q3854" t="s">
        <v>1034</v>
      </c>
      <c r="R3854" t="s">
        <v>17816</v>
      </c>
      <c r="S3854" t="s">
        <v>17818</v>
      </c>
      <c r="T3854" t="s">
        <v>17336</v>
      </c>
      <c r="U3854" t="s">
        <v>17819</v>
      </c>
    </row>
    <row r="3855" spans="1:21" x14ac:dyDescent="0.25">
      <c r="A3855" t="s">
        <v>17820</v>
      </c>
      <c r="B3855" t="s">
        <v>22</v>
      </c>
      <c r="C3855" t="s">
        <v>17821</v>
      </c>
      <c r="D3855">
        <f t="shared" si="95"/>
        <v>-8787</v>
      </c>
      <c r="E3855" t="s">
        <v>17822</v>
      </c>
      <c r="F3855" t="s">
        <v>14473</v>
      </c>
      <c r="G3855" t="s">
        <v>14474</v>
      </c>
      <c r="H3855">
        <v>-117.9310706</v>
      </c>
      <c r="I3855">
        <v>34.070768899999997</v>
      </c>
      <c r="J3855">
        <v>4</v>
      </c>
      <c r="K3855" t="s">
        <v>717</v>
      </c>
      <c r="L3855" t="s">
        <v>717</v>
      </c>
      <c r="M3855" t="s">
        <v>717</v>
      </c>
      <c r="N3855" t="s">
        <v>717</v>
      </c>
      <c r="O3855" t="s">
        <v>717</v>
      </c>
      <c r="P3855" t="s">
        <v>717</v>
      </c>
      <c r="Q3855" t="s">
        <v>1492</v>
      </c>
      <c r="R3855" t="s">
        <v>17821</v>
      </c>
      <c r="S3855" t="s">
        <v>17823</v>
      </c>
      <c r="T3855" t="s">
        <v>17372</v>
      </c>
      <c r="U3855" t="s">
        <v>17824</v>
      </c>
    </row>
    <row r="3856" spans="1:21" x14ac:dyDescent="0.25">
      <c r="A3856" t="s">
        <v>17825</v>
      </c>
      <c r="B3856" t="s">
        <v>22</v>
      </c>
      <c r="C3856" t="s">
        <v>17826</v>
      </c>
      <c r="D3856">
        <f t="shared" si="95"/>
        <v>-8787</v>
      </c>
      <c r="E3856" t="s">
        <v>17827</v>
      </c>
      <c r="F3856" t="s">
        <v>14473</v>
      </c>
      <c r="G3856" t="s">
        <v>14474</v>
      </c>
      <c r="H3856">
        <v>-117.8699537</v>
      </c>
      <c r="I3856">
        <v>33.775708799999997</v>
      </c>
      <c r="J3856">
        <v>4</v>
      </c>
      <c r="K3856" t="s">
        <v>717</v>
      </c>
      <c r="L3856" t="s">
        <v>717</v>
      </c>
      <c r="M3856" t="s">
        <v>717</v>
      </c>
      <c r="N3856" t="s">
        <v>717</v>
      </c>
      <c r="O3856" t="s">
        <v>1035</v>
      </c>
      <c r="P3856" t="s">
        <v>1035</v>
      </c>
      <c r="Q3856" t="s">
        <v>17207</v>
      </c>
      <c r="R3856" t="s">
        <v>17826</v>
      </c>
      <c r="S3856" t="s">
        <v>17828</v>
      </c>
      <c r="T3856" t="s">
        <v>17372</v>
      </c>
      <c r="U3856" t="s">
        <v>17829</v>
      </c>
    </row>
    <row r="3857" spans="1:21" x14ac:dyDescent="0.25">
      <c r="A3857" t="s">
        <v>17830</v>
      </c>
      <c r="B3857" t="s">
        <v>22</v>
      </c>
      <c r="C3857" t="s">
        <v>17831</v>
      </c>
      <c r="D3857">
        <f t="shared" si="95"/>
        <v>-8787</v>
      </c>
      <c r="E3857" t="s">
        <v>17832</v>
      </c>
      <c r="F3857" t="s">
        <v>14473</v>
      </c>
      <c r="G3857" t="s">
        <v>14474</v>
      </c>
      <c r="H3857">
        <v>-74.300756000000007</v>
      </c>
      <c r="I3857">
        <v>40.254047999999997</v>
      </c>
      <c r="J3857">
        <v>35</v>
      </c>
      <c r="K3857" t="s">
        <v>536</v>
      </c>
      <c r="L3857" t="s">
        <v>536</v>
      </c>
      <c r="M3857" t="s">
        <v>536</v>
      </c>
      <c r="N3857" t="s">
        <v>536</v>
      </c>
      <c r="O3857" t="s">
        <v>536</v>
      </c>
      <c r="P3857" t="s">
        <v>536</v>
      </c>
      <c r="Q3857" t="s">
        <v>717</v>
      </c>
      <c r="R3857" t="s">
        <v>17831</v>
      </c>
      <c r="S3857" t="s">
        <v>17833</v>
      </c>
      <c r="T3857" t="s">
        <v>17159</v>
      </c>
      <c r="U3857" t="s">
        <v>17834</v>
      </c>
    </row>
    <row r="3858" spans="1:21" x14ac:dyDescent="0.25">
      <c r="A3858" t="s">
        <v>17835</v>
      </c>
      <c r="B3858" t="s">
        <v>22</v>
      </c>
      <c r="C3858" t="s">
        <v>17836</v>
      </c>
      <c r="D3858">
        <f t="shared" si="95"/>
        <v>-8787</v>
      </c>
      <c r="E3858" t="s">
        <v>17811</v>
      </c>
      <c r="F3858" t="s">
        <v>14473</v>
      </c>
      <c r="G3858" t="s">
        <v>14474</v>
      </c>
      <c r="H3858">
        <v>-122.7814944</v>
      </c>
      <c r="I3858">
        <v>45.450679950000001</v>
      </c>
      <c r="J3858">
        <v>4</v>
      </c>
      <c r="K3858" t="s">
        <v>717</v>
      </c>
      <c r="L3858" t="s">
        <v>717</v>
      </c>
      <c r="M3858" t="s">
        <v>717</v>
      </c>
      <c r="N3858" t="s">
        <v>717</v>
      </c>
      <c r="O3858" t="s">
        <v>1035</v>
      </c>
      <c r="P3858" t="s">
        <v>1035</v>
      </c>
      <c r="Q3858" t="s">
        <v>1034</v>
      </c>
      <c r="R3858" t="s">
        <v>17836</v>
      </c>
      <c r="S3858" t="s">
        <v>17837</v>
      </c>
      <c r="T3858" t="s">
        <v>17813</v>
      </c>
      <c r="U3858" t="s">
        <v>17838</v>
      </c>
    </row>
    <row r="3859" spans="1:21" x14ac:dyDescent="0.25">
      <c r="A3859" t="s">
        <v>17839</v>
      </c>
      <c r="B3859" t="s">
        <v>22</v>
      </c>
      <c r="C3859" t="s">
        <v>17840</v>
      </c>
      <c r="D3859">
        <f t="shared" si="95"/>
        <v>-8787</v>
      </c>
      <c r="E3859" t="s">
        <v>17841</v>
      </c>
      <c r="F3859" t="s">
        <v>14473</v>
      </c>
      <c r="G3859" t="s">
        <v>14474</v>
      </c>
      <c r="H3859">
        <v>-117.66858232817</v>
      </c>
      <c r="I3859">
        <v>33.557757612761797</v>
      </c>
      <c r="J3859">
        <v>4</v>
      </c>
      <c r="K3859" t="s">
        <v>717</v>
      </c>
      <c r="L3859" t="s">
        <v>1035</v>
      </c>
      <c r="M3859" t="s">
        <v>1035</v>
      </c>
      <c r="N3859" t="s">
        <v>1035</v>
      </c>
      <c r="O3859" t="s">
        <v>45</v>
      </c>
      <c r="P3859" t="s">
        <v>45</v>
      </c>
      <c r="Q3859" t="s">
        <v>1034</v>
      </c>
      <c r="R3859" t="s">
        <v>17840</v>
      </c>
      <c r="S3859" t="s">
        <v>17842</v>
      </c>
      <c r="T3859" t="s">
        <v>17372</v>
      </c>
      <c r="U3859" t="s">
        <v>17843</v>
      </c>
    </row>
    <row r="3860" spans="1:21" x14ac:dyDescent="0.25">
      <c r="A3860" t="s">
        <v>17844</v>
      </c>
      <c r="B3860" t="s">
        <v>22</v>
      </c>
      <c r="C3860" t="s">
        <v>17845</v>
      </c>
      <c r="D3860">
        <f t="shared" si="95"/>
        <v>-8787</v>
      </c>
      <c r="E3860" t="s">
        <v>17796</v>
      </c>
      <c r="F3860" t="s">
        <v>14473</v>
      </c>
      <c r="G3860" t="s">
        <v>14474</v>
      </c>
      <c r="H3860">
        <v>-110.86536200154301</v>
      </c>
      <c r="I3860">
        <v>32.219212202732898</v>
      </c>
      <c r="J3860">
        <v>10</v>
      </c>
      <c r="K3860" t="s">
        <v>1035</v>
      </c>
      <c r="L3860" t="s">
        <v>1035</v>
      </c>
      <c r="M3860" t="s">
        <v>1035</v>
      </c>
      <c r="N3860" t="s">
        <v>1035</v>
      </c>
      <c r="O3860" t="s">
        <v>1035</v>
      </c>
      <c r="P3860" t="s">
        <v>1035</v>
      </c>
      <c r="Q3860" t="s">
        <v>717</v>
      </c>
      <c r="R3860" t="s">
        <v>17845</v>
      </c>
      <c r="S3860" t="s">
        <v>17846</v>
      </c>
      <c r="T3860" t="s">
        <v>17792</v>
      </c>
      <c r="U3860" t="s">
        <v>17847</v>
      </c>
    </row>
    <row r="3861" spans="1:21" x14ac:dyDescent="0.25">
      <c r="A3861" t="s">
        <v>17848</v>
      </c>
      <c r="B3861" t="s">
        <v>22</v>
      </c>
      <c r="C3861" t="s">
        <v>17849</v>
      </c>
      <c r="D3861">
        <f t="shared" si="95"/>
        <v>-8787</v>
      </c>
      <c r="E3861" t="s">
        <v>17850</v>
      </c>
      <c r="F3861" t="s">
        <v>14473</v>
      </c>
      <c r="G3861" t="s">
        <v>14474</v>
      </c>
      <c r="H3861">
        <v>-122.4712572</v>
      </c>
      <c r="I3861">
        <v>37.672623170000001</v>
      </c>
      <c r="J3861">
        <v>4</v>
      </c>
      <c r="K3861" t="s">
        <v>1035</v>
      </c>
      <c r="L3861" t="s">
        <v>1035</v>
      </c>
      <c r="M3861" t="s">
        <v>1035</v>
      </c>
      <c r="N3861" t="s">
        <v>1035</v>
      </c>
      <c r="O3861" t="s">
        <v>1035</v>
      </c>
      <c r="P3861" t="s">
        <v>1035</v>
      </c>
      <c r="Q3861" t="s">
        <v>17207</v>
      </c>
      <c r="R3861" t="s">
        <v>17849</v>
      </c>
      <c r="S3861" t="s">
        <v>17851</v>
      </c>
      <c r="T3861" t="s">
        <v>17372</v>
      </c>
      <c r="U3861" t="s">
        <v>17852</v>
      </c>
    </row>
    <row r="3862" spans="1:21" x14ac:dyDescent="0.25">
      <c r="A3862" t="s">
        <v>17853</v>
      </c>
      <c r="B3862" t="s">
        <v>22</v>
      </c>
      <c r="C3862" t="s">
        <v>17854</v>
      </c>
      <c r="D3862">
        <f t="shared" si="95"/>
        <v>-8787</v>
      </c>
      <c r="E3862" t="s">
        <v>17855</v>
      </c>
      <c r="F3862" t="s">
        <v>14473</v>
      </c>
      <c r="G3862" t="s">
        <v>14474</v>
      </c>
      <c r="H3862">
        <v>-76.612129210999996</v>
      </c>
      <c r="I3862">
        <v>39.284954726000002</v>
      </c>
      <c r="J3862">
        <v>35</v>
      </c>
      <c r="K3862" t="s">
        <v>717</v>
      </c>
      <c r="L3862" t="s">
        <v>717</v>
      </c>
      <c r="M3862" t="s">
        <v>717</v>
      </c>
      <c r="N3862" t="s">
        <v>717</v>
      </c>
      <c r="O3862" t="s">
        <v>717</v>
      </c>
      <c r="P3862" t="s">
        <v>717</v>
      </c>
      <c r="Q3862" t="s">
        <v>1492</v>
      </c>
      <c r="R3862" t="s">
        <v>17854</v>
      </c>
      <c r="S3862" t="s">
        <v>17856</v>
      </c>
      <c r="T3862" t="s">
        <v>17286</v>
      </c>
      <c r="U3862" t="s">
        <v>17857</v>
      </c>
    </row>
    <row r="3863" spans="1:21" x14ac:dyDescent="0.25">
      <c r="A3863" t="s">
        <v>17858</v>
      </c>
      <c r="B3863" t="s">
        <v>22</v>
      </c>
      <c r="C3863" t="s">
        <v>17859</v>
      </c>
      <c r="D3863">
        <f t="shared" si="95"/>
        <v>-8787</v>
      </c>
      <c r="E3863" t="s">
        <v>17860</v>
      </c>
      <c r="F3863" t="s">
        <v>14473</v>
      </c>
      <c r="G3863" t="s">
        <v>14474</v>
      </c>
      <c r="H3863">
        <v>-81.376746269999998</v>
      </c>
      <c r="I3863">
        <v>28.66705017</v>
      </c>
      <c r="J3863">
        <v>35</v>
      </c>
      <c r="K3863" t="s">
        <v>1035</v>
      </c>
      <c r="L3863" t="s">
        <v>1035</v>
      </c>
      <c r="M3863" t="s">
        <v>1035</v>
      </c>
      <c r="N3863" t="s">
        <v>1035</v>
      </c>
      <c r="O3863" t="s">
        <v>1501</v>
      </c>
      <c r="P3863" t="s">
        <v>1501</v>
      </c>
      <c r="Q3863" t="s">
        <v>1492</v>
      </c>
      <c r="R3863" t="s">
        <v>17859</v>
      </c>
      <c r="S3863" t="s">
        <v>17861</v>
      </c>
      <c r="T3863" t="s">
        <v>17724</v>
      </c>
      <c r="U3863" t="s">
        <v>17862</v>
      </c>
    </row>
    <row r="3864" spans="1:21" x14ac:dyDescent="0.25">
      <c r="A3864" t="s">
        <v>17863</v>
      </c>
      <c r="B3864" t="s">
        <v>22</v>
      </c>
      <c r="C3864" t="s">
        <v>17864</v>
      </c>
      <c r="D3864">
        <f t="shared" si="95"/>
        <v>-8787</v>
      </c>
      <c r="E3864" t="s">
        <v>17865</v>
      </c>
      <c r="F3864" t="s">
        <v>14473</v>
      </c>
      <c r="G3864" t="s">
        <v>14474</v>
      </c>
      <c r="H3864">
        <v>-122.573945426256</v>
      </c>
      <c r="I3864">
        <v>45.436217962585303</v>
      </c>
      <c r="J3864">
        <v>4</v>
      </c>
      <c r="K3864" t="s">
        <v>1035</v>
      </c>
      <c r="L3864" t="s">
        <v>1035</v>
      </c>
      <c r="M3864" t="s">
        <v>1035</v>
      </c>
      <c r="N3864" t="s">
        <v>1035</v>
      </c>
      <c r="O3864" t="s">
        <v>1035</v>
      </c>
      <c r="P3864" t="s">
        <v>1035</v>
      </c>
      <c r="Q3864" t="s">
        <v>717</v>
      </c>
      <c r="R3864" t="s">
        <v>17864</v>
      </c>
      <c r="S3864" t="s">
        <v>17866</v>
      </c>
      <c r="T3864" t="s">
        <v>17813</v>
      </c>
      <c r="U3864" t="s">
        <v>17867</v>
      </c>
    </row>
    <row r="3865" spans="1:21" x14ac:dyDescent="0.25">
      <c r="A3865" t="s">
        <v>17868</v>
      </c>
      <c r="B3865" t="s">
        <v>22</v>
      </c>
      <c r="C3865" t="s">
        <v>17869</v>
      </c>
      <c r="D3865">
        <f t="shared" si="95"/>
        <v>-8787</v>
      </c>
      <c r="E3865" t="s">
        <v>17870</v>
      </c>
      <c r="F3865" t="s">
        <v>14473</v>
      </c>
      <c r="G3865" t="s">
        <v>14474</v>
      </c>
      <c r="H3865">
        <v>-87.817398460000007</v>
      </c>
      <c r="I3865">
        <v>42.150427469999997</v>
      </c>
      <c r="J3865">
        <v>20</v>
      </c>
      <c r="K3865" t="s">
        <v>17207</v>
      </c>
      <c r="L3865" t="s">
        <v>17207</v>
      </c>
      <c r="M3865" t="s">
        <v>17207</v>
      </c>
      <c r="N3865" t="s">
        <v>17207</v>
      </c>
      <c r="O3865" t="s">
        <v>17207</v>
      </c>
      <c r="P3865" t="s">
        <v>17207</v>
      </c>
      <c r="Q3865" t="s">
        <v>1492</v>
      </c>
      <c r="R3865" t="s">
        <v>17869</v>
      </c>
      <c r="S3865" t="s">
        <v>17871</v>
      </c>
      <c r="T3865" t="s">
        <v>17313</v>
      </c>
      <c r="U3865" t="s">
        <v>17872</v>
      </c>
    </row>
    <row r="3866" spans="1:21" x14ac:dyDescent="0.25">
      <c r="A3866" t="s">
        <v>17873</v>
      </c>
      <c r="B3866" t="s">
        <v>22</v>
      </c>
      <c r="C3866" t="s">
        <v>17874</v>
      </c>
      <c r="D3866">
        <f t="shared" si="95"/>
        <v>-8787</v>
      </c>
      <c r="E3866" t="s">
        <v>17875</v>
      </c>
      <c r="F3866" t="s">
        <v>14473</v>
      </c>
      <c r="G3866" t="s">
        <v>14474</v>
      </c>
      <c r="H3866">
        <v>-119.7005135</v>
      </c>
      <c r="I3866">
        <v>34.420197330000001</v>
      </c>
      <c r="J3866">
        <v>4</v>
      </c>
      <c r="K3866" t="s">
        <v>1034</v>
      </c>
      <c r="L3866" t="s">
        <v>1034</v>
      </c>
      <c r="M3866" t="s">
        <v>1034</v>
      </c>
      <c r="N3866" t="s">
        <v>1034</v>
      </c>
      <c r="O3866" t="s">
        <v>1034</v>
      </c>
      <c r="P3866" t="s">
        <v>1034</v>
      </c>
      <c r="Q3866" t="s">
        <v>1034</v>
      </c>
      <c r="R3866" t="s">
        <v>17874</v>
      </c>
      <c r="S3866" t="s">
        <v>17876</v>
      </c>
      <c r="T3866" t="s">
        <v>17372</v>
      </c>
      <c r="U3866" t="s">
        <v>17877</v>
      </c>
    </row>
    <row r="3867" spans="1:21" x14ac:dyDescent="0.25">
      <c r="A3867" t="s">
        <v>17878</v>
      </c>
      <c r="B3867" t="s">
        <v>22</v>
      </c>
      <c r="C3867" t="s">
        <v>17879</v>
      </c>
      <c r="D3867">
        <f t="shared" si="95"/>
        <v>-8787</v>
      </c>
      <c r="E3867" t="s">
        <v>17880</v>
      </c>
      <c r="F3867" t="s">
        <v>14473</v>
      </c>
      <c r="G3867" t="s">
        <v>14474</v>
      </c>
      <c r="H3867">
        <v>-117.26600070000001</v>
      </c>
      <c r="I3867">
        <v>33.070566370000002</v>
      </c>
      <c r="J3867">
        <v>4</v>
      </c>
      <c r="K3867" t="s">
        <v>717</v>
      </c>
      <c r="L3867" t="s">
        <v>717</v>
      </c>
      <c r="M3867" t="s">
        <v>717</v>
      </c>
      <c r="N3867" t="s">
        <v>717</v>
      </c>
      <c r="O3867" t="s">
        <v>717</v>
      </c>
      <c r="P3867" t="s">
        <v>717</v>
      </c>
      <c r="Q3867" t="s">
        <v>1492</v>
      </c>
      <c r="R3867" t="s">
        <v>17879</v>
      </c>
      <c r="S3867" t="s">
        <v>17881</v>
      </c>
      <c r="T3867" t="s">
        <v>17372</v>
      </c>
      <c r="U3867" t="s">
        <v>17882</v>
      </c>
    </row>
    <row r="3868" spans="1:21" x14ac:dyDescent="0.25">
      <c r="A3868" t="s">
        <v>17883</v>
      </c>
      <c r="B3868" t="s">
        <v>22</v>
      </c>
      <c r="C3868" t="s">
        <v>17884</v>
      </c>
      <c r="D3868">
        <f t="shared" si="95"/>
        <v>-8787</v>
      </c>
      <c r="E3868" t="s">
        <v>17707</v>
      </c>
      <c r="F3868" t="s">
        <v>14473</v>
      </c>
      <c r="G3868" t="s">
        <v>14474</v>
      </c>
      <c r="H3868">
        <v>-73.856983729999996</v>
      </c>
      <c r="I3868">
        <v>40.96497437</v>
      </c>
      <c r="J3868">
        <v>35</v>
      </c>
      <c r="K3868" t="s">
        <v>717</v>
      </c>
      <c r="L3868" t="s">
        <v>717</v>
      </c>
      <c r="M3868" t="s">
        <v>717</v>
      </c>
      <c r="N3868" t="s">
        <v>717</v>
      </c>
      <c r="O3868" t="s">
        <v>717</v>
      </c>
      <c r="P3868" t="s">
        <v>717</v>
      </c>
      <c r="Q3868" t="s">
        <v>717</v>
      </c>
      <c r="R3868" t="s">
        <v>17884</v>
      </c>
      <c r="S3868" t="s">
        <v>17885</v>
      </c>
      <c r="T3868" t="s">
        <v>17165</v>
      </c>
      <c r="U3868" t="s">
        <v>17886</v>
      </c>
    </row>
    <row r="3869" spans="1:21" x14ac:dyDescent="0.25">
      <c r="A3869" t="s">
        <v>17887</v>
      </c>
      <c r="B3869" t="s">
        <v>22</v>
      </c>
      <c r="C3869" t="s">
        <v>17888</v>
      </c>
      <c r="D3869">
        <f t="shared" si="95"/>
        <v>-8787</v>
      </c>
      <c r="E3869" t="s">
        <v>17889</v>
      </c>
      <c r="F3869" t="s">
        <v>14473</v>
      </c>
      <c r="G3869" t="s">
        <v>14474</v>
      </c>
      <c r="H3869">
        <v>-78.761885449999994</v>
      </c>
      <c r="I3869">
        <v>42.914136569999997</v>
      </c>
      <c r="J3869">
        <v>35</v>
      </c>
      <c r="K3869" t="s">
        <v>717</v>
      </c>
      <c r="L3869" t="s">
        <v>717</v>
      </c>
      <c r="M3869" t="s">
        <v>717</v>
      </c>
      <c r="N3869" t="s">
        <v>717</v>
      </c>
      <c r="O3869" t="s">
        <v>717</v>
      </c>
      <c r="P3869" t="s">
        <v>717</v>
      </c>
      <c r="Q3869" t="s">
        <v>1034</v>
      </c>
      <c r="R3869" t="s">
        <v>17888</v>
      </c>
      <c r="S3869" t="s">
        <v>17890</v>
      </c>
      <c r="T3869" t="s">
        <v>17165</v>
      </c>
      <c r="U3869" t="s">
        <v>17891</v>
      </c>
    </row>
    <row r="3870" spans="1:21" x14ac:dyDescent="0.25">
      <c r="A3870" t="s">
        <v>17892</v>
      </c>
      <c r="B3870" t="s">
        <v>22</v>
      </c>
      <c r="C3870" t="s">
        <v>17893</v>
      </c>
      <c r="D3870">
        <f t="shared" si="95"/>
        <v>-8787</v>
      </c>
      <c r="E3870" t="s">
        <v>17894</v>
      </c>
      <c r="F3870" t="s">
        <v>14473</v>
      </c>
      <c r="G3870" t="s">
        <v>14474</v>
      </c>
      <c r="H3870">
        <v>-105.13266470000001</v>
      </c>
      <c r="I3870">
        <v>39.933324849999998</v>
      </c>
      <c r="J3870">
        <v>10</v>
      </c>
      <c r="K3870" t="s">
        <v>717</v>
      </c>
      <c r="L3870" t="s">
        <v>717</v>
      </c>
      <c r="M3870" t="s">
        <v>717</v>
      </c>
      <c r="N3870" t="s">
        <v>717</v>
      </c>
      <c r="O3870" t="s">
        <v>717</v>
      </c>
      <c r="P3870" t="s">
        <v>717</v>
      </c>
      <c r="Q3870" t="s">
        <v>717</v>
      </c>
      <c r="R3870" t="s">
        <v>17893</v>
      </c>
      <c r="S3870" t="s">
        <v>17895</v>
      </c>
      <c r="T3870" t="s">
        <v>17689</v>
      </c>
      <c r="U3870" t="s">
        <v>17896</v>
      </c>
    </row>
    <row r="3871" spans="1:21" x14ac:dyDescent="0.25">
      <c r="A3871" t="s">
        <v>17897</v>
      </c>
      <c r="B3871" t="s">
        <v>22</v>
      </c>
      <c r="C3871" t="s">
        <v>17898</v>
      </c>
      <c r="D3871">
        <f t="shared" si="95"/>
        <v>-8787</v>
      </c>
      <c r="E3871" t="s">
        <v>17779</v>
      </c>
      <c r="F3871" t="s">
        <v>14473</v>
      </c>
      <c r="G3871" t="s">
        <v>14474</v>
      </c>
      <c r="H3871">
        <v>-96.819422000000003</v>
      </c>
      <c r="I3871">
        <v>32.931355000000003</v>
      </c>
      <c r="J3871">
        <v>20</v>
      </c>
      <c r="K3871" t="s">
        <v>45</v>
      </c>
      <c r="L3871" t="s">
        <v>45</v>
      </c>
      <c r="M3871" t="s">
        <v>45</v>
      </c>
      <c r="N3871" t="s">
        <v>45</v>
      </c>
      <c r="O3871" t="s">
        <v>45</v>
      </c>
      <c r="P3871" t="s">
        <v>45</v>
      </c>
      <c r="Q3871" t="s">
        <v>1492</v>
      </c>
      <c r="R3871" t="s">
        <v>17898</v>
      </c>
      <c r="S3871" t="s">
        <v>17899</v>
      </c>
      <c r="T3871" t="s">
        <v>17781</v>
      </c>
      <c r="U3871" t="s">
        <v>17900</v>
      </c>
    </row>
    <row r="3872" spans="1:21" x14ac:dyDescent="0.25">
      <c r="A3872" t="s">
        <v>17901</v>
      </c>
      <c r="B3872" t="s">
        <v>22</v>
      </c>
      <c r="C3872" t="s">
        <v>17902</v>
      </c>
      <c r="D3872">
        <f t="shared" si="95"/>
        <v>-8787</v>
      </c>
      <c r="E3872" t="s">
        <v>17903</v>
      </c>
      <c r="F3872" t="s">
        <v>14473</v>
      </c>
      <c r="G3872" t="s">
        <v>14474</v>
      </c>
      <c r="H3872">
        <v>-74.178372417991596</v>
      </c>
      <c r="I3872">
        <v>39.979603593795602</v>
      </c>
      <c r="J3872">
        <v>35</v>
      </c>
      <c r="K3872" t="s">
        <v>1035</v>
      </c>
      <c r="L3872" t="s">
        <v>1035</v>
      </c>
      <c r="M3872" t="s">
        <v>1035</v>
      </c>
      <c r="N3872" t="s">
        <v>1035</v>
      </c>
      <c r="O3872" t="s">
        <v>27</v>
      </c>
      <c r="P3872" t="s">
        <v>27</v>
      </c>
      <c r="Q3872" t="s">
        <v>1492</v>
      </c>
      <c r="R3872" t="s">
        <v>17902</v>
      </c>
      <c r="S3872" t="s">
        <v>17904</v>
      </c>
      <c r="T3872" t="s">
        <v>17159</v>
      </c>
      <c r="U3872" t="s">
        <v>17905</v>
      </c>
    </row>
    <row r="3873" spans="1:21" x14ac:dyDescent="0.25">
      <c r="A3873" t="s">
        <v>17906</v>
      </c>
      <c r="B3873" t="s">
        <v>22</v>
      </c>
      <c r="C3873" t="s">
        <v>17907</v>
      </c>
      <c r="D3873">
        <f t="shared" si="95"/>
        <v>-8787</v>
      </c>
      <c r="E3873" t="s">
        <v>17908</v>
      </c>
      <c r="F3873" t="s">
        <v>14473</v>
      </c>
      <c r="G3873" t="s">
        <v>14474</v>
      </c>
      <c r="H3873">
        <v>-121.1209175</v>
      </c>
      <c r="I3873">
        <v>38.64960215</v>
      </c>
      <c r="J3873">
        <v>4</v>
      </c>
      <c r="K3873" t="s">
        <v>717</v>
      </c>
      <c r="L3873" t="s">
        <v>717</v>
      </c>
      <c r="M3873" t="s">
        <v>717</v>
      </c>
      <c r="N3873" t="s">
        <v>717</v>
      </c>
      <c r="O3873" t="s">
        <v>1035</v>
      </c>
      <c r="P3873" t="s">
        <v>1035</v>
      </c>
      <c r="Q3873" t="s">
        <v>1034</v>
      </c>
      <c r="R3873" t="s">
        <v>17907</v>
      </c>
      <c r="S3873" t="s">
        <v>17909</v>
      </c>
      <c r="T3873" t="s">
        <v>17372</v>
      </c>
      <c r="U3873" t="s">
        <v>17910</v>
      </c>
    </row>
    <row r="3874" spans="1:21" x14ac:dyDescent="0.25">
      <c r="A3874" t="s">
        <v>17911</v>
      </c>
      <c r="B3874" t="s">
        <v>22</v>
      </c>
      <c r="C3874" t="s">
        <v>17912</v>
      </c>
      <c r="D3874">
        <f t="shared" si="95"/>
        <v>-8787</v>
      </c>
      <c r="E3874" t="s">
        <v>17407</v>
      </c>
      <c r="F3874" t="s">
        <v>14473</v>
      </c>
      <c r="G3874" t="s">
        <v>14474</v>
      </c>
      <c r="H3874">
        <v>-88.004740799999993</v>
      </c>
      <c r="I3874">
        <v>42.947570800000001</v>
      </c>
      <c r="J3874">
        <v>20</v>
      </c>
      <c r="K3874" t="s">
        <v>45</v>
      </c>
      <c r="L3874" t="s">
        <v>45</v>
      </c>
      <c r="M3874" t="s">
        <v>45</v>
      </c>
      <c r="N3874" t="s">
        <v>45</v>
      </c>
      <c r="O3874" t="s">
        <v>45</v>
      </c>
      <c r="P3874" t="s">
        <v>45</v>
      </c>
      <c r="Q3874" t="s">
        <v>1034</v>
      </c>
      <c r="R3874" t="s">
        <v>17912</v>
      </c>
      <c r="S3874" t="s">
        <v>17913</v>
      </c>
      <c r="T3874" t="s">
        <v>17409</v>
      </c>
      <c r="U3874" t="s">
        <v>17914</v>
      </c>
    </row>
    <row r="3875" spans="1:21" x14ac:dyDescent="0.25">
      <c r="A3875" t="s">
        <v>17915</v>
      </c>
      <c r="B3875" t="s">
        <v>22</v>
      </c>
      <c r="C3875" t="s">
        <v>17916</v>
      </c>
      <c r="D3875">
        <f t="shared" si="95"/>
        <v>-8787</v>
      </c>
      <c r="E3875" t="s">
        <v>17917</v>
      </c>
      <c r="F3875" t="s">
        <v>14473</v>
      </c>
      <c r="G3875" t="s">
        <v>14474</v>
      </c>
      <c r="H3875">
        <v>-81.554146000000003</v>
      </c>
      <c r="I3875">
        <v>30.18408591</v>
      </c>
      <c r="J3875">
        <v>35</v>
      </c>
      <c r="K3875" t="s">
        <v>1035</v>
      </c>
      <c r="L3875" t="s">
        <v>1035</v>
      </c>
      <c r="M3875" t="s">
        <v>1035</v>
      </c>
      <c r="N3875" t="s">
        <v>1035</v>
      </c>
      <c r="O3875" t="s">
        <v>536</v>
      </c>
      <c r="P3875" t="s">
        <v>536</v>
      </c>
      <c r="Q3875" t="s">
        <v>1492</v>
      </c>
      <c r="R3875" t="s">
        <v>17916</v>
      </c>
      <c r="S3875" t="s">
        <v>17918</v>
      </c>
      <c r="T3875" t="s">
        <v>17724</v>
      </c>
      <c r="U3875" t="s">
        <v>17919</v>
      </c>
    </row>
    <row r="3876" spans="1:21" x14ac:dyDescent="0.25">
      <c r="A3876" t="s">
        <v>17920</v>
      </c>
      <c r="B3876" t="s">
        <v>22</v>
      </c>
      <c r="C3876" t="s">
        <v>17921</v>
      </c>
      <c r="D3876">
        <f t="shared" si="95"/>
        <v>-8787</v>
      </c>
      <c r="E3876" t="s">
        <v>17922</v>
      </c>
      <c r="F3876" t="s">
        <v>14473</v>
      </c>
      <c r="G3876" t="s">
        <v>14474</v>
      </c>
      <c r="H3876">
        <v>-111.8878636</v>
      </c>
      <c r="I3876">
        <v>40.636263800000002</v>
      </c>
      <c r="J3876">
        <v>10</v>
      </c>
      <c r="K3876" t="s">
        <v>717</v>
      </c>
      <c r="L3876" t="s">
        <v>717</v>
      </c>
      <c r="M3876" t="s">
        <v>717</v>
      </c>
      <c r="N3876" t="s">
        <v>717</v>
      </c>
      <c r="O3876" t="s">
        <v>717</v>
      </c>
      <c r="P3876" t="s">
        <v>717</v>
      </c>
      <c r="Q3876" t="s">
        <v>1492</v>
      </c>
      <c r="R3876" t="s">
        <v>17921</v>
      </c>
      <c r="S3876" t="s">
        <v>17923</v>
      </c>
      <c r="T3876" t="s">
        <v>17924</v>
      </c>
      <c r="U3876" t="s">
        <v>17925</v>
      </c>
    </row>
    <row r="3877" spans="1:21" x14ac:dyDescent="0.25">
      <c r="A3877" t="s">
        <v>17926</v>
      </c>
      <c r="B3877" t="s">
        <v>32</v>
      </c>
      <c r="C3877" t="s">
        <v>17927</v>
      </c>
      <c r="D3877">
        <f t="shared" si="95"/>
        <v>-8787</v>
      </c>
      <c r="E3877" t="s">
        <v>17928</v>
      </c>
      <c r="F3877" t="s">
        <v>14473</v>
      </c>
      <c r="G3877" t="s">
        <v>14474</v>
      </c>
      <c r="H3877">
        <v>-80.134097639999993</v>
      </c>
      <c r="I3877">
        <v>25.790844830000001</v>
      </c>
      <c r="J3877">
        <v>35</v>
      </c>
      <c r="K3877" t="s">
        <v>1501</v>
      </c>
      <c r="L3877" t="s">
        <v>1501</v>
      </c>
      <c r="M3877" t="s">
        <v>1501</v>
      </c>
      <c r="N3877" t="s">
        <v>1501</v>
      </c>
      <c r="O3877" t="s">
        <v>1501</v>
      </c>
      <c r="P3877" t="s">
        <v>1501</v>
      </c>
      <c r="Q3877" t="s">
        <v>1501</v>
      </c>
      <c r="R3877" t="s">
        <v>17927</v>
      </c>
      <c r="S3877" t="s">
        <v>17929</v>
      </c>
      <c r="T3877" t="s">
        <v>17724</v>
      </c>
      <c r="U3877" t="s">
        <v>17930</v>
      </c>
    </row>
    <row r="3878" spans="1:21" x14ac:dyDescent="0.25">
      <c r="A3878" t="s">
        <v>17931</v>
      </c>
      <c r="B3878" t="s">
        <v>22</v>
      </c>
      <c r="C3878" t="s">
        <v>17932</v>
      </c>
      <c r="D3878">
        <f t="shared" si="95"/>
        <v>-8787</v>
      </c>
      <c r="E3878" t="s">
        <v>17687</v>
      </c>
      <c r="F3878" t="s">
        <v>14473</v>
      </c>
      <c r="G3878" t="s">
        <v>14474</v>
      </c>
      <c r="H3878">
        <v>-104.952711507628</v>
      </c>
      <c r="I3878">
        <v>39.716360259881398</v>
      </c>
      <c r="J3878">
        <v>10</v>
      </c>
      <c r="K3878" t="s">
        <v>717</v>
      </c>
      <c r="L3878" t="s">
        <v>717</v>
      </c>
      <c r="M3878" t="s">
        <v>717</v>
      </c>
      <c r="N3878" t="s">
        <v>717</v>
      </c>
      <c r="O3878" t="s">
        <v>717</v>
      </c>
      <c r="P3878" t="s">
        <v>717</v>
      </c>
      <c r="Q3878" t="s">
        <v>1492</v>
      </c>
      <c r="R3878" t="s">
        <v>17932</v>
      </c>
      <c r="S3878" t="s">
        <v>17933</v>
      </c>
      <c r="T3878" t="s">
        <v>17689</v>
      </c>
      <c r="U3878" t="s">
        <v>17934</v>
      </c>
    </row>
    <row r="3879" spans="1:21" x14ac:dyDescent="0.25">
      <c r="A3879" t="s">
        <v>17935</v>
      </c>
      <c r="B3879" t="s">
        <v>22</v>
      </c>
      <c r="C3879" t="s">
        <v>17936</v>
      </c>
      <c r="D3879">
        <f t="shared" si="95"/>
        <v>-8787</v>
      </c>
      <c r="E3879" t="s">
        <v>17937</v>
      </c>
      <c r="F3879" t="s">
        <v>14473</v>
      </c>
      <c r="G3879" t="s">
        <v>14474</v>
      </c>
      <c r="H3879">
        <v>-82.521501999999998</v>
      </c>
      <c r="I3879">
        <v>27.96443</v>
      </c>
      <c r="J3879">
        <v>35</v>
      </c>
      <c r="K3879" t="s">
        <v>1035</v>
      </c>
      <c r="L3879" t="s">
        <v>1035</v>
      </c>
      <c r="M3879" t="s">
        <v>1035</v>
      </c>
      <c r="N3879" t="s">
        <v>1035</v>
      </c>
      <c r="O3879" t="s">
        <v>536</v>
      </c>
      <c r="P3879" t="s">
        <v>536</v>
      </c>
      <c r="Q3879" t="s">
        <v>1034</v>
      </c>
      <c r="R3879" t="s">
        <v>17936</v>
      </c>
      <c r="S3879" t="s">
        <v>17938</v>
      </c>
      <c r="T3879" t="s">
        <v>17724</v>
      </c>
      <c r="U3879" t="s">
        <v>17939</v>
      </c>
    </row>
    <row r="3880" spans="1:21" x14ac:dyDescent="0.25">
      <c r="A3880" t="s">
        <v>17940</v>
      </c>
      <c r="B3880" t="s">
        <v>22</v>
      </c>
      <c r="C3880" t="s">
        <v>17941</v>
      </c>
      <c r="D3880">
        <f t="shared" si="95"/>
        <v>-8787</v>
      </c>
      <c r="E3880" t="s">
        <v>17942</v>
      </c>
      <c r="F3880" t="s">
        <v>14473</v>
      </c>
      <c r="G3880" t="s">
        <v>14474</v>
      </c>
      <c r="H3880">
        <v>-96.833279000000005</v>
      </c>
      <c r="I3880">
        <v>33.030374000000002</v>
      </c>
      <c r="J3880">
        <v>20</v>
      </c>
      <c r="K3880" t="s">
        <v>717</v>
      </c>
      <c r="L3880" t="s">
        <v>717</v>
      </c>
      <c r="M3880" t="s">
        <v>717</v>
      </c>
      <c r="N3880" t="s">
        <v>717</v>
      </c>
      <c r="O3880" t="s">
        <v>717</v>
      </c>
      <c r="P3880" t="s">
        <v>717</v>
      </c>
      <c r="Q3880" t="s">
        <v>1492</v>
      </c>
      <c r="R3880" t="s">
        <v>17941</v>
      </c>
      <c r="S3880" t="s">
        <v>17943</v>
      </c>
      <c r="T3880" t="s">
        <v>17781</v>
      </c>
      <c r="U3880" t="s">
        <v>17944</v>
      </c>
    </row>
    <row r="3881" spans="1:21" x14ac:dyDescent="0.25">
      <c r="A3881" t="s">
        <v>17945</v>
      </c>
      <c r="B3881" t="s">
        <v>22</v>
      </c>
      <c r="C3881" t="s">
        <v>17946</v>
      </c>
      <c r="D3881">
        <f t="shared" si="95"/>
        <v>-8787</v>
      </c>
      <c r="E3881" t="s">
        <v>17947</v>
      </c>
      <c r="F3881" t="s">
        <v>14473</v>
      </c>
      <c r="G3881" t="s">
        <v>14474</v>
      </c>
      <c r="H3881">
        <v>-77.055683000000002</v>
      </c>
      <c r="I3881">
        <v>39.036605000000002</v>
      </c>
      <c r="J3881">
        <v>35</v>
      </c>
      <c r="K3881" t="s">
        <v>717</v>
      </c>
      <c r="L3881" t="s">
        <v>717</v>
      </c>
      <c r="M3881" t="s">
        <v>717</v>
      </c>
      <c r="N3881" t="s">
        <v>717</v>
      </c>
      <c r="O3881" t="s">
        <v>45</v>
      </c>
      <c r="P3881" t="s">
        <v>45</v>
      </c>
      <c r="Q3881" t="s">
        <v>717</v>
      </c>
      <c r="R3881" t="s">
        <v>17946</v>
      </c>
      <c r="S3881" t="s">
        <v>17948</v>
      </c>
      <c r="T3881" t="s">
        <v>17286</v>
      </c>
      <c r="U3881" t="s">
        <v>17949</v>
      </c>
    </row>
    <row r="3882" spans="1:21" x14ac:dyDescent="0.25">
      <c r="A3882" t="s">
        <v>17950</v>
      </c>
      <c r="B3882" t="s">
        <v>22</v>
      </c>
      <c r="C3882" t="s">
        <v>17951</v>
      </c>
      <c r="D3882">
        <f t="shared" si="95"/>
        <v>-8787</v>
      </c>
      <c r="E3882" t="s">
        <v>17952</v>
      </c>
      <c r="F3882" t="s">
        <v>14473</v>
      </c>
      <c r="G3882" t="s">
        <v>14474</v>
      </c>
      <c r="H3882">
        <v>-93.172602999999995</v>
      </c>
      <c r="I3882">
        <v>45.013285000000003</v>
      </c>
      <c r="J3882">
        <v>20</v>
      </c>
      <c r="K3882" t="s">
        <v>717</v>
      </c>
      <c r="L3882" t="s">
        <v>717</v>
      </c>
      <c r="M3882" t="s">
        <v>717</v>
      </c>
      <c r="N3882" t="s">
        <v>717</v>
      </c>
      <c r="O3882" t="s">
        <v>717</v>
      </c>
      <c r="P3882" t="s">
        <v>717</v>
      </c>
      <c r="Q3882" t="s">
        <v>1034</v>
      </c>
      <c r="R3882" t="s">
        <v>17951</v>
      </c>
      <c r="S3882" t="s">
        <v>17953</v>
      </c>
      <c r="T3882" t="s">
        <v>17769</v>
      </c>
      <c r="U3882" t="s">
        <v>17954</v>
      </c>
    </row>
    <row r="3883" spans="1:21" x14ac:dyDescent="0.25">
      <c r="A3883" t="s">
        <v>17955</v>
      </c>
      <c r="B3883" t="s">
        <v>22</v>
      </c>
      <c r="C3883" t="s">
        <v>17956</v>
      </c>
      <c r="D3883">
        <f t="shared" si="95"/>
        <v>-8787</v>
      </c>
      <c r="E3883" t="s">
        <v>17957</v>
      </c>
      <c r="F3883" t="s">
        <v>14473</v>
      </c>
      <c r="G3883" t="s">
        <v>14474</v>
      </c>
      <c r="H3883">
        <v>-118.356061</v>
      </c>
      <c r="I3883">
        <v>33.871726000000002</v>
      </c>
      <c r="J3883">
        <v>4</v>
      </c>
      <c r="K3883" t="s">
        <v>717</v>
      </c>
      <c r="L3883" t="s">
        <v>717</v>
      </c>
      <c r="M3883" t="s">
        <v>717</v>
      </c>
      <c r="N3883" t="s">
        <v>717</v>
      </c>
      <c r="O3883" t="s">
        <v>717</v>
      </c>
      <c r="P3883" t="s">
        <v>717</v>
      </c>
      <c r="Q3883" t="s">
        <v>717</v>
      </c>
      <c r="R3883" t="s">
        <v>17956</v>
      </c>
      <c r="S3883" t="s">
        <v>17958</v>
      </c>
      <c r="T3883" t="s">
        <v>17372</v>
      </c>
      <c r="U3883" t="s">
        <v>17959</v>
      </c>
    </row>
    <row r="3884" spans="1:21" x14ac:dyDescent="0.25">
      <c r="A3884" t="s">
        <v>17960</v>
      </c>
      <c r="B3884" t="s">
        <v>22</v>
      </c>
      <c r="C3884" t="s">
        <v>17961</v>
      </c>
      <c r="D3884">
        <f t="shared" si="95"/>
        <v>-8787</v>
      </c>
      <c r="E3884" t="s">
        <v>17962</v>
      </c>
      <c r="F3884" t="s">
        <v>14473</v>
      </c>
      <c r="G3884" t="s">
        <v>14474</v>
      </c>
      <c r="H3884">
        <v>-122.299464126751</v>
      </c>
      <c r="I3884">
        <v>37.535971128341401</v>
      </c>
      <c r="J3884">
        <v>4</v>
      </c>
      <c r="K3884" t="s">
        <v>536</v>
      </c>
      <c r="L3884" t="s">
        <v>536</v>
      </c>
      <c r="M3884" t="s">
        <v>536</v>
      </c>
      <c r="N3884" t="s">
        <v>536</v>
      </c>
      <c r="O3884" t="s">
        <v>536</v>
      </c>
      <c r="P3884" t="s">
        <v>536</v>
      </c>
      <c r="Q3884" t="s">
        <v>717</v>
      </c>
      <c r="R3884" t="s">
        <v>17961</v>
      </c>
      <c r="S3884" t="s">
        <v>17963</v>
      </c>
      <c r="T3884" t="s">
        <v>17372</v>
      </c>
      <c r="U3884" t="s">
        <v>17964</v>
      </c>
    </row>
    <row r="3885" spans="1:21" x14ac:dyDescent="0.25">
      <c r="A3885" t="s">
        <v>17965</v>
      </c>
      <c r="B3885" t="s">
        <v>38</v>
      </c>
      <c r="C3885" t="s">
        <v>17966</v>
      </c>
      <c r="D3885">
        <f t="shared" si="95"/>
        <v>-8787</v>
      </c>
      <c r="E3885" t="s">
        <v>17967</v>
      </c>
      <c r="F3885" t="s">
        <v>14473</v>
      </c>
      <c r="G3885" t="s">
        <v>14474</v>
      </c>
      <c r="H3885">
        <v>-80.300554000000005</v>
      </c>
      <c r="I3885">
        <v>36.068460000000002</v>
      </c>
      <c r="J3885">
        <v>35</v>
      </c>
      <c r="K3885" t="s">
        <v>717</v>
      </c>
      <c r="L3885" t="s">
        <v>717</v>
      </c>
      <c r="M3885" t="s">
        <v>717</v>
      </c>
      <c r="N3885" t="s">
        <v>717</v>
      </c>
      <c r="O3885" t="s">
        <v>717</v>
      </c>
      <c r="P3885" t="s">
        <v>717</v>
      </c>
      <c r="Q3885" t="s">
        <v>1492</v>
      </c>
      <c r="R3885" t="s">
        <v>17966</v>
      </c>
      <c r="S3885" t="s">
        <v>17968</v>
      </c>
      <c r="T3885" t="s">
        <v>17775</v>
      </c>
      <c r="U3885" t="s">
        <v>17969</v>
      </c>
    </row>
    <row r="3886" spans="1:21" x14ac:dyDescent="0.25">
      <c r="A3886" t="s">
        <v>17970</v>
      </c>
      <c r="B3886" t="s">
        <v>38</v>
      </c>
      <c r="C3886" t="s">
        <v>17971</v>
      </c>
      <c r="D3886">
        <f t="shared" si="95"/>
        <v>-8787</v>
      </c>
      <c r="E3886" t="s">
        <v>17972</v>
      </c>
      <c r="F3886" t="s">
        <v>14473</v>
      </c>
      <c r="G3886" t="s">
        <v>14474</v>
      </c>
      <c r="H3886">
        <v>-111.96516080000001</v>
      </c>
      <c r="I3886">
        <v>33.383943799999997</v>
      </c>
      <c r="J3886">
        <v>10</v>
      </c>
      <c r="K3886" t="s">
        <v>717</v>
      </c>
      <c r="L3886" t="s">
        <v>717</v>
      </c>
      <c r="M3886" t="s">
        <v>717</v>
      </c>
      <c r="N3886" t="s">
        <v>717</v>
      </c>
      <c r="O3886" t="s">
        <v>45</v>
      </c>
      <c r="P3886" t="s">
        <v>45</v>
      </c>
      <c r="Q3886" t="s">
        <v>1492</v>
      </c>
      <c r="R3886" t="s">
        <v>17971</v>
      </c>
      <c r="S3886" t="s">
        <v>17973</v>
      </c>
      <c r="T3886" t="s">
        <v>17792</v>
      </c>
      <c r="U3886" t="s">
        <v>17974</v>
      </c>
    </row>
    <row r="3887" spans="1:21" x14ac:dyDescent="0.25">
      <c r="A3887" t="s">
        <v>17975</v>
      </c>
      <c r="B3887" t="s">
        <v>22</v>
      </c>
      <c r="C3887" t="s">
        <v>17976</v>
      </c>
      <c r="D3887">
        <f t="shared" si="95"/>
        <v>-8787</v>
      </c>
      <c r="E3887" t="s">
        <v>17977</v>
      </c>
      <c r="F3887" t="s">
        <v>14473</v>
      </c>
      <c r="G3887" t="s">
        <v>14474</v>
      </c>
      <c r="H3887">
        <v>-117.1532942</v>
      </c>
      <c r="I3887">
        <v>33.525149890000002</v>
      </c>
      <c r="J3887">
        <v>4</v>
      </c>
      <c r="K3887" t="s">
        <v>1035</v>
      </c>
      <c r="L3887" t="s">
        <v>1035</v>
      </c>
      <c r="M3887" t="s">
        <v>1035</v>
      </c>
      <c r="N3887" t="s">
        <v>1035</v>
      </c>
      <c r="O3887" t="s">
        <v>1035</v>
      </c>
      <c r="P3887" t="s">
        <v>1035</v>
      </c>
      <c r="Q3887" t="s">
        <v>717</v>
      </c>
      <c r="R3887" t="s">
        <v>17976</v>
      </c>
      <c r="S3887" t="s">
        <v>17978</v>
      </c>
      <c r="T3887" t="s">
        <v>17372</v>
      </c>
      <c r="U3887" t="s">
        <v>17979</v>
      </c>
    </row>
    <row r="3888" spans="1:21" x14ac:dyDescent="0.25">
      <c r="A3888" t="s">
        <v>17980</v>
      </c>
      <c r="B3888" t="s">
        <v>22</v>
      </c>
      <c r="C3888" t="s">
        <v>17981</v>
      </c>
      <c r="D3888">
        <f t="shared" si="95"/>
        <v>-8787</v>
      </c>
      <c r="E3888" t="s">
        <v>17982</v>
      </c>
      <c r="F3888" t="s">
        <v>14473</v>
      </c>
      <c r="G3888" t="s">
        <v>14474</v>
      </c>
      <c r="H3888">
        <v>-94.592695309999996</v>
      </c>
      <c r="I3888">
        <v>39.042602879999997</v>
      </c>
      <c r="J3888">
        <v>20</v>
      </c>
      <c r="K3888" t="s">
        <v>535</v>
      </c>
      <c r="L3888" t="s">
        <v>535</v>
      </c>
      <c r="M3888" t="s">
        <v>535</v>
      </c>
      <c r="N3888" t="s">
        <v>535</v>
      </c>
      <c r="O3888" t="s">
        <v>535</v>
      </c>
      <c r="P3888" t="s">
        <v>535</v>
      </c>
      <c r="Q3888" t="s">
        <v>1492</v>
      </c>
      <c r="R3888" t="s">
        <v>17981</v>
      </c>
      <c r="S3888" t="s">
        <v>17983</v>
      </c>
      <c r="T3888" t="s">
        <v>17393</v>
      </c>
      <c r="U3888" t="s">
        <v>17984</v>
      </c>
    </row>
    <row r="3889" spans="1:21" x14ac:dyDescent="0.25">
      <c r="A3889" t="s">
        <v>17985</v>
      </c>
      <c r="B3889" t="s">
        <v>22</v>
      </c>
      <c r="C3889" t="s">
        <v>17986</v>
      </c>
      <c r="D3889">
        <f t="shared" si="95"/>
        <v>-8787</v>
      </c>
      <c r="E3889" t="s">
        <v>17987</v>
      </c>
      <c r="F3889" t="s">
        <v>14473</v>
      </c>
      <c r="G3889" t="s">
        <v>14474</v>
      </c>
      <c r="H3889">
        <v>-96.624364569999997</v>
      </c>
      <c r="I3889">
        <v>32.80742248</v>
      </c>
      <c r="J3889">
        <v>20</v>
      </c>
      <c r="K3889" t="s">
        <v>717</v>
      </c>
      <c r="L3889" t="s">
        <v>717</v>
      </c>
      <c r="M3889" t="s">
        <v>717</v>
      </c>
      <c r="N3889" t="s">
        <v>717</v>
      </c>
      <c r="O3889" t="s">
        <v>1035</v>
      </c>
      <c r="P3889" t="s">
        <v>1035</v>
      </c>
      <c r="Q3889" t="s">
        <v>1492</v>
      </c>
      <c r="R3889" t="s">
        <v>17986</v>
      </c>
      <c r="S3889" t="s">
        <v>17988</v>
      </c>
      <c r="T3889" t="s">
        <v>17781</v>
      </c>
      <c r="U3889" t="s">
        <v>17989</v>
      </c>
    </row>
    <row r="3890" spans="1:21" x14ac:dyDescent="0.25">
      <c r="A3890" t="s">
        <v>17990</v>
      </c>
      <c r="B3890" t="s">
        <v>22</v>
      </c>
      <c r="C3890" t="s">
        <v>17991</v>
      </c>
      <c r="D3890">
        <f t="shared" si="95"/>
        <v>-8787</v>
      </c>
      <c r="E3890" t="s">
        <v>17992</v>
      </c>
      <c r="F3890" t="s">
        <v>14473</v>
      </c>
      <c r="G3890" t="s">
        <v>14474</v>
      </c>
      <c r="H3890">
        <v>-121.8956307</v>
      </c>
      <c r="I3890">
        <v>36.584108399999998</v>
      </c>
      <c r="J3890">
        <v>4</v>
      </c>
      <c r="K3890" t="s">
        <v>45</v>
      </c>
      <c r="L3890" t="s">
        <v>45</v>
      </c>
      <c r="M3890" t="s">
        <v>45</v>
      </c>
      <c r="N3890" t="s">
        <v>45</v>
      </c>
      <c r="O3890" t="s">
        <v>45</v>
      </c>
      <c r="P3890" t="s">
        <v>535</v>
      </c>
      <c r="Q3890" t="s">
        <v>564</v>
      </c>
      <c r="R3890" t="s">
        <v>17991</v>
      </c>
      <c r="S3890" t="s">
        <v>17993</v>
      </c>
      <c r="T3890" t="s">
        <v>17372</v>
      </c>
      <c r="U3890" t="s">
        <v>17994</v>
      </c>
    </row>
    <row r="3891" spans="1:21" x14ac:dyDescent="0.25">
      <c r="A3891" t="s">
        <v>17995</v>
      </c>
      <c r="B3891" t="s">
        <v>22</v>
      </c>
      <c r="C3891" t="s">
        <v>17996</v>
      </c>
      <c r="D3891">
        <f t="shared" si="95"/>
        <v>-8787</v>
      </c>
      <c r="E3891" t="s">
        <v>17997</v>
      </c>
      <c r="F3891" t="s">
        <v>14473</v>
      </c>
      <c r="G3891" t="s">
        <v>14474</v>
      </c>
      <c r="H3891">
        <v>-111.89142990000001</v>
      </c>
      <c r="I3891">
        <v>40.768782760000001</v>
      </c>
      <c r="J3891">
        <v>10</v>
      </c>
      <c r="K3891" t="s">
        <v>1035</v>
      </c>
      <c r="L3891" t="s">
        <v>1035</v>
      </c>
      <c r="M3891" t="s">
        <v>1035</v>
      </c>
      <c r="N3891" t="s">
        <v>1035</v>
      </c>
      <c r="O3891" t="s">
        <v>1035</v>
      </c>
      <c r="P3891" t="s">
        <v>1035</v>
      </c>
      <c r="R3891" t="s">
        <v>17996</v>
      </c>
      <c r="S3891" t="s">
        <v>17998</v>
      </c>
      <c r="T3891" t="s">
        <v>17924</v>
      </c>
      <c r="U3891" t="s">
        <v>17999</v>
      </c>
    </row>
    <row r="3892" spans="1:21" x14ac:dyDescent="0.25">
      <c r="A3892" t="s">
        <v>18000</v>
      </c>
      <c r="B3892" t="s">
        <v>22</v>
      </c>
      <c r="C3892" t="s">
        <v>18001</v>
      </c>
      <c r="D3892">
        <f t="shared" si="95"/>
        <v>-8787</v>
      </c>
      <c r="E3892" t="s">
        <v>18002</v>
      </c>
      <c r="F3892" t="s">
        <v>14473</v>
      </c>
      <c r="G3892" t="s">
        <v>14474</v>
      </c>
      <c r="H3892">
        <v>-74.643348739999993</v>
      </c>
      <c r="I3892">
        <v>39.454045319999999</v>
      </c>
      <c r="J3892">
        <v>35</v>
      </c>
      <c r="K3892" t="s">
        <v>717</v>
      </c>
      <c r="L3892" t="s">
        <v>717</v>
      </c>
      <c r="M3892" t="s">
        <v>717</v>
      </c>
      <c r="N3892" t="s">
        <v>717</v>
      </c>
      <c r="O3892" t="s">
        <v>717</v>
      </c>
      <c r="P3892" t="s">
        <v>717</v>
      </c>
      <c r="Q3892" t="s">
        <v>1034</v>
      </c>
      <c r="R3892" t="s">
        <v>18001</v>
      </c>
      <c r="S3892" t="s">
        <v>18003</v>
      </c>
      <c r="T3892" t="s">
        <v>17159</v>
      </c>
      <c r="U3892" t="s">
        <v>18004</v>
      </c>
    </row>
    <row r="3893" spans="1:21" x14ac:dyDescent="0.25">
      <c r="A3893" t="s">
        <v>18005</v>
      </c>
      <c r="B3893" t="s">
        <v>22</v>
      </c>
      <c r="C3893" t="s">
        <v>18006</v>
      </c>
      <c r="D3893">
        <f t="shared" si="95"/>
        <v>-8787</v>
      </c>
      <c r="E3893" t="s">
        <v>17481</v>
      </c>
      <c r="F3893" t="s">
        <v>14473</v>
      </c>
      <c r="G3893" t="s">
        <v>14474</v>
      </c>
      <c r="H3893">
        <v>-82.979849299999998</v>
      </c>
      <c r="I3893">
        <v>40.145780100000003</v>
      </c>
      <c r="J3893">
        <v>35</v>
      </c>
      <c r="K3893" t="s">
        <v>1035</v>
      </c>
      <c r="L3893" t="s">
        <v>1035</v>
      </c>
      <c r="M3893" t="s">
        <v>1035</v>
      </c>
      <c r="N3893" t="s">
        <v>1035</v>
      </c>
      <c r="O3893" t="s">
        <v>1501</v>
      </c>
      <c r="P3893" t="s">
        <v>1501</v>
      </c>
      <c r="Q3893" t="s">
        <v>1492</v>
      </c>
      <c r="R3893" t="s">
        <v>18006</v>
      </c>
      <c r="S3893" t="s">
        <v>18007</v>
      </c>
      <c r="T3893" t="s">
        <v>17419</v>
      </c>
      <c r="U3893" t="s">
        <v>18008</v>
      </c>
    </row>
    <row r="3894" spans="1:21" x14ac:dyDescent="0.25">
      <c r="A3894" t="s">
        <v>18009</v>
      </c>
      <c r="B3894" t="s">
        <v>22</v>
      </c>
      <c r="C3894" t="s">
        <v>18010</v>
      </c>
      <c r="D3894">
        <f t="shared" si="95"/>
        <v>-8787</v>
      </c>
      <c r="E3894" t="s">
        <v>18011</v>
      </c>
      <c r="F3894" t="s">
        <v>14473</v>
      </c>
      <c r="G3894" t="s">
        <v>14474</v>
      </c>
      <c r="H3894">
        <v>-95.148693320000007</v>
      </c>
      <c r="I3894">
        <v>29.541233900000002</v>
      </c>
      <c r="J3894">
        <v>20</v>
      </c>
      <c r="K3894" t="s">
        <v>1035</v>
      </c>
      <c r="L3894" t="s">
        <v>1035</v>
      </c>
      <c r="M3894" t="s">
        <v>1035</v>
      </c>
      <c r="N3894" t="s">
        <v>1035</v>
      </c>
      <c r="O3894" t="s">
        <v>1501</v>
      </c>
      <c r="P3894" t="s">
        <v>1501</v>
      </c>
      <c r="Q3894" t="s">
        <v>1034</v>
      </c>
      <c r="R3894" t="s">
        <v>18010</v>
      </c>
      <c r="S3894" t="s">
        <v>18012</v>
      </c>
      <c r="T3894" t="s">
        <v>17781</v>
      </c>
      <c r="U3894" t="s">
        <v>18013</v>
      </c>
    </row>
    <row r="3895" spans="1:21" x14ac:dyDescent="0.25">
      <c r="A3895" t="s">
        <v>18014</v>
      </c>
      <c r="B3895" t="s">
        <v>22</v>
      </c>
      <c r="C3895" t="s">
        <v>18015</v>
      </c>
      <c r="D3895">
        <f t="shared" si="95"/>
        <v>-8787</v>
      </c>
      <c r="E3895" t="s">
        <v>17811</v>
      </c>
      <c r="F3895" t="s">
        <v>14473</v>
      </c>
      <c r="G3895" t="s">
        <v>14474</v>
      </c>
      <c r="H3895">
        <v>-122.654707</v>
      </c>
      <c r="I3895">
        <v>45.532186000000003</v>
      </c>
      <c r="J3895">
        <v>4</v>
      </c>
      <c r="K3895" t="s">
        <v>1492</v>
      </c>
      <c r="L3895" t="s">
        <v>1492</v>
      </c>
      <c r="M3895" t="s">
        <v>1492</v>
      </c>
      <c r="N3895" t="s">
        <v>1492</v>
      </c>
      <c r="O3895" t="s">
        <v>1492</v>
      </c>
      <c r="P3895" t="s">
        <v>1492</v>
      </c>
      <c r="Q3895" t="s">
        <v>1492</v>
      </c>
      <c r="R3895" t="s">
        <v>18015</v>
      </c>
      <c r="S3895" t="s">
        <v>18016</v>
      </c>
      <c r="T3895" t="s">
        <v>17813</v>
      </c>
      <c r="U3895" t="s">
        <v>18017</v>
      </c>
    </row>
    <row r="3896" spans="1:21" x14ac:dyDescent="0.25">
      <c r="A3896" t="s">
        <v>18018</v>
      </c>
      <c r="B3896" t="s">
        <v>22</v>
      </c>
      <c r="C3896" t="s">
        <v>18019</v>
      </c>
      <c r="D3896">
        <f t="shared" si="95"/>
        <v>-8787</v>
      </c>
      <c r="E3896" t="s">
        <v>18020</v>
      </c>
      <c r="F3896" t="s">
        <v>14473</v>
      </c>
      <c r="G3896" t="s">
        <v>14474</v>
      </c>
      <c r="H3896">
        <v>-82.732378877151802</v>
      </c>
      <c r="I3896">
        <v>27.7934941528137</v>
      </c>
      <c r="J3896">
        <v>35</v>
      </c>
      <c r="K3896" t="s">
        <v>1035</v>
      </c>
      <c r="L3896" t="s">
        <v>1035</v>
      </c>
      <c r="M3896" t="s">
        <v>1035</v>
      </c>
      <c r="N3896" t="s">
        <v>1035</v>
      </c>
      <c r="O3896" t="s">
        <v>536</v>
      </c>
      <c r="P3896" t="s">
        <v>536</v>
      </c>
      <c r="Q3896" t="s">
        <v>717</v>
      </c>
      <c r="R3896" t="s">
        <v>18019</v>
      </c>
      <c r="S3896" t="s">
        <v>18021</v>
      </c>
      <c r="T3896" t="s">
        <v>17724</v>
      </c>
      <c r="U3896" t="s">
        <v>18022</v>
      </c>
    </row>
    <row r="3897" spans="1:21" x14ac:dyDescent="0.25">
      <c r="A3897" t="s">
        <v>18023</v>
      </c>
      <c r="B3897" t="s">
        <v>22</v>
      </c>
      <c r="C3897" t="s">
        <v>17658</v>
      </c>
      <c r="D3897">
        <f t="shared" si="95"/>
        <v>-8787</v>
      </c>
      <c r="E3897" t="s">
        <v>18024</v>
      </c>
      <c r="F3897" t="s">
        <v>14473</v>
      </c>
      <c r="G3897" t="s">
        <v>14474</v>
      </c>
      <c r="H3897">
        <v>-95.538364650000005</v>
      </c>
      <c r="I3897">
        <v>29.960321239999999</v>
      </c>
      <c r="J3897">
        <v>20</v>
      </c>
      <c r="K3897" t="s">
        <v>1035</v>
      </c>
      <c r="L3897" t="s">
        <v>1035</v>
      </c>
      <c r="M3897" t="s">
        <v>1035</v>
      </c>
      <c r="N3897" t="s">
        <v>1035</v>
      </c>
      <c r="O3897" t="s">
        <v>1501</v>
      </c>
      <c r="P3897" t="s">
        <v>1501</v>
      </c>
      <c r="Q3897" t="s">
        <v>717</v>
      </c>
      <c r="R3897" t="s">
        <v>17658</v>
      </c>
      <c r="S3897" t="s">
        <v>18025</v>
      </c>
      <c r="T3897" t="s">
        <v>17781</v>
      </c>
      <c r="U3897" t="s">
        <v>18026</v>
      </c>
    </row>
    <row r="3898" spans="1:21" x14ac:dyDescent="0.25">
      <c r="A3898" t="s">
        <v>18027</v>
      </c>
      <c r="B3898" t="s">
        <v>22</v>
      </c>
      <c r="C3898" t="s">
        <v>18028</v>
      </c>
      <c r="D3898">
        <f t="shared" si="95"/>
        <v>-8787</v>
      </c>
      <c r="E3898" t="s">
        <v>18029</v>
      </c>
      <c r="F3898" t="s">
        <v>14473</v>
      </c>
      <c r="G3898" t="s">
        <v>14474</v>
      </c>
      <c r="H3898">
        <v>-75.391604999999998</v>
      </c>
      <c r="I3898">
        <v>40.089097000000002</v>
      </c>
      <c r="J3898">
        <v>35</v>
      </c>
      <c r="K3898" t="s">
        <v>717</v>
      </c>
      <c r="L3898" t="s">
        <v>717</v>
      </c>
      <c r="M3898" t="s">
        <v>717</v>
      </c>
      <c r="N3898" t="s">
        <v>717</v>
      </c>
      <c r="O3898" t="s">
        <v>717</v>
      </c>
      <c r="P3898" t="s">
        <v>717</v>
      </c>
      <c r="Q3898" t="s">
        <v>1034</v>
      </c>
      <c r="R3898" t="s">
        <v>18028</v>
      </c>
      <c r="S3898" t="s">
        <v>18030</v>
      </c>
      <c r="T3898" t="s">
        <v>17270</v>
      </c>
      <c r="U3898" t="s">
        <v>18031</v>
      </c>
    </row>
    <row r="3899" spans="1:21" x14ac:dyDescent="0.25">
      <c r="A3899" t="s">
        <v>18032</v>
      </c>
      <c r="B3899" t="s">
        <v>22</v>
      </c>
      <c r="C3899" t="s">
        <v>18033</v>
      </c>
      <c r="D3899">
        <f t="shared" si="95"/>
        <v>-8787</v>
      </c>
      <c r="E3899" t="s">
        <v>18034</v>
      </c>
      <c r="F3899" t="s">
        <v>14473</v>
      </c>
      <c r="G3899" t="s">
        <v>14474</v>
      </c>
      <c r="H3899">
        <v>-97.04222</v>
      </c>
      <c r="I3899">
        <v>32.965727000000001</v>
      </c>
      <c r="J3899">
        <v>20</v>
      </c>
      <c r="K3899" t="s">
        <v>1035</v>
      </c>
      <c r="L3899" t="s">
        <v>1035</v>
      </c>
      <c r="M3899" t="s">
        <v>1035</v>
      </c>
      <c r="N3899" t="s">
        <v>1035</v>
      </c>
      <c r="O3899" t="s">
        <v>536</v>
      </c>
      <c r="P3899" t="s">
        <v>536</v>
      </c>
      <c r="Q3899" t="s">
        <v>717</v>
      </c>
      <c r="R3899" t="s">
        <v>18033</v>
      </c>
      <c r="S3899" t="s">
        <v>18035</v>
      </c>
      <c r="T3899" t="s">
        <v>17781</v>
      </c>
      <c r="U3899" t="s">
        <v>18036</v>
      </c>
    </row>
    <row r="3900" spans="1:21" x14ac:dyDescent="0.25">
      <c r="A3900" t="s">
        <v>18037</v>
      </c>
      <c r="B3900" t="s">
        <v>22</v>
      </c>
      <c r="C3900" t="s">
        <v>18038</v>
      </c>
      <c r="D3900">
        <f t="shared" si="95"/>
        <v>-8787</v>
      </c>
      <c r="E3900" t="s">
        <v>18039</v>
      </c>
      <c r="F3900" t="s">
        <v>14473</v>
      </c>
      <c r="G3900" t="s">
        <v>14474</v>
      </c>
      <c r="H3900">
        <v>-74.682030915582004</v>
      </c>
      <c r="I3900">
        <v>40.2902574068722</v>
      </c>
      <c r="J3900">
        <v>35</v>
      </c>
      <c r="K3900" t="s">
        <v>1035</v>
      </c>
      <c r="L3900" t="s">
        <v>1035</v>
      </c>
      <c r="M3900" t="s">
        <v>1035</v>
      </c>
      <c r="N3900" t="s">
        <v>1035</v>
      </c>
      <c r="O3900" t="s">
        <v>536</v>
      </c>
      <c r="P3900" t="s">
        <v>536</v>
      </c>
      <c r="Q3900" t="s">
        <v>1492</v>
      </c>
      <c r="R3900" t="s">
        <v>18038</v>
      </c>
      <c r="S3900" t="s">
        <v>18040</v>
      </c>
      <c r="T3900" t="s">
        <v>17159</v>
      </c>
      <c r="U3900" t="s">
        <v>18041</v>
      </c>
    </row>
    <row r="3901" spans="1:21" x14ac:dyDescent="0.25">
      <c r="A3901" t="s">
        <v>18042</v>
      </c>
      <c r="B3901" t="s">
        <v>22</v>
      </c>
      <c r="C3901" t="s">
        <v>18043</v>
      </c>
      <c r="D3901">
        <f t="shared" si="95"/>
        <v>-8787</v>
      </c>
      <c r="E3901" t="s">
        <v>18044</v>
      </c>
      <c r="F3901" t="s">
        <v>14473</v>
      </c>
      <c r="G3901" t="s">
        <v>14474</v>
      </c>
      <c r="H3901">
        <v>-115.0428227</v>
      </c>
      <c r="I3901">
        <v>36.067117969999998</v>
      </c>
      <c r="J3901">
        <v>4</v>
      </c>
      <c r="K3901" t="s">
        <v>717</v>
      </c>
      <c r="L3901" t="s">
        <v>717</v>
      </c>
      <c r="M3901" t="s">
        <v>717</v>
      </c>
      <c r="N3901" t="s">
        <v>717</v>
      </c>
      <c r="O3901" t="s">
        <v>1035</v>
      </c>
      <c r="P3901" t="s">
        <v>1035</v>
      </c>
      <c r="Q3901" t="s">
        <v>1492</v>
      </c>
      <c r="R3901" t="s">
        <v>18043</v>
      </c>
      <c r="S3901" t="s">
        <v>18045</v>
      </c>
      <c r="T3901" t="s">
        <v>17562</v>
      </c>
      <c r="U3901" t="s">
        <v>18046</v>
      </c>
    </row>
    <row r="3902" spans="1:21" x14ac:dyDescent="0.25">
      <c r="A3902" t="s">
        <v>18047</v>
      </c>
      <c r="B3902" t="s">
        <v>38</v>
      </c>
      <c r="C3902" t="s">
        <v>18048</v>
      </c>
      <c r="D3902">
        <f t="shared" si="95"/>
        <v>-8787</v>
      </c>
      <c r="E3902" t="s">
        <v>17937</v>
      </c>
      <c r="F3902" t="s">
        <v>14473</v>
      </c>
      <c r="G3902" t="s">
        <v>14474</v>
      </c>
      <c r="H3902">
        <v>-82.528448999999995</v>
      </c>
      <c r="I3902">
        <v>27.946453999999999</v>
      </c>
      <c r="J3902">
        <v>35</v>
      </c>
      <c r="K3902" t="s">
        <v>717</v>
      </c>
      <c r="L3902" t="s">
        <v>717</v>
      </c>
      <c r="M3902" t="s">
        <v>717</v>
      </c>
      <c r="N3902" t="s">
        <v>717</v>
      </c>
      <c r="O3902" t="s">
        <v>45</v>
      </c>
      <c r="P3902" t="s">
        <v>45</v>
      </c>
      <c r="Q3902" t="s">
        <v>1492</v>
      </c>
      <c r="R3902" t="s">
        <v>18048</v>
      </c>
      <c r="S3902" t="s">
        <v>18049</v>
      </c>
      <c r="T3902" t="s">
        <v>17724</v>
      </c>
      <c r="U3902" t="s">
        <v>18050</v>
      </c>
    </row>
    <row r="3903" spans="1:21" x14ac:dyDescent="0.25">
      <c r="A3903" t="s">
        <v>18051</v>
      </c>
      <c r="B3903" t="s">
        <v>22</v>
      </c>
      <c r="C3903" t="s">
        <v>18052</v>
      </c>
      <c r="D3903">
        <f t="shared" si="95"/>
        <v>-8787</v>
      </c>
      <c r="E3903" t="s">
        <v>18053</v>
      </c>
      <c r="F3903" t="s">
        <v>14473</v>
      </c>
      <c r="G3903" t="s">
        <v>14474</v>
      </c>
      <c r="H3903">
        <v>-72.719717799999998</v>
      </c>
      <c r="I3903">
        <v>40.921447999999998</v>
      </c>
      <c r="J3903">
        <v>35</v>
      </c>
      <c r="K3903" t="s">
        <v>45</v>
      </c>
      <c r="L3903" t="s">
        <v>45</v>
      </c>
      <c r="M3903" t="s">
        <v>45</v>
      </c>
      <c r="N3903" t="s">
        <v>45</v>
      </c>
      <c r="O3903" t="s">
        <v>45</v>
      </c>
      <c r="P3903" t="s">
        <v>536</v>
      </c>
      <c r="Q3903" t="s">
        <v>45</v>
      </c>
      <c r="R3903" t="s">
        <v>18052</v>
      </c>
      <c r="S3903" t="s">
        <v>18054</v>
      </c>
      <c r="T3903" t="s">
        <v>17165</v>
      </c>
      <c r="U3903" t="s">
        <v>18055</v>
      </c>
    </row>
    <row r="3904" spans="1:21" x14ac:dyDescent="0.25">
      <c r="A3904" t="s">
        <v>18056</v>
      </c>
      <c r="B3904" t="s">
        <v>22</v>
      </c>
      <c r="C3904" t="s">
        <v>18057</v>
      </c>
      <c r="D3904">
        <f t="shared" si="95"/>
        <v>-8787</v>
      </c>
      <c r="E3904" t="s">
        <v>17165</v>
      </c>
      <c r="F3904" t="s">
        <v>14473</v>
      </c>
      <c r="G3904" t="s">
        <v>14474</v>
      </c>
      <c r="H3904">
        <v>-73.788968899999901</v>
      </c>
      <c r="I3904">
        <v>40.702677000000001</v>
      </c>
      <c r="J3904">
        <v>35</v>
      </c>
      <c r="K3904" t="s">
        <v>717</v>
      </c>
      <c r="L3904" t="s">
        <v>717</v>
      </c>
      <c r="M3904" t="s">
        <v>717</v>
      </c>
      <c r="N3904" t="s">
        <v>717</v>
      </c>
      <c r="O3904" t="s">
        <v>717</v>
      </c>
      <c r="P3904" t="s">
        <v>717</v>
      </c>
      <c r="Q3904" t="s">
        <v>717</v>
      </c>
      <c r="R3904" t="s">
        <v>18057</v>
      </c>
      <c r="S3904" t="s">
        <v>18058</v>
      </c>
      <c r="T3904" t="s">
        <v>17165</v>
      </c>
      <c r="U3904" t="s">
        <v>18059</v>
      </c>
    </row>
    <row r="3905" spans="1:21" x14ac:dyDescent="0.25">
      <c r="A3905" t="s">
        <v>18060</v>
      </c>
      <c r="B3905" t="s">
        <v>22</v>
      </c>
      <c r="C3905" t="s">
        <v>18061</v>
      </c>
      <c r="D3905">
        <f t="shared" si="95"/>
        <v>-8787</v>
      </c>
      <c r="E3905" t="s">
        <v>18062</v>
      </c>
      <c r="F3905" t="s">
        <v>14473</v>
      </c>
      <c r="G3905" t="s">
        <v>14474</v>
      </c>
      <c r="H3905">
        <v>-86.673184000000006</v>
      </c>
      <c r="I3905">
        <v>34.717461999999998</v>
      </c>
      <c r="J3905">
        <v>20</v>
      </c>
      <c r="K3905" t="s">
        <v>45</v>
      </c>
      <c r="L3905" t="s">
        <v>45</v>
      </c>
      <c r="M3905" t="s">
        <v>45</v>
      </c>
      <c r="N3905" t="s">
        <v>45</v>
      </c>
      <c r="O3905" t="s">
        <v>45</v>
      </c>
      <c r="P3905" t="s">
        <v>45</v>
      </c>
      <c r="Q3905" t="s">
        <v>1492</v>
      </c>
      <c r="R3905" t="s">
        <v>18061</v>
      </c>
      <c r="S3905" t="s">
        <v>18063</v>
      </c>
      <c r="T3905" t="s">
        <v>18064</v>
      </c>
      <c r="U3905" t="s">
        <v>18065</v>
      </c>
    </row>
    <row r="3906" spans="1:21" x14ac:dyDescent="0.25">
      <c r="A3906" t="s">
        <v>18066</v>
      </c>
      <c r="B3906" t="s">
        <v>22</v>
      </c>
      <c r="C3906" t="s">
        <v>18067</v>
      </c>
      <c r="D3906">
        <f t="shared" si="95"/>
        <v>-8787</v>
      </c>
      <c r="E3906" t="s">
        <v>18068</v>
      </c>
      <c r="F3906" t="s">
        <v>14473</v>
      </c>
      <c r="G3906" t="s">
        <v>14474</v>
      </c>
      <c r="H3906">
        <v>-86.850727000000006</v>
      </c>
      <c r="I3906">
        <v>40.391635999999998</v>
      </c>
      <c r="J3906">
        <v>35</v>
      </c>
      <c r="K3906" t="s">
        <v>717</v>
      </c>
      <c r="L3906" t="s">
        <v>717</v>
      </c>
      <c r="M3906" t="s">
        <v>717</v>
      </c>
      <c r="N3906" t="s">
        <v>717</v>
      </c>
      <c r="O3906" t="s">
        <v>717</v>
      </c>
      <c r="P3906" t="s">
        <v>717</v>
      </c>
      <c r="Q3906" t="s">
        <v>1492</v>
      </c>
      <c r="R3906" t="s">
        <v>18067</v>
      </c>
      <c r="S3906" t="s">
        <v>18069</v>
      </c>
      <c r="T3906" t="s">
        <v>17366</v>
      </c>
      <c r="U3906" t="s">
        <v>18070</v>
      </c>
    </row>
    <row r="3907" spans="1:21" x14ac:dyDescent="0.25">
      <c r="A3907" t="s">
        <v>18071</v>
      </c>
      <c r="B3907" t="s">
        <v>22</v>
      </c>
      <c r="C3907" t="s">
        <v>18072</v>
      </c>
      <c r="D3907">
        <f t="shared" si="95"/>
        <v>-8787</v>
      </c>
      <c r="E3907" t="s">
        <v>18073</v>
      </c>
      <c r="F3907" t="s">
        <v>14473</v>
      </c>
      <c r="G3907" t="s">
        <v>14474</v>
      </c>
      <c r="H3907">
        <v>-111.897960192357</v>
      </c>
      <c r="I3907">
        <v>33.301513290511402</v>
      </c>
      <c r="J3907">
        <v>10</v>
      </c>
      <c r="K3907" t="s">
        <v>536</v>
      </c>
      <c r="L3907" t="s">
        <v>536</v>
      </c>
      <c r="M3907" t="s">
        <v>536</v>
      </c>
      <c r="N3907" t="s">
        <v>536</v>
      </c>
      <c r="O3907" t="s">
        <v>536</v>
      </c>
      <c r="P3907" t="s">
        <v>536</v>
      </c>
      <c r="Q3907" t="s">
        <v>1034</v>
      </c>
      <c r="R3907" t="s">
        <v>18072</v>
      </c>
      <c r="S3907" t="s">
        <v>18074</v>
      </c>
      <c r="T3907" t="s">
        <v>17792</v>
      </c>
      <c r="U3907" t="s">
        <v>18075</v>
      </c>
    </row>
    <row r="3908" spans="1:21" x14ac:dyDescent="0.25">
      <c r="A3908" t="s">
        <v>18076</v>
      </c>
      <c r="B3908" t="s">
        <v>32</v>
      </c>
      <c r="C3908" t="s">
        <v>18077</v>
      </c>
      <c r="D3908">
        <f t="shared" si="95"/>
        <v>-8787</v>
      </c>
      <c r="E3908" t="s">
        <v>18078</v>
      </c>
      <c r="F3908" t="s">
        <v>14473</v>
      </c>
      <c r="G3908" t="s">
        <v>14474</v>
      </c>
      <c r="H3908">
        <v>-80.141451720000006</v>
      </c>
      <c r="I3908">
        <v>25.955436349999999</v>
      </c>
      <c r="J3908">
        <v>35</v>
      </c>
      <c r="K3908" t="s">
        <v>1501</v>
      </c>
      <c r="L3908" t="s">
        <v>1501</v>
      </c>
      <c r="M3908" t="s">
        <v>1501</v>
      </c>
      <c r="N3908" t="s">
        <v>1501</v>
      </c>
      <c r="O3908" t="s">
        <v>1501</v>
      </c>
      <c r="P3908" t="s">
        <v>1501</v>
      </c>
      <c r="Q3908" t="s">
        <v>1011</v>
      </c>
      <c r="R3908" t="s">
        <v>18077</v>
      </c>
      <c r="S3908" t="s">
        <v>18079</v>
      </c>
      <c r="T3908" t="s">
        <v>17724</v>
      </c>
      <c r="U3908" t="s">
        <v>18080</v>
      </c>
    </row>
    <row r="3909" spans="1:21" x14ac:dyDescent="0.25">
      <c r="A3909" t="s">
        <v>18081</v>
      </c>
      <c r="B3909" t="s">
        <v>38</v>
      </c>
      <c r="C3909" t="s">
        <v>18082</v>
      </c>
      <c r="D3909">
        <f t="shared" si="95"/>
        <v>-8787</v>
      </c>
      <c r="E3909" t="s">
        <v>18083</v>
      </c>
      <c r="F3909" t="s">
        <v>14473</v>
      </c>
      <c r="G3909" t="s">
        <v>14474</v>
      </c>
      <c r="H3909">
        <v>-84.746554360000005</v>
      </c>
      <c r="I3909">
        <v>33.728018149999997</v>
      </c>
      <c r="J3909">
        <v>35</v>
      </c>
      <c r="K3909" t="s">
        <v>717</v>
      </c>
      <c r="L3909" t="s">
        <v>717</v>
      </c>
      <c r="M3909" t="s">
        <v>717</v>
      </c>
      <c r="N3909" t="s">
        <v>717</v>
      </c>
      <c r="O3909" t="s">
        <v>717</v>
      </c>
      <c r="P3909" t="s">
        <v>717</v>
      </c>
      <c r="Q3909" t="s">
        <v>1492</v>
      </c>
      <c r="R3909" t="s">
        <v>18082</v>
      </c>
      <c r="S3909" t="s">
        <v>18084</v>
      </c>
      <c r="T3909" t="s">
        <v>9074</v>
      </c>
      <c r="U3909" t="s">
        <v>18085</v>
      </c>
    </row>
    <row r="3910" spans="1:21" x14ac:dyDescent="0.25">
      <c r="A3910" t="s">
        <v>18086</v>
      </c>
      <c r="B3910" t="s">
        <v>22</v>
      </c>
      <c r="C3910" t="s">
        <v>18087</v>
      </c>
      <c r="D3910">
        <f t="shared" si="95"/>
        <v>-8787</v>
      </c>
      <c r="E3910" t="s">
        <v>18087</v>
      </c>
      <c r="F3910" t="s">
        <v>14473</v>
      </c>
      <c r="G3910" t="s">
        <v>14474</v>
      </c>
      <c r="H3910">
        <v>-77.025372160000003</v>
      </c>
      <c r="I3910">
        <v>38.996437180000001</v>
      </c>
      <c r="J3910">
        <v>35</v>
      </c>
      <c r="K3910" t="s">
        <v>45</v>
      </c>
      <c r="L3910" t="s">
        <v>45</v>
      </c>
      <c r="M3910" t="s">
        <v>45</v>
      </c>
      <c r="N3910" t="s">
        <v>45</v>
      </c>
      <c r="O3910" t="s">
        <v>536</v>
      </c>
      <c r="P3910" t="s">
        <v>536</v>
      </c>
      <c r="Q3910" t="s">
        <v>717</v>
      </c>
      <c r="R3910" t="s">
        <v>18087</v>
      </c>
      <c r="S3910" t="s">
        <v>18088</v>
      </c>
      <c r="T3910" t="s">
        <v>17286</v>
      </c>
      <c r="U3910" t="s">
        <v>18089</v>
      </c>
    </row>
    <row r="3911" spans="1:21" x14ac:dyDescent="0.25">
      <c r="A3911" t="s">
        <v>18090</v>
      </c>
      <c r="B3911" t="s">
        <v>32</v>
      </c>
      <c r="C3911" t="s">
        <v>18091</v>
      </c>
      <c r="D3911">
        <f t="shared" si="95"/>
        <v>-8787</v>
      </c>
      <c r="E3911" t="s">
        <v>17274</v>
      </c>
      <c r="F3911" t="s">
        <v>14473</v>
      </c>
      <c r="G3911" t="s">
        <v>14474</v>
      </c>
      <c r="H3911">
        <v>-73.983493999999993</v>
      </c>
      <c r="I3911">
        <v>40.768675000000002</v>
      </c>
      <c r="J3911">
        <v>35</v>
      </c>
      <c r="K3911" t="s">
        <v>536</v>
      </c>
      <c r="L3911" t="s">
        <v>536</v>
      </c>
      <c r="M3911" t="s">
        <v>536</v>
      </c>
      <c r="N3911" t="s">
        <v>536</v>
      </c>
      <c r="O3911" t="s">
        <v>536</v>
      </c>
      <c r="P3911" t="s">
        <v>536</v>
      </c>
      <c r="Q3911" t="s">
        <v>717</v>
      </c>
      <c r="R3911" t="s">
        <v>18091</v>
      </c>
      <c r="S3911" t="s">
        <v>18092</v>
      </c>
      <c r="T3911" t="s">
        <v>17165</v>
      </c>
      <c r="U3911" t="s">
        <v>18093</v>
      </c>
    </row>
    <row r="3912" spans="1:21" x14ac:dyDescent="0.25">
      <c r="A3912" t="s">
        <v>18094</v>
      </c>
      <c r="B3912" t="s">
        <v>22</v>
      </c>
      <c r="C3912" t="s">
        <v>18095</v>
      </c>
      <c r="D3912">
        <f t="shared" si="95"/>
        <v>-8787</v>
      </c>
      <c r="E3912" t="s">
        <v>18096</v>
      </c>
      <c r="F3912" t="s">
        <v>14473</v>
      </c>
      <c r="G3912" t="s">
        <v>14474</v>
      </c>
      <c r="H3912">
        <v>-97.72628546</v>
      </c>
      <c r="I3912">
        <v>30.40060093</v>
      </c>
      <c r="J3912">
        <v>20</v>
      </c>
      <c r="K3912" t="s">
        <v>1035</v>
      </c>
      <c r="L3912" t="s">
        <v>1035</v>
      </c>
      <c r="M3912" t="s">
        <v>1035</v>
      </c>
      <c r="N3912" t="s">
        <v>1035</v>
      </c>
      <c r="O3912" t="s">
        <v>536</v>
      </c>
      <c r="P3912" t="s">
        <v>536</v>
      </c>
      <c r="Q3912" t="s">
        <v>1492</v>
      </c>
      <c r="R3912" t="s">
        <v>18095</v>
      </c>
      <c r="S3912" t="s">
        <v>18097</v>
      </c>
      <c r="T3912" t="s">
        <v>17781</v>
      </c>
      <c r="U3912" t="s">
        <v>18098</v>
      </c>
    </row>
    <row r="3913" spans="1:21" x14ac:dyDescent="0.25">
      <c r="A3913" t="s">
        <v>18099</v>
      </c>
      <c r="B3913" t="s">
        <v>22</v>
      </c>
      <c r="C3913" t="s">
        <v>18100</v>
      </c>
      <c r="D3913">
        <f t="shared" si="95"/>
        <v>-8787</v>
      </c>
      <c r="E3913" t="s">
        <v>18101</v>
      </c>
      <c r="F3913" t="s">
        <v>14473</v>
      </c>
      <c r="G3913" t="s">
        <v>14474</v>
      </c>
      <c r="H3913">
        <v>-122.27308185899901</v>
      </c>
      <c r="I3913">
        <v>47.829896969554298</v>
      </c>
      <c r="J3913">
        <v>4</v>
      </c>
      <c r="K3913" t="s">
        <v>1035</v>
      </c>
      <c r="L3913" t="s">
        <v>1035</v>
      </c>
      <c r="M3913" t="s">
        <v>1035</v>
      </c>
      <c r="N3913" t="s">
        <v>1035</v>
      </c>
      <c r="O3913" t="s">
        <v>1035</v>
      </c>
      <c r="P3913" t="s">
        <v>1035</v>
      </c>
      <c r="Q3913" t="s">
        <v>717</v>
      </c>
      <c r="R3913" t="s">
        <v>18100</v>
      </c>
      <c r="S3913" t="s">
        <v>18102</v>
      </c>
      <c r="T3913" t="s">
        <v>17620</v>
      </c>
      <c r="U3913" t="s">
        <v>18103</v>
      </c>
    </row>
    <row r="3914" spans="1:21" x14ac:dyDescent="0.25">
      <c r="A3914" t="s">
        <v>18104</v>
      </c>
      <c r="B3914" t="s">
        <v>38</v>
      </c>
      <c r="C3914" t="s">
        <v>18105</v>
      </c>
      <c r="D3914">
        <f t="shared" ref="D3914:D3977" si="96">1-855-466-7467</f>
        <v>-8787</v>
      </c>
      <c r="E3914" t="s">
        <v>18106</v>
      </c>
      <c r="F3914" t="s">
        <v>14473</v>
      </c>
      <c r="G3914" t="s">
        <v>14474</v>
      </c>
      <c r="H3914">
        <v>-88.976488000000003</v>
      </c>
      <c r="I3914">
        <v>42.246051999999999</v>
      </c>
      <c r="J3914">
        <v>20</v>
      </c>
      <c r="K3914" t="s">
        <v>45</v>
      </c>
      <c r="L3914" t="s">
        <v>45</v>
      </c>
      <c r="M3914" t="s">
        <v>45</v>
      </c>
      <c r="N3914" t="s">
        <v>45</v>
      </c>
      <c r="O3914" t="s">
        <v>45</v>
      </c>
      <c r="P3914" t="s">
        <v>45</v>
      </c>
      <c r="Q3914" t="s">
        <v>1492</v>
      </c>
      <c r="R3914" t="s">
        <v>18105</v>
      </c>
      <c r="S3914" t="s">
        <v>18107</v>
      </c>
      <c r="T3914" t="s">
        <v>17313</v>
      </c>
      <c r="U3914" t="s">
        <v>18108</v>
      </c>
    </row>
    <row r="3915" spans="1:21" x14ac:dyDescent="0.25">
      <c r="A3915" t="s">
        <v>18109</v>
      </c>
      <c r="B3915" t="s">
        <v>22</v>
      </c>
      <c r="C3915" t="s">
        <v>1225</v>
      </c>
      <c r="D3915">
        <f t="shared" si="96"/>
        <v>-8787</v>
      </c>
      <c r="E3915" t="s">
        <v>18110</v>
      </c>
      <c r="F3915" t="s">
        <v>14473</v>
      </c>
      <c r="G3915" t="s">
        <v>14474</v>
      </c>
      <c r="H3915">
        <v>-89.703446920000005</v>
      </c>
      <c r="I3915">
        <v>39.766747899999999</v>
      </c>
      <c r="J3915">
        <v>20</v>
      </c>
      <c r="K3915" t="s">
        <v>717</v>
      </c>
      <c r="L3915" t="s">
        <v>717</v>
      </c>
      <c r="M3915" t="s">
        <v>717</v>
      </c>
      <c r="N3915" t="s">
        <v>717</v>
      </c>
      <c r="O3915" t="s">
        <v>717</v>
      </c>
      <c r="P3915" t="s">
        <v>717</v>
      </c>
      <c r="Q3915" t="s">
        <v>1034</v>
      </c>
      <c r="R3915" t="s">
        <v>1225</v>
      </c>
      <c r="S3915" t="s">
        <v>18111</v>
      </c>
      <c r="T3915" t="s">
        <v>17313</v>
      </c>
      <c r="U3915" t="s">
        <v>18112</v>
      </c>
    </row>
    <row r="3916" spans="1:21" x14ac:dyDescent="0.25">
      <c r="A3916" t="s">
        <v>18113</v>
      </c>
      <c r="B3916" t="s">
        <v>22</v>
      </c>
      <c r="C3916" t="s">
        <v>18114</v>
      </c>
      <c r="D3916">
        <f t="shared" si="96"/>
        <v>-8787</v>
      </c>
      <c r="E3916" t="s">
        <v>18115</v>
      </c>
      <c r="F3916" t="s">
        <v>14473</v>
      </c>
      <c r="G3916" t="s">
        <v>14474</v>
      </c>
      <c r="H3916">
        <v>-82.079736519999997</v>
      </c>
      <c r="I3916">
        <v>33.464438110000003</v>
      </c>
      <c r="J3916">
        <v>35</v>
      </c>
      <c r="K3916" t="s">
        <v>717</v>
      </c>
      <c r="L3916" t="s">
        <v>717</v>
      </c>
      <c r="M3916" t="s">
        <v>717</v>
      </c>
      <c r="N3916" t="s">
        <v>717</v>
      </c>
      <c r="O3916" t="s">
        <v>717</v>
      </c>
      <c r="P3916" t="s">
        <v>717</v>
      </c>
      <c r="Q3916" t="s">
        <v>1492</v>
      </c>
      <c r="R3916" t="s">
        <v>18114</v>
      </c>
      <c r="S3916" t="s">
        <v>18116</v>
      </c>
      <c r="T3916" t="s">
        <v>9074</v>
      </c>
      <c r="U3916" t="s">
        <v>18117</v>
      </c>
    </row>
    <row r="3917" spans="1:21" x14ac:dyDescent="0.25">
      <c r="A3917" t="s">
        <v>18118</v>
      </c>
      <c r="B3917" t="s">
        <v>22</v>
      </c>
      <c r="C3917" t="s">
        <v>18119</v>
      </c>
      <c r="D3917">
        <f t="shared" si="96"/>
        <v>-8787</v>
      </c>
      <c r="E3917" t="s">
        <v>18120</v>
      </c>
      <c r="F3917" t="s">
        <v>14473</v>
      </c>
      <c r="G3917" t="s">
        <v>14474</v>
      </c>
      <c r="H3917">
        <v>-117.20824140000001</v>
      </c>
      <c r="I3917">
        <v>47.673929350000002</v>
      </c>
      <c r="J3917">
        <v>4</v>
      </c>
      <c r="K3917" t="s">
        <v>1035</v>
      </c>
      <c r="L3917" t="s">
        <v>1035</v>
      </c>
      <c r="M3917" t="s">
        <v>1035</v>
      </c>
      <c r="N3917" t="s">
        <v>1035</v>
      </c>
      <c r="O3917" t="s">
        <v>1035</v>
      </c>
      <c r="P3917" t="s">
        <v>1035</v>
      </c>
      <c r="Q3917" t="s">
        <v>1034</v>
      </c>
      <c r="R3917" t="s">
        <v>18119</v>
      </c>
      <c r="S3917" t="s">
        <v>18121</v>
      </c>
      <c r="T3917" t="s">
        <v>17620</v>
      </c>
      <c r="U3917" t="s">
        <v>18122</v>
      </c>
    </row>
    <row r="3918" spans="1:21" x14ac:dyDescent="0.25">
      <c r="A3918" t="s">
        <v>18123</v>
      </c>
      <c r="B3918" t="s">
        <v>22</v>
      </c>
      <c r="C3918" t="s">
        <v>18124</v>
      </c>
      <c r="D3918">
        <f t="shared" si="96"/>
        <v>-8787</v>
      </c>
      <c r="E3918" t="s">
        <v>18125</v>
      </c>
      <c r="F3918" t="s">
        <v>14473</v>
      </c>
      <c r="G3918" t="s">
        <v>14474</v>
      </c>
      <c r="H3918">
        <v>-81.797369000000003</v>
      </c>
      <c r="I3918">
        <v>26.169557999999999</v>
      </c>
      <c r="J3918">
        <v>35</v>
      </c>
      <c r="K3918" t="s">
        <v>717</v>
      </c>
      <c r="L3918" t="s">
        <v>717</v>
      </c>
      <c r="M3918" t="s">
        <v>717</v>
      </c>
      <c r="N3918" t="s">
        <v>717</v>
      </c>
      <c r="O3918" t="s">
        <v>717</v>
      </c>
      <c r="P3918" t="s">
        <v>717</v>
      </c>
      <c r="Q3918" t="s">
        <v>717</v>
      </c>
      <c r="R3918" t="s">
        <v>18124</v>
      </c>
      <c r="S3918" t="s">
        <v>18126</v>
      </c>
      <c r="T3918" t="s">
        <v>17724</v>
      </c>
      <c r="U3918" t="s">
        <v>18127</v>
      </c>
    </row>
    <row r="3919" spans="1:21" x14ac:dyDescent="0.25">
      <c r="A3919" t="s">
        <v>18128</v>
      </c>
      <c r="B3919" t="s">
        <v>22</v>
      </c>
      <c r="C3919" t="s">
        <v>8683</v>
      </c>
      <c r="D3919">
        <f t="shared" si="96"/>
        <v>-8787</v>
      </c>
      <c r="E3919" t="s">
        <v>6166</v>
      </c>
      <c r="F3919" t="s">
        <v>14473</v>
      </c>
      <c r="G3919" t="s">
        <v>14474</v>
      </c>
      <c r="H3919">
        <v>-77.04651278</v>
      </c>
      <c r="I3919">
        <v>38.80476264</v>
      </c>
      <c r="J3919">
        <v>35</v>
      </c>
      <c r="K3919" t="s">
        <v>717</v>
      </c>
      <c r="L3919" t="s">
        <v>717</v>
      </c>
      <c r="M3919" t="s">
        <v>717</v>
      </c>
      <c r="N3919" t="s">
        <v>717</v>
      </c>
      <c r="O3919" t="s">
        <v>717</v>
      </c>
      <c r="P3919" t="s">
        <v>717</v>
      </c>
      <c r="Q3919" t="s">
        <v>1492</v>
      </c>
      <c r="R3919" t="s">
        <v>8683</v>
      </c>
      <c r="S3919" t="s">
        <v>18129</v>
      </c>
      <c r="T3919" t="s">
        <v>17202</v>
      </c>
      <c r="U3919" t="s">
        <v>18130</v>
      </c>
    </row>
    <row r="3920" spans="1:21" x14ac:dyDescent="0.25">
      <c r="A3920" t="s">
        <v>18131</v>
      </c>
      <c r="B3920" t="s">
        <v>22</v>
      </c>
      <c r="C3920" t="s">
        <v>18132</v>
      </c>
      <c r="D3920">
        <f t="shared" si="96"/>
        <v>-8787</v>
      </c>
      <c r="E3920" t="s">
        <v>17555</v>
      </c>
      <c r="F3920" t="s">
        <v>14473</v>
      </c>
      <c r="G3920" t="s">
        <v>14474</v>
      </c>
      <c r="H3920">
        <v>-111.9061748</v>
      </c>
      <c r="I3920">
        <v>40.984046749999997</v>
      </c>
      <c r="J3920">
        <v>10</v>
      </c>
      <c r="K3920" t="s">
        <v>536</v>
      </c>
      <c r="L3920" t="s">
        <v>536</v>
      </c>
      <c r="M3920" t="s">
        <v>536</v>
      </c>
      <c r="N3920" t="s">
        <v>536</v>
      </c>
      <c r="O3920" t="s">
        <v>536</v>
      </c>
      <c r="P3920" t="s">
        <v>536</v>
      </c>
      <c r="Q3920" t="s">
        <v>1492</v>
      </c>
      <c r="R3920" t="s">
        <v>18132</v>
      </c>
      <c r="S3920" t="s">
        <v>18133</v>
      </c>
      <c r="T3920" t="s">
        <v>17924</v>
      </c>
      <c r="U3920" t="s">
        <v>18134</v>
      </c>
    </row>
    <row r="3921" spans="1:21" x14ac:dyDescent="0.25">
      <c r="A3921" t="s">
        <v>18135</v>
      </c>
      <c r="B3921" t="s">
        <v>22</v>
      </c>
      <c r="C3921" t="s">
        <v>18136</v>
      </c>
      <c r="D3921">
        <f t="shared" si="96"/>
        <v>-8787</v>
      </c>
      <c r="E3921" t="s">
        <v>18137</v>
      </c>
      <c r="F3921" t="s">
        <v>14473</v>
      </c>
      <c r="G3921" t="s">
        <v>14474</v>
      </c>
      <c r="H3921">
        <v>-112.2674571</v>
      </c>
      <c r="I3921">
        <v>33.535774009999997</v>
      </c>
      <c r="J3921">
        <v>10</v>
      </c>
      <c r="K3921" t="s">
        <v>45</v>
      </c>
      <c r="L3921" t="s">
        <v>45</v>
      </c>
      <c r="M3921" t="s">
        <v>45</v>
      </c>
      <c r="N3921" t="s">
        <v>535</v>
      </c>
      <c r="O3921" t="s">
        <v>536</v>
      </c>
      <c r="P3921" t="s">
        <v>535</v>
      </c>
      <c r="Q3921" t="s">
        <v>45</v>
      </c>
      <c r="R3921" t="s">
        <v>18136</v>
      </c>
      <c r="S3921" t="s">
        <v>18138</v>
      </c>
      <c r="T3921" t="s">
        <v>17792</v>
      </c>
      <c r="U3921" t="s">
        <v>18139</v>
      </c>
    </row>
    <row r="3922" spans="1:21" x14ac:dyDescent="0.25">
      <c r="A3922" t="s">
        <v>18140</v>
      </c>
      <c r="B3922" t="s">
        <v>22</v>
      </c>
      <c r="C3922" t="s">
        <v>18141</v>
      </c>
      <c r="D3922">
        <f t="shared" si="96"/>
        <v>-8787</v>
      </c>
      <c r="E3922" t="s">
        <v>17737</v>
      </c>
      <c r="F3922" t="s">
        <v>14473</v>
      </c>
      <c r="G3922" t="s">
        <v>14474</v>
      </c>
      <c r="H3922">
        <v>-121.9474633</v>
      </c>
      <c r="I3922">
        <v>37.320715069999999</v>
      </c>
      <c r="J3922">
        <v>4</v>
      </c>
      <c r="K3922" t="s">
        <v>1035</v>
      </c>
      <c r="L3922" t="s">
        <v>1035</v>
      </c>
      <c r="M3922" t="s">
        <v>1035</v>
      </c>
      <c r="N3922" t="s">
        <v>1035</v>
      </c>
      <c r="O3922" t="s">
        <v>1501</v>
      </c>
      <c r="P3922" t="s">
        <v>1501</v>
      </c>
      <c r="Q3922" t="s">
        <v>1035</v>
      </c>
      <c r="R3922" t="s">
        <v>18141</v>
      </c>
      <c r="S3922" t="s">
        <v>18142</v>
      </c>
      <c r="T3922" t="s">
        <v>17372</v>
      </c>
      <c r="U3922" t="s">
        <v>18143</v>
      </c>
    </row>
    <row r="3923" spans="1:21" x14ac:dyDescent="0.25">
      <c r="A3923" t="s">
        <v>18144</v>
      </c>
      <c r="B3923" t="s">
        <v>32</v>
      </c>
      <c r="C3923" t="s">
        <v>18145</v>
      </c>
      <c r="D3923">
        <f t="shared" si="96"/>
        <v>-8787</v>
      </c>
      <c r="E3923" t="s">
        <v>18146</v>
      </c>
      <c r="F3923" t="s">
        <v>14473</v>
      </c>
      <c r="G3923" t="s">
        <v>14474</v>
      </c>
      <c r="H3923">
        <v>-79.934655234948707</v>
      </c>
      <c r="I3923">
        <v>32.782555128359398</v>
      </c>
      <c r="J3923">
        <v>35</v>
      </c>
      <c r="K3923" t="s">
        <v>535</v>
      </c>
      <c r="L3923" t="s">
        <v>535</v>
      </c>
      <c r="M3923" t="s">
        <v>535</v>
      </c>
      <c r="N3923" t="s">
        <v>535</v>
      </c>
      <c r="O3923" t="s">
        <v>45</v>
      </c>
      <c r="P3923" t="s">
        <v>45</v>
      </c>
      <c r="Q3923" t="s">
        <v>1034</v>
      </c>
      <c r="R3923" t="s">
        <v>18145</v>
      </c>
      <c r="S3923" t="s">
        <v>18145</v>
      </c>
      <c r="T3923" t="s">
        <v>18147</v>
      </c>
      <c r="U3923" t="s">
        <v>18148</v>
      </c>
    </row>
    <row r="3924" spans="1:21" x14ac:dyDescent="0.25">
      <c r="A3924" t="s">
        <v>18149</v>
      </c>
      <c r="B3924" t="s">
        <v>22</v>
      </c>
      <c r="C3924" t="s">
        <v>18150</v>
      </c>
      <c r="D3924">
        <f t="shared" si="96"/>
        <v>-8787</v>
      </c>
      <c r="E3924" t="s">
        <v>18151</v>
      </c>
      <c r="F3924" t="s">
        <v>14473</v>
      </c>
      <c r="G3924" t="s">
        <v>14474</v>
      </c>
      <c r="H3924">
        <v>-117.92675789686</v>
      </c>
      <c r="I3924">
        <v>33.994149037253102</v>
      </c>
      <c r="J3924">
        <v>4</v>
      </c>
      <c r="K3924" t="s">
        <v>717</v>
      </c>
      <c r="L3924" t="s">
        <v>717</v>
      </c>
      <c r="M3924" t="s">
        <v>717</v>
      </c>
      <c r="N3924" t="s">
        <v>717</v>
      </c>
      <c r="O3924" t="s">
        <v>717</v>
      </c>
      <c r="P3924" t="s">
        <v>717</v>
      </c>
      <c r="Q3924" t="s">
        <v>1492</v>
      </c>
      <c r="R3924" t="s">
        <v>18150</v>
      </c>
      <c r="S3924" t="s">
        <v>18152</v>
      </c>
      <c r="T3924" t="s">
        <v>17372</v>
      </c>
      <c r="U3924" t="s">
        <v>18153</v>
      </c>
    </row>
    <row r="3925" spans="1:21" x14ac:dyDescent="0.25">
      <c r="A3925" t="s">
        <v>18154</v>
      </c>
      <c r="B3925" t="s">
        <v>22</v>
      </c>
      <c r="C3925" t="s">
        <v>18155</v>
      </c>
      <c r="D3925">
        <f t="shared" si="96"/>
        <v>-8787</v>
      </c>
      <c r="E3925" t="s">
        <v>18156</v>
      </c>
      <c r="F3925" t="s">
        <v>14473</v>
      </c>
      <c r="G3925" t="s">
        <v>14474</v>
      </c>
      <c r="H3925">
        <v>-85.586791199999993</v>
      </c>
      <c r="I3925">
        <v>42.916670830000001</v>
      </c>
      <c r="J3925">
        <v>35</v>
      </c>
      <c r="K3925" t="s">
        <v>536</v>
      </c>
      <c r="L3925" t="s">
        <v>536</v>
      </c>
      <c r="M3925" t="s">
        <v>536</v>
      </c>
      <c r="N3925" t="s">
        <v>536</v>
      </c>
      <c r="O3925" t="s">
        <v>536</v>
      </c>
      <c r="P3925" t="s">
        <v>536</v>
      </c>
      <c r="Q3925" t="s">
        <v>1492</v>
      </c>
      <c r="R3925" t="s">
        <v>18155</v>
      </c>
      <c r="S3925" t="s">
        <v>18157</v>
      </c>
      <c r="T3925" t="s">
        <v>17546</v>
      </c>
      <c r="U3925" t="s">
        <v>18158</v>
      </c>
    </row>
    <row r="3926" spans="1:21" x14ac:dyDescent="0.25">
      <c r="A3926" t="s">
        <v>18159</v>
      </c>
      <c r="B3926" t="s">
        <v>22</v>
      </c>
      <c r="C3926" t="s">
        <v>18160</v>
      </c>
      <c r="D3926">
        <f t="shared" si="96"/>
        <v>-8787</v>
      </c>
      <c r="E3926" t="s">
        <v>18161</v>
      </c>
      <c r="F3926" t="s">
        <v>14473</v>
      </c>
      <c r="G3926" t="s">
        <v>14474</v>
      </c>
      <c r="H3926">
        <v>-116.27853380000001</v>
      </c>
      <c r="I3926">
        <v>43.60746597</v>
      </c>
      <c r="J3926">
        <v>10</v>
      </c>
      <c r="K3926" t="s">
        <v>717</v>
      </c>
      <c r="L3926" t="s">
        <v>717</v>
      </c>
      <c r="M3926" t="s">
        <v>717</v>
      </c>
      <c r="N3926" t="s">
        <v>717</v>
      </c>
      <c r="O3926" t="s">
        <v>1035</v>
      </c>
      <c r="P3926" t="s">
        <v>1035</v>
      </c>
      <c r="Q3926" t="s">
        <v>717</v>
      </c>
      <c r="R3926" t="s">
        <v>18160</v>
      </c>
      <c r="S3926" t="s">
        <v>18162</v>
      </c>
      <c r="T3926" t="s">
        <v>18163</v>
      </c>
      <c r="U3926" t="s">
        <v>18164</v>
      </c>
    </row>
    <row r="3927" spans="1:21" x14ac:dyDescent="0.25">
      <c r="A3927" t="s">
        <v>18165</v>
      </c>
      <c r="B3927" t="s">
        <v>22</v>
      </c>
      <c r="C3927" t="s">
        <v>18166</v>
      </c>
      <c r="D3927">
        <f t="shared" si="96"/>
        <v>-8787</v>
      </c>
      <c r="E3927" t="s">
        <v>18167</v>
      </c>
      <c r="F3927" t="s">
        <v>14473</v>
      </c>
      <c r="G3927" t="s">
        <v>14474</v>
      </c>
      <c r="H3927">
        <v>-93.298060300000003</v>
      </c>
      <c r="I3927">
        <v>44.947723019999998</v>
      </c>
      <c r="J3927">
        <v>20</v>
      </c>
      <c r="K3927" t="s">
        <v>717</v>
      </c>
      <c r="L3927" t="s">
        <v>717</v>
      </c>
      <c r="M3927" t="s">
        <v>717</v>
      </c>
      <c r="N3927" t="s">
        <v>717</v>
      </c>
      <c r="O3927" t="s">
        <v>717</v>
      </c>
      <c r="P3927" t="s">
        <v>717</v>
      </c>
      <c r="Q3927" t="s">
        <v>1492</v>
      </c>
      <c r="R3927" t="s">
        <v>18166</v>
      </c>
      <c r="S3927" t="s">
        <v>18168</v>
      </c>
      <c r="T3927" t="s">
        <v>17769</v>
      </c>
      <c r="U3927" t="s">
        <v>18169</v>
      </c>
    </row>
    <row r="3928" spans="1:21" x14ac:dyDescent="0.25">
      <c r="A3928" t="s">
        <v>18170</v>
      </c>
      <c r="B3928" t="s">
        <v>22</v>
      </c>
      <c r="C3928" t="s">
        <v>18171</v>
      </c>
      <c r="D3928">
        <f t="shared" si="96"/>
        <v>-8787</v>
      </c>
      <c r="E3928" t="s">
        <v>18172</v>
      </c>
      <c r="F3928" t="s">
        <v>14473</v>
      </c>
      <c r="G3928" t="s">
        <v>14474</v>
      </c>
      <c r="H3928">
        <v>-75.259269000000003</v>
      </c>
      <c r="I3928">
        <v>39.961371</v>
      </c>
      <c r="J3928">
        <v>35</v>
      </c>
      <c r="K3928" t="s">
        <v>717</v>
      </c>
      <c r="L3928" t="s">
        <v>717</v>
      </c>
      <c r="M3928" t="s">
        <v>717</v>
      </c>
      <c r="N3928" t="s">
        <v>717</v>
      </c>
      <c r="O3928" t="s">
        <v>717</v>
      </c>
      <c r="P3928" t="s">
        <v>717</v>
      </c>
      <c r="Q3928" t="s">
        <v>1492</v>
      </c>
      <c r="R3928" t="s">
        <v>18171</v>
      </c>
      <c r="S3928" t="s">
        <v>18173</v>
      </c>
      <c r="T3928" t="s">
        <v>17270</v>
      </c>
      <c r="U3928" t="s">
        <v>18174</v>
      </c>
    </row>
    <row r="3929" spans="1:21" x14ac:dyDescent="0.25">
      <c r="A3929" t="s">
        <v>18175</v>
      </c>
      <c r="B3929" t="s">
        <v>32</v>
      </c>
      <c r="C3929" t="s">
        <v>18176</v>
      </c>
      <c r="D3929">
        <f t="shared" si="96"/>
        <v>-8787</v>
      </c>
      <c r="E3929" t="s">
        <v>17722</v>
      </c>
      <c r="F3929" t="s">
        <v>14473</v>
      </c>
      <c r="G3929" t="s">
        <v>14474</v>
      </c>
      <c r="H3929">
        <v>-81.431385000000006</v>
      </c>
      <c r="I3929">
        <v>28.486087999999999</v>
      </c>
      <c r="J3929">
        <v>35</v>
      </c>
      <c r="K3929" t="s">
        <v>1035</v>
      </c>
      <c r="L3929" t="s">
        <v>1035</v>
      </c>
      <c r="M3929" t="s">
        <v>1035</v>
      </c>
      <c r="N3929" t="s">
        <v>1035</v>
      </c>
      <c r="O3929" t="s">
        <v>536</v>
      </c>
      <c r="P3929" t="s">
        <v>536</v>
      </c>
      <c r="Q3929" t="s">
        <v>717</v>
      </c>
      <c r="R3929" t="s">
        <v>18176</v>
      </c>
      <c r="S3929" t="s">
        <v>18177</v>
      </c>
      <c r="T3929" t="s">
        <v>17724</v>
      </c>
      <c r="U3929" t="s">
        <v>18178</v>
      </c>
    </row>
    <row r="3930" spans="1:21" x14ac:dyDescent="0.25">
      <c r="A3930" t="s">
        <v>18179</v>
      </c>
      <c r="B3930" t="s">
        <v>38</v>
      </c>
      <c r="C3930" t="s">
        <v>18180</v>
      </c>
      <c r="D3930">
        <f t="shared" si="96"/>
        <v>-8787</v>
      </c>
      <c r="E3930" t="s">
        <v>18181</v>
      </c>
      <c r="F3930" t="s">
        <v>14473</v>
      </c>
      <c r="G3930" t="s">
        <v>14474</v>
      </c>
      <c r="H3930">
        <v>-85.755887999999999</v>
      </c>
      <c r="I3930">
        <v>42.879449000000001</v>
      </c>
      <c r="J3930">
        <v>35</v>
      </c>
      <c r="K3930" t="s">
        <v>1035</v>
      </c>
      <c r="L3930" t="s">
        <v>1035</v>
      </c>
      <c r="M3930" t="s">
        <v>1035</v>
      </c>
      <c r="N3930" t="s">
        <v>1035</v>
      </c>
      <c r="O3930" t="s">
        <v>1501</v>
      </c>
      <c r="P3930" t="s">
        <v>1501</v>
      </c>
      <c r="Q3930" t="s">
        <v>1492</v>
      </c>
      <c r="R3930" t="s">
        <v>18180</v>
      </c>
      <c r="T3930" t="s">
        <v>17546</v>
      </c>
      <c r="U3930" t="s">
        <v>18182</v>
      </c>
    </row>
    <row r="3931" spans="1:21" x14ac:dyDescent="0.25">
      <c r="A3931" t="s">
        <v>18183</v>
      </c>
      <c r="B3931" t="s">
        <v>22</v>
      </c>
      <c r="C3931" t="s">
        <v>18184</v>
      </c>
      <c r="D3931">
        <f t="shared" si="96"/>
        <v>-8787</v>
      </c>
      <c r="E3931" t="s">
        <v>18185</v>
      </c>
      <c r="F3931" t="s">
        <v>14473</v>
      </c>
      <c r="G3931" t="s">
        <v>14474</v>
      </c>
      <c r="H3931">
        <v>-94.718135399999994</v>
      </c>
      <c r="I3931">
        <v>38.953405600000004</v>
      </c>
      <c r="J3931">
        <v>20</v>
      </c>
      <c r="K3931" t="s">
        <v>45</v>
      </c>
      <c r="L3931" t="s">
        <v>45</v>
      </c>
      <c r="M3931" t="s">
        <v>45</v>
      </c>
      <c r="N3931" t="s">
        <v>45</v>
      </c>
      <c r="O3931" t="s">
        <v>45</v>
      </c>
      <c r="P3931" t="s">
        <v>45</v>
      </c>
      <c r="Q3931" t="s">
        <v>1492</v>
      </c>
      <c r="R3931" t="s">
        <v>18184</v>
      </c>
      <c r="S3931" t="s">
        <v>18186</v>
      </c>
      <c r="T3931" t="s">
        <v>18187</v>
      </c>
      <c r="U3931" t="s">
        <v>18188</v>
      </c>
    </row>
    <row r="3932" spans="1:21" x14ac:dyDescent="0.25">
      <c r="A3932" t="s">
        <v>18189</v>
      </c>
      <c r="B3932" t="s">
        <v>38</v>
      </c>
      <c r="C3932" t="s">
        <v>18190</v>
      </c>
      <c r="D3932">
        <f t="shared" si="96"/>
        <v>-8787</v>
      </c>
      <c r="E3932" t="s">
        <v>18191</v>
      </c>
      <c r="F3932" t="s">
        <v>14473</v>
      </c>
      <c r="G3932" t="s">
        <v>14474</v>
      </c>
      <c r="H3932">
        <v>-86.424401000000003</v>
      </c>
      <c r="I3932">
        <v>30.390630000000002</v>
      </c>
      <c r="J3932">
        <v>20</v>
      </c>
      <c r="K3932" t="s">
        <v>536</v>
      </c>
      <c r="L3932" t="s">
        <v>536</v>
      </c>
      <c r="M3932" t="s">
        <v>536</v>
      </c>
      <c r="N3932" t="s">
        <v>536</v>
      </c>
      <c r="O3932" t="s">
        <v>536</v>
      </c>
      <c r="P3932" t="s">
        <v>536</v>
      </c>
      <c r="Q3932" t="s">
        <v>717</v>
      </c>
      <c r="R3932" t="s">
        <v>18190</v>
      </c>
      <c r="S3932" t="s">
        <v>18192</v>
      </c>
      <c r="T3932" t="s">
        <v>17724</v>
      </c>
      <c r="U3932" t="s">
        <v>18193</v>
      </c>
    </row>
    <row r="3933" spans="1:21" x14ac:dyDescent="0.25">
      <c r="A3933" t="s">
        <v>18194</v>
      </c>
      <c r="B3933" t="s">
        <v>38</v>
      </c>
      <c r="C3933" t="s">
        <v>18195</v>
      </c>
      <c r="D3933">
        <f t="shared" si="96"/>
        <v>-8787</v>
      </c>
      <c r="E3933" t="s">
        <v>18196</v>
      </c>
      <c r="F3933" t="s">
        <v>14473</v>
      </c>
      <c r="G3933" t="s">
        <v>14474</v>
      </c>
      <c r="H3933">
        <v>-117.0379009</v>
      </c>
      <c r="I3933">
        <v>32.542768559999999</v>
      </c>
      <c r="J3933">
        <v>4</v>
      </c>
      <c r="K3933" t="s">
        <v>717</v>
      </c>
      <c r="L3933" t="s">
        <v>717</v>
      </c>
      <c r="M3933" t="s">
        <v>717</v>
      </c>
      <c r="N3933" t="s">
        <v>717</v>
      </c>
      <c r="O3933" t="s">
        <v>45</v>
      </c>
      <c r="P3933" t="s">
        <v>45</v>
      </c>
      <c r="Q3933" t="s">
        <v>1492</v>
      </c>
      <c r="R3933" t="s">
        <v>18195</v>
      </c>
      <c r="S3933" t="s">
        <v>18197</v>
      </c>
      <c r="T3933" t="s">
        <v>17372</v>
      </c>
      <c r="U3933" t="s">
        <v>18198</v>
      </c>
    </row>
    <row r="3934" spans="1:21" x14ac:dyDescent="0.25">
      <c r="A3934" t="s">
        <v>18199</v>
      </c>
      <c r="B3934" t="s">
        <v>38</v>
      </c>
      <c r="C3934" t="s">
        <v>18200</v>
      </c>
      <c r="D3934">
        <f t="shared" si="96"/>
        <v>-8787</v>
      </c>
      <c r="E3934" t="s">
        <v>18201</v>
      </c>
      <c r="F3934" t="s">
        <v>14473</v>
      </c>
      <c r="G3934" t="s">
        <v>14474</v>
      </c>
      <c r="H3934">
        <v>-122.8781503</v>
      </c>
      <c r="I3934">
        <v>45.536702599999998</v>
      </c>
      <c r="J3934">
        <v>4</v>
      </c>
      <c r="K3934" t="s">
        <v>536</v>
      </c>
      <c r="L3934" t="s">
        <v>536</v>
      </c>
      <c r="M3934" t="s">
        <v>536</v>
      </c>
      <c r="N3934" t="s">
        <v>536</v>
      </c>
      <c r="O3934" t="s">
        <v>536</v>
      </c>
      <c r="P3934" t="s">
        <v>536</v>
      </c>
      <c r="Q3934" t="s">
        <v>1034</v>
      </c>
      <c r="R3934" t="s">
        <v>18200</v>
      </c>
      <c r="S3934" t="s">
        <v>18202</v>
      </c>
      <c r="T3934" t="s">
        <v>17813</v>
      </c>
      <c r="U3934" t="s">
        <v>18203</v>
      </c>
    </row>
    <row r="3935" spans="1:21" x14ac:dyDescent="0.25">
      <c r="A3935" t="s">
        <v>18204</v>
      </c>
      <c r="B3935" t="s">
        <v>32</v>
      </c>
      <c r="C3935" t="s">
        <v>18205</v>
      </c>
      <c r="D3935">
        <f t="shared" si="96"/>
        <v>-8787</v>
      </c>
      <c r="E3935" t="s">
        <v>17290</v>
      </c>
      <c r="F3935" t="s">
        <v>14473</v>
      </c>
      <c r="G3935" t="s">
        <v>14474</v>
      </c>
      <c r="H3935">
        <v>-77.064312099999995</v>
      </c>
      <c r="I3935">
        <v>38.904851890000003</v>
      </c>
      <c r="J3935">
        <v>35</v>
      </c>
      <c r="K3935" t="s">
        <v>536</v>
      </c>
      <c r="L3935" t="s">
        <v>536</v>
      </c>
      <c r="M3935" t="s">
        <v>536</v>
      </c>
      <c r="N3935" t="s">
        <v>536</v>
      </c>
      <c r="O3935" t="s">
        <v>536</v>
      </c>
      <c r="P3935" t="s">
        <v>536</v>
      </c>
      <c r="Q3935" t="s">
        <v>717</v>
      </c>
      <c r="R3935" t="s">
        <v>18205</v>
      </c>
      <c r="S3935" t="s">
        <v>18206</v>
      </c>
      <c r="T3935" t="s">
        <v>17292</v>
      </c>
      <c r="U3935" t="s">
        <v>18207</v>
      </c>
    </row>
    <row r="3936" spans="1:21" x14ac:dyDescent="0.25">
      <c r="A3936" t="s">
        <v>18208</v>
      </c>
      <c r="B3936" t="s">
        <v>22</v>
      </c>
      <c r="C3936" t="s">
        <v>18209</v>
      </c>
      <c r="D3936">
        <f t="shared" si="96"/>
        <v>-8787</v>
      </c>
      <c r="E3936" t="s">
        <v>18210</v>
      </c>
      <c r="F3936" t="s">
        <v>14473</v>
      </c>
      <c r="G3936" t="s">
        <v>14474</v>
      </c>
      <c r="H3936">
        <v>-104.962622</v>
      </c>
      <c r="I3936">
        <v>39.591669000000003</v>
      </c>
      <c r="J3936">
        <v>10</v>
      </c>
      <c r="K3936" t="s">
        <v>717</v>
      </c>
      <c r="L3936" t="s">
        <v>717</v>
      </c>
      <c r="M3936" t="s">
        <v>717</v>
      </c>
      <c r="N3936" t="s">
        <v>717</v>
      </c>
      <c r="O3936" t="s">
        <v>717</v>
      </c>
      <c r="P3936" t="s">
        <v>717</v>
      </c>
      <c r="Q3936" t="s">
        <v>1492</v>
      </c>
      <c r="R3936" t="s">
        <v>18209</v>
      </c>
      <c r="S3936" t="s">
        <v>18211</v>
      </c>
      <c r="T3936" t="s">
        <v>17689</v>
      </c>
      <c r="U3936" t="s">
        <v>18212</v>
      </c>
    </row>
    <row r="3937" spans="1:21" x14ac:dyDescent="0.25">
      <c r="A3937" t="s">
        <v>18213</v>
      </c>
      <c r="B3937" t="s">
        <v>22</v>
      </c>
      <c r="C3937" t="s">
        <v>18214</v>
      </c>
      <c r="D3937">
        <f t="shared" si="96"/>
        <v>-8787</v>
      </c>
      <c r="E3937" t="s">
        <v>18215</v>
      </c>
      <c r="F3937" t="s">
        <v>14473</v>
      </c>
      <c r="G3937" t="s">
        <v>14474</v>
      </c>
      <c r="H3937">
        <v>-80.876448999999994</v>
      </c>
      <c r="I3937">
        <v>35.082281000000002</v>
      </c>
      <c r="J3937">
        <v>35</v>
      </c>
      <c r="K3937" t="s">
        <v>717</v>
      </c>
      <c r="L3937" t="s">
        <v>717</v>
      </c>
      <c r="M3937" t="s">
        <v>717</v>
      </c>
      <c r="N3937" t="s">
        <v>717</v>
      </c>
      <c r="O3937" t="s">
        <v>717</v>
      </c>
      <c r="P3937" t="s">
        <v>717</v>
      </c>
      <c r="Q3937" t="s">
        <v>1492</v>
      </c>
      <c r="R3937" t="s">
        <v>18214</v>
      </c>
      <c r="S3937" t="s">
        <v>18216</v>
      </c>
      <c r="T3937" t="s">
        <v>17775</v>
      </c>
      <c r="U3937" t="s">
        <v>18217</v>
      </c>
    </row>
    <row r="3938" spans="1:21" x14ac:dyDescent="0.25">
      <c r="A3938" t="s">
        <v>18218</v>
      </c>
      <c r="B3938" t="s">
        <v>22</v>
      </c>
      <c r="C3938" t="s">
        <v>18219</v>
      </c>
      <c r="D3938">
        <f t="shared" si="96"/>
        <v>-8787</v>
      </c>
      <c r="E3938" t="s">
        <v>17629</v>
      </c>
      <c r="F3938" t="s">
        <v>14473</v>
      </c>
      <c r="G3938" t="s">
        <v>14474</v>
      </c>
      <c r="H3938">
        <v>-84.340218449999995</v>
      </c>
      <c r="I3938">
        <v>33.9237921</v>
      </c>
      <c r="J3938">
        <v>35</v>
      </c>
      <c r="K3938" t="s">
        <v>717</v>
      </c>
      <c r="L3938" t="s">
        <v>717</v>
      </c>
      <c r="M3938" t="s">
        <v>717</v>
      </c>
      <c r="N3938" t="s">
        <v>717</v>
      </c>
      <c r="O3938" t="s">
        <v>1035</v>
      </c>
      <c r="P3938" t="s">
        <v>1035</v>
      </c>
      <c r="Q3938" t="s">
        <v>17207</v>
      </c>
      <c r="R3938" t="s">
        <v>18219</v>
      </c>
      <c r="S3938" t="s">
        <v>18220</v>
      </c>
      <c r="T3938" t="s">
        <v>9074</v>
      </c>
      <c r="U3938" t="s">
        <v>18221</v>
      </c>
    </row>
    <row r="3939" spans="1:21" x14ac:dyDescent="0.25">
      <c r="A3939" t="s">
        <v>18222</v>
      </c>
      <c r="B3939" t="s">
        <v>22</v>
      </c>
      <c r="C3939" t="s">
        <v>18223</v>
      </c>
      <c r="D3939">
        <f t="shared" si="96"/>
        <v>-8787</v>
      </c>
      <c r="E3939" t="s">
        <v>18224</v>
      </c>
      <c r="F3939" t="s">
        <v>14473</v>
      </c>
      <c r="G3939" t="s">
        <v>14474</v>
      </c>
      <c r="H3939">
        <v>-122.2455168</v>
      </c>
      <c r="I3939">
        <v>47.300253050000002</v>
      </c>
      <c r="J3939">
        <v>4</v>
      </c>
      <c r="K3939" t="s">
        <v>717</v>
      </c>
      <c r="L3939" t="s">
        <v>717</v>
      </c>
      <c r="M3939" t="s">
        <v>717</v>
      </c>
      <c r="N3939" t="s">
        <v>717</v>
      </c>
      <c r="O3939" t="s">
        <v>1035</v>
      </c>
      <c r="P3939" t="s">
        <v>1035</v>
      </c>
      <c r="Q3939" t="s">
        <v>1034</v>
      </c>
      <c r="R3939" t="s">
        <v>18223</v>
      </c>
      <c r="S3939" t="s">
        <v>18225</v>
      </c>
      <c r="T3939" t="s">
        <v>17620</v>
      </c>
      <c r="U3939" t="s">
        <v>18226</v>
      </c>
    </row>
    <row r="3940" spans="1:21" x14ac:dyDescent="0.25">
      <c r="A3940" t="s">
        <v>18227</v>
      </c>
      <c r="B3940" t="s">
        <v>22</v>
      </c>
      <c r="C3940" t="s">
        <v>18228</v>
      </c>
      <c r="D3940">
        <f t="shared" si="96"/>
        <v>-8787</v>
      </c>
      <c r="E3940" t="s">
        <v>18229</v>
      </c>
      <c r="F3940" t="s">
        <v>14473</v>
      </c>
      <c r="G3940" t="s">
        <v>14474</v>
      </c>
      <c r="H3940">
        <v>-71.613207200000005</v>
      </c>
      <c r="I3940">
        <v>42.355094399999999</v>
      </c>
      <c r="J3940">
        <v>35</v>
      </c>
      <c r="K3940" t="s">
        <v>1035</v>
      </c>
      <c r="L3940" t="s">
        <v>1035</v>
      </c>
      <c r="M3940" t="s">
        <v>1035</v>
      </c>
      <c r="N3940" t="s">
        <v>1035</v>
      </c>
      <c r="O3940" t="s">
        <v>536</v>
      </c>
      <c r="P3940" t="s">
        <v>536</v>
      </c>
      <c r="Q3940" t="s">
        <v>1492</v>
      </c>
      <c r="R3940" t="s">
        <v>18228</v>
      </c>
      <c r="S3940" t="s">
        <v>18230</v>
      </c>
      <c r="T3940" t="s">
        <v>17181</v>
      </c>
      <c r="U3940" t="s">
        <v>18231</v>
      </c>
    </row>
    <row r="3941" spans="1:21" x14ac:dyDescent="0.25">
      <c r="A3941" t="s">
        <v>18232</v>
      </c>
      <c r="B3941" t="s">
        <v>22</v>
      </c>
      <c r="C3941" t="s">
        <v>18233</v>
      </c>
      <c r="D3941">
        <f t="shared" si="96"/>
        <v>-8787</v>
      </c>
      <c r="E3941" t="s">
        <v>18234</v>
      </c>
      <c r="F3941" t="s">
        <v>14473</v>
      </c>
      <c r="G3941" t="s">
        <v>14474</v>
      </c>
      <c r="H3941">
        <v>-78.819409359999995</v>
      </c>
      <c r="I3941">
        <v>42.987747339999999</v>
      </c>
      <c r="J3941">
        <v>35</v>
      </c>
      <c r="K3941" t="s">
        <v>1501</v>
      </c>
      <c r="L3941" t="s">
        <v>1501</v>
      </c>
      <c r="M3941" t="s">
        <v>1501</v>
      </c>
      <c r="N3941" t="s">
        <v>1501</v>
      </c>
      <c r="O3941" t="s">
        <v>1501</v>
      </c>
      <c r="P3941" t="s">
        <v>1501</v>
      </c>
      <c r="Q3941" t="s">
        <v>1492</v>
      </c>
      <c r="R3941" t="s">
        <v>18233</v>
      </c>
      <c r="S3941" t="s">
        <v>18235</v>
      </c>
      <c r="T3941" t="s">
        <v>17165</v>
      </c>
      <c r="U3941" t="s">
        <v>18236</v>
      </c>
    </row>
    <row r="3942" spans="1:21" x14ac:dyDescent="0.25">
      <c r="A3942" t="s">
        <v>18237</v>
      </c>
      <c r="B3942" t="s">
        <v>22</v>
      </c>
      <c r="C3942" t="s">
        <v>18238</v>
      </c>
      <c r="D3942">
        <f t="shared" si="96"/>
        <v>-8787</v>
      </c>
      <c r="E3942" t="s">
        <v>18239</v>
      </c>
      <c r="F3942" t="s">
        <v>14473</v>
      </c>
      <c r="G3942" t="s">
        <v>14474</v>
      </c>
      <c r="H3942">
        <v>-85.609659710000003</v>
      </c>
      <c r="I3942">
        <v>38.247289909999999</v>
      </c>
      <c r="J3942">
        <v>35</v>
      </c>
      <c r="K3942" t="s">
        <v>717</v>
      </c>
      <c r="L3942" t="s">
        <v>717</v>
      </c>
      <c r="M3942" t="s">
        <v>717</v>
      </c>
      <c r="N3942" t="s">
        <v>717</v>
      </c>
      <c r="O3942" t="s">
        <v>717</v>
      </c>
      <c r="P3942" t="s">
        <v>717</v>
      </c>
      <c r="Q3942" t="s">
        <v>1034</v>
      </c>
      <c r="R3942" t="s">
        <v>18238</v>
      </c>
      <c r="S3942" t="s">
        <v>18240</v>
      </c>
      <c r="T3942" t="s">
        <v>18241</v>
      </c>
      <c r="U3942" t="s">
        <v>18242</v>
      </c>
    </row>
    <row r="3943" spans="1:21" x14ac:dyDescent="0.25">
      <c r="A3943" t="s">
        <v>18243</v>
      </c>
      <c r="B3943" t="s">
        <v>22</v>
      </c>
      <c r="C3943" t="s">
        <v>18244</v>
      </c>
      <c r="D3943">
        <f t="shared" si="96"/>
        <v>-8787</v>
      </c>
      <c r="E3943" t="s">
        <v>18245</v>
      </c>
      <c r="F3943" t="s">
        <v>14473</v>
      </c>
      <c r="G3943" t="s">
        <v>14474</v>
      </c>
      <c r="H3943">
        <v>-93.436620000000005</v>
      </c>
      <c r="I3943">
        <v>44.967885000000003</v>
      </c>
      <c r="J3943">
        <v>20</v>
      </c>
      <c r="K3943" t="s">
        <v>1035</v>
      </c>
      <c r="L3943" t="s">
        <v>1035</v>
      </c>
      <c r="M3943" t="s">
        <v>1035</v>
      </c>
      <c r="N3943" t="s">
        <v>1035</v>
      </c>
      <c r="O3943" t="s">
        <v>45</v>
      </c>
      <c r="P3943" t="s">
        <v>45</v>
      </c>
      <c r="Q3943" t="s">
        <v>1034</v>
      </c>
      <c r="R3943" t="s">
        <v>18244</v>
      </c>
      <c r="S3943" t="s">
        <v>18246</v>
      </c>
      <c r="T3943" t="s">
        <v>17769</v>
      </c>
      <c r="U3943" t="s">
        <v>18247</v>
      </c>
    </row>
    <row r="3944" spans="1:21" x14ac:dyDescent="0.25">
      <c r="A3944" t="s">
        <v>18248</v>
      </c>
      <c r="B3944" t="s">
        <v>22</v>
      </c>
      <c r="C3944" t="s">
        <v>18249</v>
      </c>
      <c r="D3944">
        <f t="shared" si="96"/>
        <v>-8787</v>
      </c>
      <c r="E3944" t="s">
        <v>18250</v>
      </c>
      <c r="F3944" t="s">
        <v>14473</v>
      </c>
      <c r="G3944" t="s">
        <v>14474</v>
      </c>
      <c r="H3944">
        <v>-80.057319000000007</v>
      </c>
      <c r="I3944">
        <v>26.707889000000002</v>
      </c>
      <c r="J3944">
        <v>35</v>
      </c>
      <c r="K3944" t="s">
        <v>1501</v>
      </c>
      <c r="L3944" t="s">
        <v>1501</v>
      </c>
      <c r="M3944" t="s">
        <v>1501</v>
      </c>
      <c r="N3944" t="s">
        <v>1501</v>
      </c>
      <c r="O3944" t="s">
        <v>1501</v>
      </c>
      <c r="P3944" t="s">
        <v>2229</v>
      </c>
      <c r="Q3944" t="s">
        <v>1492</v>
      </c>
      <c r="R3944" t="s">
        <v>18249</v>
      </c>
      <c r="S3944" t="s">
        <v>18251</v>
      </c>
      <c r="T3944" t="s">
        <v>17724</v>
      </c>
      <c r="U3944" t="s">
        <v>18252</v>
      </c>
    </row>
    <row r="3945" spans="1:21" x14ac:dyDescent="0.25">
      <c r="A3945" t="s">
        <v>18253</v>
      </c>
      <c r="B3945" t="s">
        <v>22</v>
      </c>
      <c r="C3945" t="s">
        <v>18254</v>
      </c>
      <c r="D3945">
        <f t="shared" si="96"/>
        <v>-8787</v>
      </c>
      <c r="E3945" t="s">
        <v>18255</v>
      </c>
      <c r="F3945" t="s">
        <v>14473</v>
      </c>
      <c r="G3945" t="s">
        <v>14474</v>
      </c>
      <c r="H3945">
        <v>-119.17726740000001</v>
      </c>
      <c r="I3945">
        <v>34.238819659999997</v>
      </c>
      <c r="J3945">
        <v>4</v>
      </c>
      <c r="K3945" t="s">
        <v>717</v>
      </c>
      <c r="L3945" t="s">
        <v>717</v>
      </c>
      <c r="M3945" t="s">
        <v>717</v>
      </c>
      <c r="N3945" t="s">
        <v>717</v>
      </c>
      <c r="O3945" t="s">
        <v>717</v>
      </c>
      <c r="P3945" t="s">
        <v>717</v>
      </c>
      <c r="Q3945" t="s">
        <v>17207</v>
      </c>
      <c r="R3945" t="s">
        <v>18254</v>
      </c>
      <c r="S3945" t="s">
        <v>18256</v>
      </c>
      <c r="T3945" t="s">
        <v>17372</v>
      </c>
      <c r="U3945" t="s">
        <v>18257</v>
      </c>
    </row>
    <row r="3946" spans="1:21" x14ac:dyDescent="0.25">
      <c r="A3946" t="s">
        <v>18258</v>
      </c>
      <c r="B3946" t="s">
        <v>32</v>
      </c>
      <c r="C3946" t="s">
        <v>18259</v>
      </c>
      <c r="D3946">
        <f t="shared" si="96"/>
        <v>-8787</v>
      </c>
      <c r="E3946" t="s">
        <v>18260</v>
      </c>
      <c r="F3946" t="s">
        <v>14473</v>
      </c>
      <c r="G3946" t="s">
        <v>14474</v>
      </c>
      <c r="H3946">
        <v>-90.064066569999994</v>
      </c>
      <c r="I3946">
        <v>29.954793949999999</v>
      </c>
      <c r="J3946">
        <v>20</v>
      </c>
      <c r="K3946" t="s">
        <v>717</v>
      </c>
      <c r="L3946" t="s">
        <v>717</v>
      </c>
      <c r="M3946" t="s">
        <v>717</v>
      </c>
      <c r="N3946" t="s">
        <v>717</v>
      </c>
      <c r="O3946" t="s">
        <v>717</v>
      </c>
      <c r="P3946" t="s">
        <v>717</v>
      </c>
      <c r="Q3946" t="s">
        <v>1492</v>
      </c>
      <c r="R3946" t="s">
        <v>18259</v>
      </c>
      <c r="S3946" t="s">
        <v>18261</v>
      </c>
      <c r="T3946" t="s">
        <v>18262</v>
      </c>
      <c r="U3946" t="s">
        <v>18263</v>
      </c>
    </row>
    <row r="3947" spans="1:21" x14ac:dyDescent="0.25">
      <c r="A3947" t="s">
        <v>18264</v>
      </c>
      <c r="B3947" t="s">
        <v>38</v>
      </c>
      <c r="C3947" t="s">
        <v>18265</v>
      </c>
      <c r="D3947">
        <f t="shared" si="96"/>
        <v>-8787</v>
      </c>
      <c r="E3947" t="s">
        <v>18266</v>
      </c>
      <c r="F3947" t="s">
        <v>14473</v>
      </c>
      <c r="G3947" t="s">
        <v>14474</v>
      </c>
      <c r="H3947">
        <v>-77.002143860000004</v>
      </c>
      <c r="I3947">
        <v>38.797644134000002</v>
      </c>
      <c r="J3947">
        <v>35</v>
      </c>
      <c r="K3947" t="s">
        <v>536</v>
      </c>
      <c r="L3947" t="s">
        <v>536</v>
      </c>
      <c r="M3947" t="s">
        <v>536</v>
      </c>
      <c r="N3947" t="s">
        <v>536</v>
      </c>
      <c r="O3947" t="s">
        <v>536</v>
      </c>
      <c r="P3947" t="s">
        <v>536</v>
      </c>
      <c r="Q3947" t="s">
        <v>45</v>
      </c>
      <c r="R3947" t="s">
        <v>18265</v>
      </c>
      <c r="S3947" t="s">
        <v>18267</v>
      </c>
      <c r="T3947" t="s">
        <v>17286</v>
      </c>
      <c r="U3947" t="s">
        <v>18268</v>
      </c>
    </row>
    <row r="3948" spans="1:21" x14ac:dyDescent="0.25">
      <c r="A3948" t="s">
        <v>18269</v>
      </c>
      <c r="B3948" t="s">
        <v>22</v>
      </c>
      <c r="C3948" t="s">
        <v>18270</v>
      </c>
      <c r="D3948">
        <f t="shared" si="96"/>
        <v>-8787</v>
      </c>
      <c r="E3948" t="s">
        <v>18271</v>
      </c>
      <c r="F3948" t="s">
        <v>14473</v>
      </c>
      <c r="G3948" t="s">
        <v>14474</v>
      </c>
      <c r="H3948">
        <v>-80.832410999999993</v>
      </c>
      <c r="I3948">
        <v>35.153252999999999</v>
      </c>
      <c r="J3948">
        <v>35</v>
      </c>
      <c r="K3948" t="s">
        <v>536</v>
      </c>
      <c r="L3948" t="s">
        <v>536</v>
      </c>
      <c r="M3948" t="s">
        <v>536</v>
      </c>
      <c r="N3948" t="s">
        <v>536</v>
      </c>
      <c r="O3948" t="s">
        <v>536</v>
      </c>
      <c r="P3948" t="s">
        <v>536</v>
      </c>
      <c r="Q3948" t="s">
        <v>717</v>
      </c>
      <c r="R3948" t="s">
        <v>18270</v>
      </c>
      <c r="S3948" t="s">
        <v>18272</v>
      </c>
      <c r="T3948" t="s">
        <v>17775</v>
      </c>
      <c r="U3948" t="s">
        <v>18273</v>
      </c>
    </row>
    <row r="3949" spans="1:21" x14ac:dyDescent="0.25">
      <c r="A3949" t="s">
        <v>18274</v>
      </c>
      <c r="B3949" t="s">
        <v>38</v>
      </c>
      <c r="C3949" t="s">
        <v>18275</v>
      </c>
      <c r="D3949">
        <f t="shared" si="96"/>
        <v>-8787</v>
      </c>
      <c r="E3949" t="s">
        <v>18276</v>
      </c>
      <c r="F3949" t="s">
        <v>14473</v>
      </c>
      <c r="G3949" t="s">
        <v>14474</v>
      </c>
      <c r="H3949">
        <v>-80.305315320000005</v>
      </c>
      <c r="I3949">
        <v>26.010303950000001</v>
      </c>
      <c r="J3949">
        <v>35</v>
      </c>
      <c r="K3949" t="s">
        <v>1035</v>
      </c>
      <c r="L3949" t="s">
        <v>1035</v>
      </c>
      <c r="M3949" t="s">
        <v>1035</v>
      </c>
      <c r="N3949" t="s">
        <v>1035</v>
      </c>
      <c r="O3949" t="s">
        <v>1035</v>
      </c>
      <c r="P3949" t="s">
        <v>1035</v>
      </c>
      <c r="Q3949" t="s">
        <v>717</v>
      </c>
      <c r="R3949" t="s">
        <v>18275</v>
      </c>
      <c r="S3949" t="s">
        <v>18277</v>
      </c>
      <c r="T3949" t="s">
        <v>17724</v>
      </c>
      <c r="U3949" t="s">
        <v>18278</v>
      </c>
    </row>
    <row r="3950" spans="1:21" x14ac:dyDescent="0.25">
      <c r="A3950" t="s">
        <v>18279</v>
      </c>
      <c r="B3950" t="s">
        <v>22</v>
      </c>
      <c r="C3950" t="s">
        <v>18280</v>
      </c>
      <c r="D3950">
        <f t="shared" si="96"/>
        <v>-8787</v>
      </c>
      <c r="E3950" t="s">
        <v>18281</v>
      </c>
      <c r="F3950" t="s">
        <v>14473</v>
      </c>
      <c r="G3950" t="s">
        <v>14474</v>
      </c>
      <c r="H3950">
        <v>-123.10498800000001</v>
      </c>
      <c r="I3950">
        <v>44.067585000000001</v>
      </c>
      <c r="J3950">
        <v>4</v>
      </c>
      <c r="K3950" t="s">
        <v>45</v>
      </c>
      <c r="L3950" t="s">
        <v>45</v>
      </c>
      <c r="M3950" t="s">
        <v>45</v>
      </c>
      <c r="N3950" t="s">
        <v>45</v>
      </c>
      <c r="O3950" t="s">
        <v>536</v>
      </c>
      <c r="P3950" t="s">
        <v>536</v>
      </c>
      <c r="Q3950" t="s">
        <v>717</v>
      </c>
      <c r="R3950" t="s">
        <v>18280</v>
      </c>
      <c r="S3950" t="s">
        <v>18282</v>
      </c>
      <c r="T3950" t="s">
        <v>17813</v>
      </c>
      <c r="U3950" t="s">
        <v>18283</v>
      </c>
    </row>
    <row r="3951" spans="1:21" x14ac:dyDescent="0.25">
      <c r="A3951" t="s">
        <v>18284</v>
      </c>
      <c r="B3951" t="s">
        <v>38</v>
      </c>
      <c r="C3951" t="s">
        <v>18285</v>
      </c>
      <c r="D3951">
        <f t="shared" si="96"/>
        <v>-8787</v>
      </c>
      <c r="E3951" t="s">
        <v>18286</v>
      </c>
      <c r="F3951" t="s">
        <v>14473</v>
      </c>
      <c r="G3951" t="s">
        <v>14474</v>
      </c>
      <c r="H3951">
        <v>-79.795479119999996</v>
      </c>
      <c r="I3951">
        <v>40.428775969999997</v>
      </c>
      <c r="J3951">
        <v>35</v>
      </c>
      <c r="K3951" t="s">
        <v>717</v>
      </c>
      <c r="L3951" t="s">
        <v>717</v>
      </c>
      <c r="M3951" t="s">
        <v>717</v>
      </c>
      <c r="N3951" t="s">
        <v>717</v>
      </c>
      <c r="O3951" t="s">
        <v>717</v>
      </c>
      <c r="P3951" t="s">
        <v>717</v>
      </c>
      <c r="Q3951" t="s">
        <v>1492</v>
      </c>
      <c r="R3951" t="s">
        <v>18285</v>
      </c>
      <c r="S3951" t="s">
        <v>18287</v>
      </c>
      <c r="T3951" t="s">
        <v>17270</v>
      </c>
      <c r="U3951" t="s">
        <v>18288</v>
      </c>
    </row>
    <row r="3952" spans="1:21" x14ac:dyDescent="0.25">
      <c r="A3952" t="s">
        <v>18289</v>
      </c>
      <c r="B3952" t="s">
        <v>22</v>
      </c>
      <c r="C3952" t="s">
        <v>18290</v>
      </c>
      <c r="D3952">
        <f t="shared" si="96"/>
        <v>-8787</v>
      </c>
      <c r="E3952" t="s">
        <v>18291</v>
      </c>
      <c r="F3952" t="s">
        <v>14473</v>
      </c>
      <c r="G3952" t="s">
        <v>14474</v>
      </c>
      <c r="H3952">
        <v>-119.7831978</v>
      </c>
      <c r="I3952">
        <v>39.473123129999998</v>
      </c>
      <c r="J3952">
        <v>4</v>
      </c>
      <c r="K3952" t="s">
        <v>1035</v>
      </c>
      <c r="L3952" t="s">
        <v>1035</v>
      </c>
      <c r="M3952" t="s">
        <v>1035</v>
      </c>
      <c r="N3952" t="s">
        <v>1035</v>
      </c>
      <c r="O3952" t="s">
        <v>536</v>
      </c>
      <c r="P3952" t="s">
        <v>536</v>
      </c>
      <c r="Q3952" t="s">
        <v>717</v>
      </c>
      <c r="R3952" t="s">
        <v>18290</v>
      </c>
      <c r="S3952" t="s">
        <v>18292</v>
      </c>
      <c r="T3952" t="s">
        <v>17562</v>
      </c>
      <c r="U3952" t="s">
        <v>18293</v>
      </c>
    </row>
    <row r="3953" spans="1:21" x14ac:dyDescent="0.25">
      <c r="A3953" t="s">
        <v>18294</v>
      </c>
      <c r="B3953" t="s">
        <v>22</v>
      </c>
      <c r="C3953" t="s">
        <v>18295</v>
      </c>
      <c r="D3953">
        <f t="shared" si="96"/>
        <v>-8787</v>
      </c>
      <c r="E3953" t="s">
        <v>13297</v>
      </c>
      <c r="F3953" t="s">
        <v>14473</v>
      </c>
      <c r="G3953" t="s">
        <v>14474</v>
      </c>
      <c r="H3953">
        <v>-80.208706910000004</v>
      </c>
      <c r="I3953">
        <v>26.646571869999999</v>
      </c>
      <c r="J3953">
        <v>35</v>
      </c>
      <c r="K3953" t="s">
        <v>536</v>
      </c>
      <c r="L3953" t="s">
        <v>536</v>
      </c>
      <c r="M3953" t="s">
        <v>536</v>
      </c>
      <c r="N3953" t="s">
        <v>536</v>
      </c>
      <c r="O3953" t="s">
        <v>536</v>
      </c>
      <c r="P3953" t="s">
        <v>536</v>
      </c>
      <c r="Q3953" t="s">
        <v>1034</v>
      </c>
      <c r="R3953" t="s">
        <v>18295</v>
      </c>
      <c r="S3953" t="s">
        <v>18296</v>
      </c>
      <c r="T3953" t="s">
        <v>17724</v>
      </c>
      <c r="U3953" t="s">
        <v>18297</v>
      </c>
    </row>
    <row r="3954" spans="1:21" x14ac:dyDescent="0.25">
      <c r="A3954" t="s">
        <v>18298</v>
      </c>
      <c r="B3954" t="s">
        <v>38</v>
      </c>
      <c r="C3954" t="s">
        <v>18299</v>
      </c>
      <c r="D3954">
        <f t="shared" si="96"/>
        <v>-8787</v>
      </c>
      <c r="E3954" t="s">
        <v>18300</v>
      </c>
      <c r="F3954" t="s">
        <v>14473</v>
      </c>
      <c r="G3954" t="s">
        <v>14474</v>
      </c>
      <c r="H3954">
        <v>-105.157645869275</v>
      </c>
      <c r="I3954">
        <v>39.731197776725899</v>
      </c>
      <c r="J3954">
        <v>10</v>
      </c>
      <c r="K3954" t="s">
        <v>717</v>
      </c>
      <c r="L3954" t="s">
        <v>717</v>
      </c>
      <c r="M3954" t="s">
        <v>717</v>
      </c>
      <c r="N3954" t="s">
        <v>717</v>
      </c>
      <c r="O3954" t="s">
        <v>717</v>
      </c>
      <c r="P3954" t="s">
        <v>717</v>
      </c>
      <c r="Q3954" t="s">
        <v>1492</v>
      </c>
      <c r="R3954" t="s">
        <v>18299</v>
      </c>
      <c r="S3954" t="s">
        <v>18301</v>
      </c>
      <c r="T3954" t="s">
        <v>17689</v>
      </c>
      <c r="U3954" t="s">
        <v>18302</v>
      </c>
    </row>
    <row r="3955" spans="1:21" x14ac:dyDescent="0.25">
      <c r="A3955" t="s">
        <v>18303</v>
      </c>
      <c r="B3955" t="s">
        <v>22</v>
      </c>
      <c r="C3955" t="s">
        <v>18304</v>
      </c>
      <c r="D3955">
        <f t="shared" si="96"/>
        <v>-8787</v>
      </c>
      <c r="E3955" t="s">
        <v>18271</v>
      </c>
      <c r="F3955" t="s">
        <v>14473</v>
      </c>
      <c r="G3955" t="s">
        <v>14474</v>
      </c>
      <c r="H3955">
        <v>-80.851068470000001</v>
      </c>
      <c r="I3955">
        <v>35.351716240000002</v>
      </c>
      <c r="J3955">
        <v>35</v>
      </c>
      <c r="K3955" t="s">
        <v>717</v>
      </c>
      <c r="L3955" t="s">
        <v>717</v>
      </c>
      <c r="M3955" t="s">
        <v>717</v>
      </c>
      <c r="N3955" t="s">
        <v>717</v>
      </c>
      <c r="O3955" t="s">
        <v>717</v>
      </c>
      <c r="P3955" t="s">
        <v>717</v>
      </c>
      <c r="Q3955" t="s">
        <v>1492</v>
      </c>
      <c r="R3955" t="s">
        <v>18304</v>
      </c>
      <c r="S3955" t="s">
        <v>18305</v>
      </c>
      <c r="T3955" t="s">
        <v>17775</v>
      </c>
      <c r="U3955" t="s">
        <v>18306</v>
      </c>
    </row>
    <row r="3956" spans="1:21" x14ac:dyDescent="0.25">
      <c r="A3956" t="s">
        <v>18307</v>
      </c>
      <c r="B3956" t="s">
        <v>22</v>
      </c>
      <c r="C3956" t="s">
        <v>18308</v>
      </c>
      <c r="D3956">
        <f t="shared" si="96"/>
        <v>-8787</v>
      </c>
      <c r="E3956" t="s">
        <v>18309</v>
      </c>
      <c r="F3956" t="s">
        <v>14473</v>
      </c>
      <c r="G3956" t="s">
        <v>14474</v>
      </c>
      <c r="H3956">
        <v>-111.6808235</v>
      </c>
      <c r="I3956">
        <v>40.27515588</v>
      </c>
      <c r="J3956">
        <v>10</v>
      </c>
      <c r="K3956" t="s">
        <v>536</v>
      </c>
      <c r="L3956" t="s">
        <v>536</v>
      </c>
      <c r="M3956" t="s">
        <v>536</v>
      </c>
      <c r="N3956" t="s">
        <v>536</v>
      </c>
      <c r="O3956" t="s">
        <v>536</v>
      </c>
      <c r="P3956" t="s">
        <v>536</v>
      </c>
      <c r="R3956" t="s">
        <v>18308</v>
      </c>
      <c r="S3956" t="s">
        <v>18310</v>
      </c>
      <c r="T3956" t="s">
        <v>17924</v>
      </c>
      <c r="U3956" t="s">
        <v>18311</v>
      </c>
    </row>
    <row r="3957" spans="1:21" x14ac:dyDescent="0.25">
      <c r="A3957" t="s">
        <v>18312</v>
      </c>
      <c r="B3957" t="s">
        <v>38</v>
      </c>
      <c r="C3957" t="s">
        <v>18313</v>
      </c>
      <c r="D3957">
        <f t="shared" si="96"/>
        <v>-8787</v>
      </c>
      <c r="E3957" t="s">
        <v>18314</v>
      </c>
      <c r="F3957" t="s">
        <v>14473</v>
      </c>
      <c r="G3957" t="s">
        <v>14474</v>
      </c>
      <c r="H3957">
        <v>-86.691852330000003</v>
      </c>
      <c r="I3957">
        <v>36.204651490000003</v>
      </c>
      <c r="J3957">
        <v>20</v>
      </c>
      <c r="K3957" t="s">
        <v>1035</v>
      </c>
      <c r="L3957" t="s">
        <v>1035</v>
      </c>
      <c r="M3957" t="s">
        <v>1035</v>
      </c>
      <c r="N3957" t="s">
        <v>1035</v>
      </c>
      <c r="O3957" t="s">
        <v>45</v>
      </c>
      <c r="P3957" t="s">
        <v>45</v>
      </c>
      <c r="Q3957" t="s">
        <v>717</v>
      </c>
      <c r="R3957" t="s">
        <v>18313</v>
      </c>
      <c r="S3957" t="s">
        <v>18315</v>
      </c>
      <c r="T3957" t="s">
        <v>18316</v>
      </c>
      <c r="U3957" t="s">
        <v>18317</v>
      </c>
    </row>
    <row r="3958" spans="1:21" x14ac:dyDescent="0.25">
      <c r="A3958" t="s">
        <v>18318</v>
      </c>
      <c r="B3958" t="s">
        <v>22</v>
      </c>
      <c r="C3958" t="s">
        <v>18319</v>
      </c>
      <c r="D3958">
        <f t="shared" si="96"/>
        <v>-8787</v>
      </c>
      <c r="E3958" t="s">
        <v>18320</v>
      </c>
      <c r="F3958" t="s">
        <v>14473</v>
      </c>
      <c r="G3958" t="s">
        <v>14474</v>
      </c>
      <c r="H3958">
        <v>-104.79510868960899</v>
      </c>
      <c r="I3958">
        <v>38.947919329064298</v>
      </c>
      <c r="J3958">
        <v>10</v>
      </c>
      <c r="K3958" t="s">
        <v>717</v>
      </c>
      <c r="L3958" t="s">
        <v>717</v>
      </c>
      <c r="M3958" t="s">
        <v>717</v>
      </c>
      <c r="N3958" t="s">
        <v>717</v>
      </c>
      <c r="O3958" t="s">
        <v>717</v>
      </c>
      <c r="P3958" t="s">
        <v>717</v>
      </c>
      <c r="Q3958" t="s">
        <v>564</v>
      </c>
      <c r="R3958" t="s">
        <v>18319</v>
      </c>
      <c r="S3958" t="s">
        <v>18321</v>
      </c>
      <c r="T3958" t="s">
        <v>17689</v>
      </c>
      <c r="U3958" t="s">
        <v>18322</v>
      </c>
    </row>
    <row r="3959" spans="1:21" x14ac:dyDescent="0.25">
      <c r="A3959" t="s">
        <v>18323</v>
      </c>
      <c r="B3959" t="s">
        <v>22</v>
      </c>
      <c r="C3959" t="s">
        <v>18324</v>
      </c>
      <c r="D3959">
        <f t="shared" si="96"/>
        <v>-8787</v>
      </c>
      <c r="E3959" t="s">
        <v>18325</v>
      </c>
      <c r="F3959" t="s">
        <v>14473</v>
      </c>
      <c r="G3959" t="s">
        <v>14474</v>
      </c>
      <c r="H3959">
        <v>-79.837639780000003</v>
      </c>
      <c r="I3959">
        <v>36.039304950000002</v>
      </c>
      <c r="J3959">
        <v>35</v>
      </c>
      <c r="K3959" t="s">
        <v>1035</v>
      </c>
      <c r="L3959" t="s">
        <v>1035</v>
      </c>
      <c r="M3959" t="s">
        <v>1035</v>
      </c>
      <c r="N3959" t="s">
        <v>1035</v>
      </c>
      <c r="O3959" t="s">
        <v>1035</v>
      </c>
      <c r="P3959" t="s">
        <v>1035</v>
      </c>
      <c r="Q3959" t="s">
        <v>1492</v>
      </c>
      <c r="R3959" t="s">
        <v>18324</v>
      </c>
      <c r="S3959" t="s">
        <v>18326</v>
      </c>
      <c r="T3959" t="s">
        <v>17775</v>
      </c>
      <c r="U3959" t="s">
        <v>18327</v>
      </c>
    </row>
    <row r="3960" spans="1:21" x14ac:dyDescent="0.25">
      <c r="A3960" t="s">
        <v>18328</v>
      </c>
      <c r="B3960" t="s">
        <v>32</v>
      </c>
      <c r="C3960" t="s">
        <v>18329</v>
      </c>
      <c r="D3960">
        <f t="shared" si="96"/>
        <v>-8787</v>
      </c>
      <c r="E3960" t="s">
        <v>18330</v>
      </c>
      <c r="F3960" t="s">
        <v>14473</v>
      </c>
      <c r="G3960" t="s">
        <v>14474</v>
      </c>
      <c r="H3960">
        <v>-157.828233326309</v>
      </c>
      <c r="I3960">
        <v>21.2787942549521</v>
      </c>
      <c r="J3960">
        <v>2</v>
      </c>
      <c r="K3960" t="s">
        <v>536</v>
      </c>
      <c r="L3960" t="s">
        <v>536</v>
      </c>
      <c r="M3960" t="s">
        <v>536</v>
      </c>
      <c r="N3960" t="s">
        <v>536</v>
      </c>
      <c r="O3960" t="s">
        <v>536</v>
      </c>
      <c r="P3960" t="s">
        <v>536</v>
      </c>
      <c r="Q3960" t="s">
        <v>1035</v>
      </c>
      <c r="R3960" t="s">
        <v>18329</v>
      </c>
      <c r="S3960" t="s">
        <v>18331</v>
      </c>
      <c r="T3960" t="s">
        <v>18332</v>
      </c>
      <c r="U3960" t="s">
        <v>18333</v>
      </c>
    </row>
    <row r="3961" spans="1:21" x14ac:dyDescent="0.25">
      <c r="A3961" t="s">
        <v>18334</v>
      </c>
      <c r="B3961" t="s">
        <v>22</v>
      </c>
      <c r="C3961" t="s">
        <v>18335</v>
      </c>
      <c r="D3961">
        <f t="shared" si="96"/>
        <v>-8787</v>
      </c>
      <c r="E3961" t="s">
        <v>17157</v>
      </c>
      <c r="F3961" t="s">
        <v>14473</v>
      </c>
      <c r="G3961" t="s">
        <v>14474</v>
      </c>
      <c r="H3961">
        <v>-74.058695400000005</v>
      </c>
      <c r="I3961">
        <v>40.915397319999997</v>
      </c>
      <c r="J3961">
        <v>35</v>
      </c>
      <c r="K3961" t="s">
        <v>717</v>
      </c>
      <c r="L3961" t="s">
        <v>717</v>
      </c>
      <c r="M3961" t="s">
        <v>717</v>
      </c>
      <c r="N3961" t="s">
        <v>717</v>
      </c>
      <c r="O3961" t="s">
        <v>717</v>
      </c>
      <c r="P3961" t="s">
        <v>717</v>
      </c>
      <c r="R3961" t="s">
        <v>18335</v>
      </c>
      <c r="S3961" t="s">
        <v>18336</v>
      </c>
      <c r="T3961" t="s">
        <v>17159</v>
      </c>
      <c r="U3961" t="s">
        <v>18337</v>
      </c>
    </row>
    <row r="3962" spans="1:21" x14ac:dyDescent="0.25">
      <c r="A3962" t="s">
        <v>18338</v>
      </c>
      <c r="B3962" t="s">
        <v>22</v>
      </c>
      <c r="C3962" t="s">
        <v>18339</v>
      </c>
      <c r="D3962">
        <f t="shared" si="96"/>
        <v>-8787</v>
      </c>
      <c r="E3962" t="s">
        <v>18340</v>
      </c>
      <c r="F3962" t="s">
        <v>14473</v>
      </c>
      <c r="G3962" t="s">
        <v>14474</v>
      </c>
      <c r="H3962">
        <v>-74.881051302164806</v>
      </c>
      <c r="I3962">
        <v>40.184480546506499</v>
      </c>
      <c r="J3962">
        <v>35</v>
      </c>
      <c r="K3962" t="s">
        <v>1035</v>
      </c>
      <c r="L3962" t="s">
        <v>1035</v>
      </c>
      <c r="M3962" t="s">
        <v>1035</v>
      </c>
      <c r="N3962" t="s">
        <v>1035</v>
      </c>
      <c r="O3962" t="s">
        <v>536</v>
      </c>
      <c r="P3962" t="s">
        <v>536</v>
      </c>
      <c r="Q3962" t="s">
        <v>1034</v>
      </c>
      <c r="R3962" t="s">
        <v>18339</v>
      </c>
      <c r="S3962" t="s">
        <v>18341</v>
      </c>
      <c r="T3962" t="s">
        <v>17270</v>
      </c>
      <c r="U3962" t="s">
        <v>18342</v>
      </c>
    </row>
    <row r="3963" spans="1:21" x14ac:dyDescent="0.25">
      <c r="A3963" t="s">
        <v>18343</v>
      </c>
      <c r="B3963" t="s">
        <v>22</v>
      </c>
      <c r="C3963" t="s">
        <v>18344</v>
      </c>
      <c r="D3963">
        <f t="shared" si="96"/>
        <v>-8787</v>
      </c>
      <c r="E3963" t="s">
        <v>18110</v>
      </c>
      <c r="F3963" t="s">
        <v>14473</v>
      </c>
      <c r="G3963" t="s">
        <v>14474</v>
      </c>
      <c r="H3963">
        <v>-77.174735104390194</v>
      </c>
      <c r="I3963">
        <v>38.775040440486201</v>
      </c>
      <c r="J3963">
        <v>35</v>
      </c>
      <c r="K3963" t="s">
        <v>1501</v>
      </c>
      <c r="L3963" t="s">
        <v>1501</v>
      </c>
      <c r="M3963" t="s">
        <v>1501</v>
      </c>
      <c r="N3963" t="s">
        <v>1501</v>
      </c>
      <c r="O3963" t="s">
        <v>1501</v>
      </c>
      <c r="P3963" t="s">
        <v>1501</v>
      </c>
      <c r="Q3963" t="s">
        <v>717</v>
      </c>
      <c r="R3963" t="s">
        <v>18344</v>
      </c>
      <c r="S3963" t="s">
        <v>18345</v>
      </c>
      <c r="T3963" t="s">
        <v>17202</v>
      </c>
      <c r="U3963" t="s">
        <v>18346</v>
      </c>
    </row>
    <row r="3964" spans="1:21" x14ac:dyDescent="0.25">
      <c r="A3964" t="s">
        <v>18347</v>
      </c>
      <c r="B3964" t="s">
        <v>22</v>
      </c>
      <c r="C3964" t="s">
        <v>18348</v>
      </c>
      <c r="D3964">
        <f t="shared" si="96"/>
        <v>-8787</v>
      </c>
      <c r="E3964" t="s">
        <v>18349</v>
      </c>
      <c r="F3964" t="s">
        <v>14473</v>
      </c>
      <c r="G3964" t="s">
        <v>14474</v>
      </c>
      <c r="H3964">
        <v>-122.052932</v>
      </c>
      <c r="I3964">
        <v>38.260362999999998</v>
      </c>
      <c r="J3964">
        <v>4</v>
      </c>
      <c r="K3964" t="s">
        <v>717</v>
      </c>
      <c r="L3964" t="s">
        <v>717</v>
      </c>
      <c r="M3964" t="s">
        <v>717</v>
      </c>
      <c r="N3964" t="s">
        <v>717</v>
      </c>
      <c r="O3964" t="s">
        <v>717</v>
      </c>
      <c r="P3964" t="s">
        <v>717</v>
      </c>
      <c r="Q3964" t="s">
        <v>1492</v>
      </c>
      <c r="R3964" t="s">
        <v>18348</v>
      </c>
      <c r="S3964" t="s">
        <v>18350</v>
      </c>
      <c r="T3964" t="s">
        <v>17372</v>
      </c>
      <c r="U3964" t="s">
        <v>18351</v>
      </c>
    </row>
    <row r="3965" spans="1:21" x14ac:dyDescent="0.25">
      <c r="A3965" t="s">
        <v>18352</v>
      </c>
      <c r="B3965" t="s">
        <v>22</v>
      </c>
      <c r="C3965" t="s">
        <v>18353</v>
      </c>
      <c r="D3965">
        <f t="shared" si="96"/>
        <v>-8787</v>
      </c>
      <c r="E3965" t="s">
        <v>18354</v>
      </c>
      <c r="F3965" t="s">
        <v>14473</v>
      </c>
      <c r="G3965" t="s">
        <v>14474</v>
      </c>
      <c r="H3965">
        <v>-74.369366999999997</v>
      </c>
      <c r="I3965">
        <v>41.453324000000002</v>
      </c>
      <c r="J3965">
        <v>35</v>
      </c>
      <c r="K3965" t="s">
        <v>717</v>
      </c>
      <c r="L3965" t="s">
        <v>717</v>
      </c>
      <c r="M3965" t="s">
        <v>717</v>
      </c>
      <c r="N3965" t="s">
        <v>717</v>
      </c>
      <c r="O3965" t="s">
        <v>717</v>
      </c>
      <c r="P3965" t="s">
        <v>717</v>
      </c>
      <c r="Q3965" t="s">
        <v>1034</v>
      </c>
      <c r="R3965" t="s">
        <v>18353</v>
      </c>
      <c r="S3965" t="s">
        <v>18355</v>
      </c>
      <c r="T3965" t="s">
        <v>17165</v>
      </c>
      <c r="U3965" t="s">
        <v>18356</v>
      </c>
    </row>
    <row r="3966" spans="1:21" x14ac:dyDescent="0.25">
      <c r="A3966" t="s">
        <v>18357</v>
      </c>
      <c r="B3966" t="s">
        <v>38</v>
      </c>
      <c r="C3966" t="s">
        <v>18358</v>
      </c>
      <c r="D3966">
        <f t="shared" si="96"/>
        <v>-8787</v>
      </c>
      <c r="E3966" t="s">
        <v>18359</v>
      </c>
      <c r="F3966" t="s">
        <v>14473</v>
      </c>
      <c r="G3966" t="s">
        <v>14474</v>
      </c>
      <c r="H3966">
        <v>-79.959228999999993</v>
      </c>
      <c r="I3966">
        <v>37.303840999999998</v>
      </c>
      <c r="J3966">
        <v>35</v>
      </c>
      <c r="K3966" t="s">
        <v>45</v>
      </c>
      <c r="L3966" t="s">
        <v>45</v>
      </c>
      <c r="M3966" t="s">
        <v>45</v>
      </c>
      <c r="N3966" t="s">
        <v>45</v>
      </c>
      <c r="O3966" t="s">
        <v>45</v>
      </c>
      <c r="P3966" t="s">
        <v>45</v>
      </c>
      <c r="Q3966" t="s">
        <v>1492</v>
      </c>
      <c r="R3966" t="s">
        <v>18358</v>
      </c>
      <c r="S3966" t="s">
        <v>18360</v>
      </c>
      <c r="T3966" t="s">
        <v>17202</v>
      </c>
      <c r="U3966" t="s">
        <v>18361</v>
      </c>
    </row>
    <row r="3967" spans="1:21" x14ac:dyDescent="0.25">
      <c r="A3967" t="s">
        <v>18362</v>
      </c>
      <c r="B3967" t="s">
        <v>22</v>
      </c>
      <c r="C3967" t="s">
        <v>18363</v>
      </c>
      <c r="D3967">
        <f t="shared" si="96"/>
        <v>-8787</v>
      </c>
      <c r="E3967" t="s">
        <v>18364</v>
      </c>
      <c r="F3967" t="s">
        <v>14473</v>
      </c>
      <c r="G3967" t="s">
        <v>14474</v>
      </c>
      <c r="H3967">
        <v>-106.5726689</v>
      </c>
      <c r="I3967">
        <v>35.106849390000001</v>
      </c>
      <c r="J3967">
        <v>10</v>
      </c>
      <c r="K3967" t="s">
        <v>717</v>
      </c>
      <c r="L3967" t="s">
        <v>717</v>
      </c>
      <c r="M3967" t="s">
        <v>717</v>
      </c>
      <c r="N3967" t="s">
        <v>717</v>
      </c>
      <c r="O3967" t="s">
        <v>717</v>
      </c>
      <c r="P3967" t="s">
        <v>717</v>
      </c>
      <c r="Q3967" t="s">
        <v>1492</v>
      </c>
      <c r="R3967" t="s">
        <v>18363</v>
      </c>
      <c r="S3967" t="s">
        <v>18365</v>
      </c>
      <c r="T3967" t="s">
        <v>18366</v>
      </c>
      <c r="U3967" t="s">
        <v>18367</v>
      </c>
    </row>
    <row r="3968" spans="1:21" x14ac:dyDescent="0.25">
      <c r="A3968" t="s">
        <v>18368</v>
      </c>
      <c r="B3968" t="s">
        <v>38</v>
      </c>
      <c r="C3968" t="s">
        <v>18369</v>
      </c>
      <c r="D3968">
        <f t="shared" si="96"/>
        <v>-8787</v>
      </c>
      <c r="E3968" t="s">
        <v>18370</v>
      </c>
      <c r="F3968" t="s">
        <v>14473</v>
      </c>
      <c r="G3968" t="s">
        <v>14474</v>
      </c>
      <c r="H3968">
        <v>-104.873501469226</v>
      </c>
      <c r="I3968">
        <v>39.416320256103504</v>
      </c>
      <c r="J3968">
        <v>10</v>
      </c>
      <c r="K3968" t="s">
        <v>717</v>
      </c>
      <c r="L3968" t="s">
        <v>717</v>
      </c>
      <c r="M3968" t="s">
        <v>717</v>
      </c>
      <c r="N3968" t="s">
        <v>717</v>
      </c>
      <c r="O3968" t="s">
        <v>717</v>
      </c>
      <c r="P3968" t="s">
        <v>717</v>
      </c>
      <c r="Q3968" t="s">
        <v>1034</v>
      </c>
      <c r="R3968" t="s">
        <v>18369</v>
      </c>
      <c r="S3968" t="s">
        <v>18371</v>
      </c>
      <c r="T3968" t="s">
        <v>17689</v>
      </c>
      <c r="U3968" t="s">
        <v>18372</v>
      </c>
    </row>
    <row r="3969" spans="1:21" x14ac:dyDescent="0.25">
      <c r="A3969" t="s">
        <v>18373</v>
      </c>
      <c r="B3969" t="s">
        <v>38</v>
      </c>
      <c r="C3969" t="s">
        <v>18374</v>
      </c>
      <c r="D3969">
        <f t="shared" si="96"/>
        <v>-8787</v>
      </c>
      <c r="E3969" t="s">
        <v>18024</v>
      </c>
      <c r="F3969" t="s">
        <v>14473</v>
      </c>
      <c r="G3969" t="s">
        <v>14474</v>
      </c>
      <c r="H3969">
        <v>-95.809630900000002</v>
      </c>
      <c r="I3969">
        <v>29.77717724</v>
      </c>
      <c r="J3969">
        <v>20</v>
      </c>
      <c r="K3969" t="s">
        <v>1035</v>
      </c>
      <c r="L3969" t="s">
        <v>1035</v>
      </c>
      <c r="M3969" t="s">
        <v>1035</v>
      </c>
      <c r="N3969" t="s">
        <v>1035</v>
      </c>
      <c r="O3969" t="s">
        <v>536</v>
      </c>
      <c r="P3969" t="s">
        <v>536</v>
      </c>
      <c r="Q3969" t="s">
        <v>1034</v>
      </c>
      <c r="R3969" t="s">
        <v>18374</v>
      </c>
      <c r="S3969" t="s">
        <v>18375</v>
      </c>
      <c r="T3969" t="s">
        <v>17781</v>
      </c>
      <c r="U3969" t="s">
        <v>18376</v>
      </c>
    </row>
    <row r="3970" spans="1:21" x14ac:dyDescent="0.25">
      <c r="A3970" t="s">
        <v>18377</v>
      </c>
      <c r="B3970" t="s">
        <v>38</v>
      </c>
      <c r="C3970" t="s">
        <v>18378</v>
      </c>
      <c r="D3970">
        <f t="shared" si="96"/>
        <v>-8787</v>
      </c>
      <c r="E3970" t="s">
        <v>18379</v>
      </c>
      <c r="F3970" t="s">
        <v>14473</v>
      </c>
      <c r="G3970" t="s">
        <v>14474</v>
      </c>
      <c r="H3970">
        <v>-80.211976730000003</v>
      </c>
      <c r="I3970">
        <v>40.215495070000003</v>
      </c>
      <c r="J3970">
        <v>35</v>
      </c>
      <c r="K3970" t="s">
        <v>717</v>
      </c>
      <c r="L3970" t="s">
        <v>717</v>
      </c>
      <c r="M3970" t="s">
        <v>717</v>
      </c>
      <c r="N3970" t="s">
        <v>717</v>
      </c>
      <c r="O3970" t="s">
        <v>717</v>
      </c>
      <c r="P3970" t="s">
        <v>717</v>
      </c>
      <c r="Q3970" t="s">
        <v>717</v>
      </c>
      <c r="R3970" t="s">
        <v>18378</v>
      </c>
      <c r="S3970" t="s">
        <v>18380</v>
      </c>
      <c r="T3970" t="s">
        <v>17270</v>
      </c>
      <c r="U3970" t="s">
        <v>18381</v>
      </c>
    </row>
    <row r="3971" spans="1:21" x14ac:dyDescent="0.25">
      <c r="A3971" t="s">
        <v>18382</v>
      </c>
      <c r="B3971" t="s">
        <v>38</v>
      </c>
      <c r="C3971" t="s">
        <v>18383</v>
      </c>
      <c r="D3971">
        <f t="shared" si="96"/>
        <v>-8787</v>
      </c>
      <c r="E3971" t="s">
        <v>18384</v>
      </c>
      <c r="F3971" t="s">
        <v>14473</v>
      </c>
      <c r="G3971" t="s">
        <v>14474</v>
      </c>
      <c r="H3971">
        <v>-111.88512812622599</v>
      </c>
      <c r="I3971">
        <v>40.436134257849702</v>
      </c>
      <c r="J3971">
        <v>10</v>
      </c>
      <c r="K3971" t="s">
        <v>717</v>
      </c>
      <c r="L3971" t="s">
        <v>717</v>
      </c>
      <c r="M3971" t="s">
        <v>717</v>
      </c>
      <c r="N3971" t="s">
        <v>717</v>
      </c>
      <c r="O3971" t="s">
        <v>717</v>
      </c>
      <c r="P3971" t="s">
        <v>717</v>
      </c>
      <c r="Q3971" t="s">
        <v>1034</v>
      </c>
      <c r="R3971" t="s">
        <v>18383</v>
      </c>
      <c r="S3971" t="s">
        <v>18385</v>
      </c>
      <c r="T3971" t="s">
        <v>17924</v>
      </c>
      <c r="U3971" t="s">
        <v>18386</v>
      </c>
    </row>
    <row r="3972" spans="1:21" x14ac:dyDescent="0.25">
      <c r="A3972" t="s">
        <v>18387</v>
      </c>
      <c r="B3972" t="s">
        <v>22</v>
      </c>
      <c r="C3972" t="s">
        <v>18388</v>
      </c>
      <c r="D3972">
        <f t="shared" si="96"/>
        <v>-8787</v>
      </c>
      <c r="E3972" t="s">
        <v>18389</v>
      </c>
      <c r="F3972" t="s">
        <v>14473</v>
      </c>
      <c r="G3972" t="s">
        <v>14474</v>
      </c>
      <c r="H3972">
        <v>-80.364531580000005</v>
      </c>
      <c r="I3972">
        <v>25.78766177</v>
      </c>
      <c r="J3972">
        <v>35</v>
      </c>
      <c r="K3972" t="s">
        <v>717</v>
      </c>
      <c r="L3972" t="s">
        <v>717</v>
      </c>
      <c r="M3972" t="s">
        <v>717</v>
      </c>
      <c r="N3972" t="s">
        <v>717</v>
      </c>
      <c r="O3972" t="s">
        <v>717</v>
      </c>
      <c r="P3972" t="s">
        <v>717</v>
      </c>
      <c r="Q3972" t="s">
        <v>17207</v>
      </c>
      <c r="R3972" t="s">
        <v>18388</v>
      </c>
      <c r="S3972" t="s">
        <v>18390</v>
      </c>
      <c r="T3972" t="s">
        <v>17724</v>
      </c>
      <c r="U3972" t="s">
        <v>18391</v>
      </c>
    </row>
    <row r="3973" spans="1:21" x14ac:dyDescent="0.25">
      <c r="A3973" t="s">
        <v>18392</v>
      </c>
      <c r="B3973" t="s">
        <v>38</v>
      </c>
      <c r="C3973" t="s">
        <v>18393</v>
      </c>
      <c r="D3973">
        <f t="shared" si="96"/>
        <v>-8787</v>
      </c>
      <c r="E3973" t="s">
        <v>18394</v>
      </c>
      <c r="F3973" t="s">
        <v>14473</v>
      </c>
      <c r="G3973" t="s">
        <v>14474</v>
      </c>
      <c r="H3973">
        <v>-84.056510243143094</v>
      </c>
      <c r="I3973">
        <v>39.766925726568203</v>
      </c>
      <c r="J3973">
        <v>35</v>
      </c>
      <c r="K3973" t="s">
        <v>1035</v>
      </c>
      <c r="L3973" t="s">
        <v>1035</v>
      </c>
      <c r="M3973" t="s">
        <v>1035</v>
      </c>
      <c r="N3973" t="s">
        <v>1035</v>
      </c>
      <c r="O3973" t="s">
        <v>1035</v>
      </c>
      <c r="P3973" t="s">
        <v>1035</v>
      </c>
      <c r="Q3973" t="s">
        <v>1492</v>
      </c>
      <c r="R3973" t="s">
        <v>18393</v>
      </c>
      <c r="S3973" t="s">
        <v>18395</v>
      </c>
      <c r="T3973" t="s">
        <v>17419</v>
      </c>
      <c r="U3973" t="s">
        <v>18396</v>
      </c>
    </row>
    <row r="3974" spans="1:21" x14ac:dyDescent="0.25">
      <c r="A3974" t="s">
        <v>18397</v>
      </c>
      <c r="B3974" t="s">
        <v>38</v>
      </c>
      <c r="C3974" t="s">
        <v>18398</v>
      </c>
      <c r="D3974">
        <f t="shared" si="96"/>
        <v>-8787</v>
      </c>
      <c r="E3974" t="s">
        <v>18399</v>
      </c>
      <c r="F3974" t="s">
        <v>14473</v>
      </c>
      <c r="G3974" t="s">
        <v>14474</v>
      </c>
      <c r="H3974">
        <v>-86.495559139999997</v>
      </c>
      <c r="I3974">
        <v>39.161235480000002</v>
      </c>
      <c r="J3974">
        <v>35</v>
      </c>
      <c r="K3974" t="s">
        <v>1035</v>
      </c>
      <c r="L3974" t="s">
        <v>1035</v>
      </c>
      <c r="M3974" t="s">
        <v>1035</v>
      </c>
      <c r="N3974" t="s">
        <v>1035</v>
      </c>
      <c r="O3974" t="s">
        <v>536</v>
      </c>
      <c r="P3974" t="s">
        <v>536</v>
      </c>
      <c r="Q3974" t="s">
        <v>1492</v>
      </c>
      <c r="R3974" t="s">
        <v>18398</v>
      </c>
      <c r="S3974" t="s">
        <v>18400</v>
      </c>
      <c r="T3974" t="s">
        <v>17366</v>
      </c>
      <c r="U3974" t="s">
        <v>18401</v>
      </c>
    </row>
    <row r="3975" spans="1:21" x14ac:dyDescent="0.25">
      <c r="A3975" t="s">
        <v>18402</v>
      </c>
      <c r="B3975" t="s">
        <v>22</v>
      </c>
      <c r="C3975" t="s">
        <v>18403</v>
      </c>
      <c r="D3975">
        <f t="shared" si="96"/>
        <v>-8787</v>
      </c>
      <c r="E3975" t="s">
        <v>18404</v>
      </c>
      <c r="F3975" t="s">
        <v>14473</v>
      </c>
      <c r="G3975" t="s">
        <v>14474</v>
      </c>
      <c r="H3975">
        <v>-122.488822205285</v>
      </c>
      <c r="I3975">
        <v>48.786178503941798</v>
      </c>
      <c r="J3975">
        <v>4</v>
      </c>
      <c r="K3975" t="s">
        <v>536</v>
      </c>
      <c r="L3975" t="s">
        <v>536</v>
      </c>
      <c r="M3975" t="s">
        <v>536</v>
      </c>
      <c r="N3975" t="s">
        <v>536</v>
      </c>
      <c r="O3975" t="s">
        <v>536</v>
      </c>
      <c r="P3975" t="s">
        <v>536</v>
      </c>
      <c r="Q3975" t="s">
        <v>1034</v>
      </c>
      <c r="R3975" t="s">
        <v>18403</v>
      </c>
      <c r="S3975" t="s">
        <v>18405</v>
      </c>
      <c r="T3975" t="s">
        <v>17620</v>
      </c>
      <c r="U3975" t="s">
        <v>18406</v>
      </c>
    </row>
    <row r="3976" spans="1:21" x14ac:dyDescent="0.25">
      <c r="A3976" t="s">
        <v>18407</v>
      </c>
      <c r="B3976" t="s">
        <v>32</v>
      </c>
      <c r="C3976" t="s">
        <v>18408</v>
      </c>
      <c r="D3976">
        <f t="shared" si="96"/>
        <v>-8787</v>
      </c>
      <c r="E3976" t="s">
        <v>18024</v>
      </c>
      <c r="F3976" t="s">
        <v>14473</v>
      </c>
      <c r="G3976" t="s">
        <v>14474</v>
      </c>
      <c r="H3976">
        <v>-95.464460399999993</v>
      </c>
      <c r="I3976">
        <v>29.73760468</v>
      </c>
      <c r="J3976">
        <v>20</v>
      </c>
      <c r="K3976" t="s">
        <v>1035</v>
      </c>
      <c r="L3976" t="s">
        <v>1035</v>
      </c>
      <c r="M3976" t="s">
        <v>1035</v>
      </c>
      <c r="N3976" t="s">
        <v>1035</v>
      </c>
      <c r="O3976" t="s">
        <v>536</v>
      </c>
      <c r="P3976" t="s">
        <v>536</v>
      </c>
      <c r="Q3976" t="s">
        <v>717</v>
      </c>
      <c r="R3976" t="s">
        <v>18408</v>
      </c>
      <c r="S3976" t="s">
        <v>18409</v>
      </c>
      <c r="T3976" t="s">
        <v>17781</v>
      </c>
      <c r="U3976" t="s">
        <v>18410</v>
      </c>
    </row>
    <row r="3977" spans="1:21" x14ac:dyDescent="0.25">
      <c r="A3977" t="s">
        <v>18411</v>
      </c>
      <c r="B3977" t="s">
        <v>38</v>
      </c>
      <c r="C3977" t="s">
        <v>18412</v>
      </c>
      <c r="D3977">
        <f t="shared" si="96"/>
        <v>-8787</v>
      </c>
      <c r="E3977" t="s">
        <v>18413</v>
      </c>
      <c r="F3977" t="s">
        <v>14473</v>
      </c>
      <c r="G3977" t="s">
        <v>14474</v>
      </c>
      <c r="H3977">
        <v>-80.0186461361087</v>
      </c>
      <c r="I3977">
        <v>32.874893366754698</v>
      </c>
      <c r="J3977">
        <v>35</v>
      </c>
      <c r="K3977" t="s">
        <v>717</v>
      </c>
      <c r="L3977" t="s">
        <v>717</v>
      </c>
      <c r="M3977" t="s">
        <v>717</v>
      </c>
      <c r="N3977" t="s">
        <v>717</v>
      </c>
      <c r="O3977" t="s">
        <v>717</v>
      </c>
      <c r="P3977" t="s">
        <v>717</v>
      </c>
      <c r="Q3977" t="s">
        <v>717</v>
      </c>
      <c r="R3977" t="s">
        <v>18412</v>
      </c>
      <c r="S3977" t="s">
        <v>18414</v>
      </c>
      <c r="T3977" t="s">
        <v>18147</v>
      </c>
      <c r="U3977" t="s">
        <v>18415</v>
      </c>
    </row>
    <row r="3978" spans="1:21" x14ac:dyDescent="0.25">
      <c r="A3978" t="s">
        <v>18416</v>
      </c>
      <c r="B3978" t="s">
        <v>22</v>
      </c>
      <c r="C3978" t="s">
        <v>18417</v>
      </c>
      <c r="D3978">
        <f t="shared" ref="D3978:D4041" si="97">1-855-466-7467</f>
        <v>-8787</v>
      </c>
      <c r="E3978" t="s">
        <v>18418</v>
      </c>
      <c r="F3978" t="s">
        <v>14473</v>
      </c>
      <c r="G3978" t="s">
        <v>14474</v>
      </c>
      <c r="H3978">
        <v>-118.1529647</v>
      </c>
      <c r="I3978">
        <v>34.60450831</v>
      </c>
      <c r="J3978">
        <v>4</v>
      </c>
      <c r="K3978" t="s">
        <v>717</v>
      </c>
      <c r="L3978" t="s">
        <v>717</v>
      </c>
      <c r="M3978" t="s">
        <v>717</v>
      </c>
      <c r="N3978" t="s">
        <v>717</v>
      </c>
      <c r="O3978" t="s">
        <v>717</v>
      </c>
      <c r="P3978" t="s">
        <v>717</v>
      </c>
      <c r="Q3978" t="s">
        <v>1034</v>
      </c>
      <c r="R3978" t="s">
        <v>18417</v>
      </c>
      <c r="S3978" t="s">
        <v>18419</v>
      </c>
      <c r="T3978" t="s">
        <v>17372</v>
      </c>
      <c r="U3978" t="s">
        <v>18420</v>
      </c>
    </row>
    <row r="3979" spans="1:21" x14ac:dyDescent="0.25">
      <c r="A3979" t="s">
        <v>18421</v>
      </c>
      <c r="B3979" t="s">
        <v>22</v>
      </c>
      <c r="C3979" t="s">
        <v>18422</v>
      </c>
      <c r="D3979">
        <f t="shared" si="97"/>
        <v>-8787</v>
      </c>
      <c r="E3979" t="s">
        <v>18423</v>
      </c>
      <c r="F3979" t="s">
        <v>14473</v>
      </c>
      <c r="G3979" t="s">
        <v>14474</v>
      </c>
      <c r="H3979">
        <v>-106.3785986</v>
      </c>
      <c r="I3979">
        <v>31.774498959999999</v>
      </c>
      <c r="J3979">
        <v>10</v>
      </c>
      <c r="K3979" t="s">
        <v>717</v>
      </c>
      <c r="L3979" t="s">
        <v>717</v>
      </c>
      <c r="M3979" t="s">
        <v>717</v>
      </c>
      <c r="N3979" t="s">
        <v>717</v>
      </c>
      <c r="O3979" t="s">
        <v>717</v>
      </c>
      <c r="P3979" t="s">
        <v>717</v>
      </c>
      <c r="Q3979" t="s">
        <v>17207</v>
      </c>
      <c r="R3979" t="s">
        <v>18422</v>
      </c>
      <c r="S3979" t="s">
        <v>18424</v>
      </c>
      <c r="T3979" t="s">
        <v>17781</v>
      </c>
      <c r="U3979" t="s">
        <v>18425</v>
      </c>
    </row>
    <row r="3980" spans="1:21" x14ac:dyDescent="0.25">
      <c r="A3980" t="s">
        <v>18426</v>
      </c>
      <c r="B3980" t="s">
        <v>22</v>
      </c>
      <c r="C3980" t="s">
        <v>18427</v>
      </c>
      <c r="D3980">
        <f t="shared" si="97"/>
        <v>-8787</v>
      </c>
      <c r="E3980" t="s">
        <v>18428</v>
      </c>
      <c r="F3980" t="s">
        <v>14473</v>
      </c>
      <c r="G3980" t="s">
        <v>14474</v>
      </c>
      <c r="H3980">
        <v>-82.5257572965468</v>
      </c>
      <c r="I3980">
        <v>35.579567851573401</v>
      </c>
      <c r="J3980">
        <v>35</v>
      </c>
      <c r="K3980" t="s">
        <v>1035</v>
      </c>
      <c r="L3980" t="s">
        <v>1035</v>
      </c>
      <c r="M3980" t="s">
        <v>1035</v>
      </c>
      <c r="N3980" t="s">
        <v>1035</v>
      </c>
      <c r="O3980" t="s">
        <v>1035</v>
      </c>
      <c r="P3980" t="s">
        <v>1035</v>
      </c>
      <c r="Q3980" t="s">
        <v>1492</v>
      </c>
      <c r="R3980" t="s">
        <v>18427</v>
      </c>
      <c r="S3980" t="s">
        <v>18429</v>
      </c>
      <c r="T3980" t="s">
        <v>17775</v>
      </c>
      <c r="U3980" t="s">
        <v>18430</v>
      </c>
    </row>
    <row r="3981" spans="1:21" x14ac:dyDescent="0.25">
      <c r="A3981" t="s">
        <v>18431</v>
      </c>
      <c r="B3981" t="s">
        <v>22</v>
      </c>
      <c r="C3981" t="s">
        <v>18432</v>
      </c>
      <c r="D3981">
        <f t="shared" si="97"/>
        <v>-8787</v>
      </c>
      <c r="E3981" t="s">
        <v>18433</v>
      </c>
      <c r="F3981" t="s">
        <v>14473</v>
      </c>
      <c r="G3981" t="s">
        <v>14474</v>
      </c>
      <c r="H3981">
        <v>-96.067574320000006</v>
      </c>
      <c r="I3981">
        <v>41.266464050000003</v>
      </c>
      <c r="J3981">
        <v>20</v>
      </c>
      <c r="K3981" t="s">
        <v>1035</v>
      </c>
      <c r="L3981" t="s">
        <v>1035</v>
      </c>
      <c r="M3981" t="s">
        <v>1035</v>
      </c>
      <c r="N3981" t="s">
        <v>1035</v>
      </c>
      <c r="O3981" t="s">
        <v>1501</v>
      </c>
      <c r="P3981" t="s">
        <v>1501</v>
      </c>
      <c r="Q3981" t="s">
        <v>717</v>
      </c>
      <c r="R3981" t="s">
        <v>18432</v>
      </c>
      <c r="S3981" t="s">
        <v>18434</v>
      </c>
      <c r="T3981" t="s">
        <v>18435</v>
      </c>
      <c r="U3981" t="s">
        <v>18436</v>
      </c>
    </row>
    <row r="3982" spans="1:21" x14ac:dyDescent="0.25">
      <c r="A3982" t="s">
        <v>18437</v>
      </c>
      <c r="B3982" t="s">
        <v>22</v>
      </c>
      <c r="C3982" t="s">
        <v>18438</v>
      </c>
      <c r="D3982">
        <f t="shared" si="97"/>
        <v>-8787</v>
      </c>
      <c r="E3982" t="s">
        <v>18439</v>
      </c>
      <c r="F3982" t="s">
        <v>14473</v>
      </c>
      <c r="G3982" t="s">
        <v>14474</v>
      </c>
      <c r="H3982">
        <v>-88.008645540000003</v>
      </c>
      <c r="I3982">
        <v>41.83870392</v>
      </c>
      <c r="J3982">
        <v>20</v>
      </c>
      <c r="K3982" t="s">
        <v>1035</v>
      </c>
      <c r="L3982" t="s">
        <v>1035</v>
      </c>
      <c r="M3982" t="s">
        <v>1035</v>
      </c>
      <c r="N3982" t="s">
        <v>1035</v>
      </c>
      <c r="O3982" t="s">
        <v>536</v>
      </c>
      <c r="P3982" t="s">
        <v>536</v>
      </c>
      <c r="Q3982" t="s">
        <v>1034</v>
      </c>
      <c r="R3982" t="s">
        <v>18438</v>
      </c>
      <c r="S3982" t="s">
        <v>18440</v>
      </c>
      <c r="T3982" t="s">
        <v>17313</v>
      </c>
      <c r="U3982" t="s">
        <v>18441</v>
      </c>
    </row>
    <row r="3983" spans="1:21" x14ac:dyDescent="0.25">
      <c r="A3983" t="s">
        <v>18442</v>
      </c>
      <c r="B3983" t="s">
        <v>38</v>
      </c>
      <c r="C3983" t="s">
        <v>18443</v>
      </c>
      <c r="D3983">
        <f t="shared" si="97"/>
        <v>-8787</v>
      </c>
      <c r="E3983" t="s">
        <v>18444</v>
      </c>
      <c r="F3983" t="s">
        <v>14473</v>
      </c>
      <c r="G3983" t="s">
        <v>14474</v>
      </c>
      <c r="H3983">
        <v>-84.419849238477894</v>
      </c>
      <c r="I3983">
        <v>42.725149871533901</v>
      </c>
      <c r="J3983">
        <v>35</v>
      </c>
      <c r="K3983" t="s">
        <v>717</v>
      </c>
      <c r="L3983" t="s">
        <v>717</v>
      </c>
      <c r="M3983" t="s">
        <v>717</v>
      </c>
      <c r="N3983" t="s">
        <v>717</v>
      </c>
      <c r="O3983" t="s">
        <v>717</v>
      </c>
      <c r="P3983" t="s">
        <v>717</v>
      </c>
      <c r="Q3983" t="s">
        <v>1492</v>
      </c>
      <c r="R3983" t="s">
        <v>18443</v>
      </c>
      <c r="S3983" t="s">
        <v>18445</v>
      </c>
      <c r="T3983" t="s">
        <v>17546</v>
      </c>
      <c r="U3983" t="s">
        <v>18446</v>
      </c>
    </row>
    <row r="3984" spans="1:21" x14ac:dyDescent="0.25">
      <c r="A3984" t="s">
        <v>18447</v>
      </c>
      <c r="B3984" t="s">
        <v>38</v>
      </c>
      <c r="C3984" t="s">
        <v>18448</v>
      </c>
      <c r="D3984">
        <f t="shared" si="97"/>
        <v>-8787</v>
      </c>
      <c r="E3984" t="s">
        <v>18449</v>
      </c>
      <c r="F3984" t="s">
        <v>14473</v>
      </c>
      <c r="G3984" t="s">
        <v>14474</v>
      </c>
      <c r="H3984">
        <v>-92.374007999579305</v>
      </c>
      <c r="I3984">
        <v>38.963854606500803</v>
      </c>
      <c r="J3984">
        <v>20</v>
      </c>
      <c r="K3984" t="s">
        <v>717</v>
      </c>
      <c r="L3984" t="s">
        <v>717</v>
      </c>
      <c r="M3984" t="s">
        <v>717</v>
      </c>
      <c r="N3984" t="s">
        <v>717</v>
      </c>
      <c r="O3984" t="s">
        <v>717</v>
      </c>
      <c r="P3984" t="s">
        <v>717</v>
      </c>
      <c r="Q3984" t="s">
        <v>1034</v>
      </c>
      <c r="R3984" t="s">
        <v>18448</v>
      </c>
      <c r="S3984" t="s">
        <v>18450</v>
      </c>
      <c r="T3984" t="s">
        <v>17393</v>
      </c>
      <c r="U3984" t="s">
        <v>18451</v>
      </c>
    </row>
    <row r="3985" spans="1:21" x14ac:dyDescent="0.25">
      <c r="A3985" t="s">
        <v>18452</v>
      </c>
      <c r="B3985" t="s">
        <v>22</v>
      </c>
      <c r="C3985" t="s">
        <v>18453</v>
      </c>
      <c r="D3985">
        <f t="shared" si="97"/>
        <v>-8787</v>
      </c>
      <c r="E3985" t="s">
        <v>18454</v>
      </c>
      <c r="F3985" t="s">
        <v>14473</v>
      </c>
      <c r="G3985" t="s">
        <v>14474</v>
      </c>
      <c r="H3985">
        <v>-96.812051999999994</v>
      </c>
      <c r="I3985">
        <v>33.098498999999997</v>
      </c>
      <c r="J3985">
        <v>20</v>
      </c>
      <c r="K3985" t="s">
        <v>717</v>
      </c>
      <c r="L3985" t="s">
        <v>717</v>
      </c>
      <c r="M3985" t="s">
        <v>717</v>
      </c>
      <c r="N3985" t="s">
        <v>717</v>
      </c>
      <c r="O3985" t="s">
        <v>1035</v>
      </c>
      <c r="P3985" t="s">
        <v>1035</v>
      </c>
      <c r="Q3985" t="s">
        <v>1492</v>
      </c>
      <c r="R3985" t="s">
        <v>18453</v>
      </c>
      <c r="S3985" t="s">
        <v>18455</v>
      </c>
      <c r="T3985" t="s">
        <v>17781</v>
      </c>
      <c r="U3985" t="s">
        <v>18456</v>
      </c>
    </row>
    <row r="3986" spans="1:21" x14ac:dyDescent="0.25">
      <c r="A3986" t="s">
        <v>18457</v>
      </c>
      <c r="B3986" t="s">
        <v>22</v>
      </c>
      <c r="C3986" t="s">
        <v>18458</v>
      </c>
      <c r="D3986">
        <f t="shared" si="97"/>
        <v>-8787</v>
      </c>
      <c r="E3986" t="s">
        <v>18459</v>
      </c>
      <c r="F3986" t="s">
        <v>14473</v>
      </c>
      <c r="G3986" t="s">
        <v>14474</v>
      </c>
      <c r="H3986">
        <v>-74.066841911665406</v>
      </c>
      <c r="I3986">
        <v>40.810618614035597</v>
      </c>
      <c r="J3986">
        <v>35</v>
      </c>
      <c r="K3986" t="s">
        <v>1035</v>
      </c>
      <c r="L3986" t="s">
        <v>1035</v>
      </c>
      <c r="M3986" t="s">
        <v>1035</v>
      </c>
      <c r="N3986" t="s">
        <v>1035</v>
      </c>
      <c r="O3986" t="s">
        <v>1501</v>
      </c>
      <c r="P3986" t="s">
        <v>2229</v>
      </c>
      <c r="R3986" t="s">
        <v>18460</v>
      </c>
      <c r="T3986" t="s">
        <v>17159</v>
      </c>
      <c r="U3986" t="s">
        <v>18461</v>
      </c>
    </row>
    <row r="3987" spans="1:21" x14ac:dyDescent="0.25">
      <c r="A3987" t="s">
        <v>18462</v>
      </c>
      <c r="B3987" t="s">
        <v>22</v>
      </c>
      <c r="C3987" t="s">
        <v>18463</v>
      </c>
      <c r="D3987">
        <f t="shared" si="97"/>
        <v>-8787</v>
      </c>
      <c r="E3987" t="s">
        <v>18464</v>
      </c>
      <c r="F3987" t="s">
        <v>14473</v>
      </c>
      <c r="G3987" t="s">
        <v>14474</v>
      </c>
      <c r="H3987">
        <v>-119.7887447</v>
      </c>
      <c r="I3987">
        <v>36.848807239999999</v>
      </c>
      <c r="J3987">
        <v>4</v>
      </c>
      <c r="K3987" t="s">
        <v>536</v>
      </c>
      <c r="L3987" t="s">
        <v>536</v>
      </c>
      <c r="M3987" t="s">
        <v>536</v>
      </c>
      <c r="N3987" t="s">
        <v>536</v>
      </c>
      <c r="O3987" t="s">
        <v>536</v>
      </c>
      <c r="P3987" t="s">
        <v>536</v>
      </c>
      <c r="Q3987" t="s">
        <v>717</v>
      </c>
      <c r="R3987" t="s">
        <v>18463</v>
      </c>
      <c r="S3987" t="s">
        <v>18465</v>
      </c>
      <c r="T3987" t="s">
        <v>17372</v>
      </c>
      <c r="U3987" t="s">
        <v>18466</v>
      </c>
    </row>
    <row r="3988" spans="1:21" x14ac:dyDescent="0.25">
      <c r="A3988" t="s">
        <v>18467</v>
      </c>
      <c r="B3988" t="s">
        <v>22</v>
      </c>
      <c r="C3988" t="s">
        <v>18468</v>
      </c>
      <c r="D3988">
        <f t="shared" si="97"/>
        <v>-8787</v>
      </c>
      <c r="E3988" t="s">
        <v>18468</v>
      </c>
      <c r="F3988" t="s">
        <v>14473</v>
      </c>
      <c r="G3988" t="s">
        <v>14474</v>
      </c>
      <c r="H3988">
        <v>-116.395678</v>
      </c>
      <c r="I3988">
        <v>33.723542999999999</v>
      </c>
      <c r="J3988">
        <v>4</v>
      </c>
      <c r="K3988" t="s">
        <v>717</v>
      </c>
      <c r="L3988" t="s">
        <v>717</v>
      </c>
      <c r="M3988" t="s">
        <v>717</v>
      </c>
      <c r="N3988" t="s">
        <v>717</v>
      </c>
      <c r="O3988" t="s">
        <v>1035</v>
      </c>
      <c r="P3988" t="s">
        <v>1035</v>
      </c>
      <c r="Q3988" t="s">
        <v>1034</v>
      </c>
      <c r="R3988" t="s">
        <v>18468</v>
      </c>
      <c r="S3988" t="s">
        <v>18469</v>
      </c>
      <c r="T3988" t="s">
        <v>17372</v>
      </c>
      <c r="U3988" t="s">
        <v>18470</v>
      </c>
    </row>
    <row r="3989" spans="1:21" x14ac:dyDescent="0.25">
      <c r="A3989" t="s">
        <v>18471</v>
      </c>
      <c r="B3989" t="s">
        <v>22</v>
      </c>
      <c r="C3989" t="s">
        <v>18472</v>
      </c>
      <c r="D3989">
        <f t="shared" si="97"/>
        <v>-8787</v>
      </c>
      <c r="E3989" t="s">
        <v>18473</v>
      </c>
      <c r="F3989" t="s">
        <v>14473</v>
      </c>
      <c r="G3989" t="s">
        <v>14474</v>
      </c>
      <c r="H3989">
        <v>-98.611981830000005</v>
      </c>
      <c r="I3989">
        <v>29.59221638</v>
      </c>
      <c r="J3989">
        <v>20</v>
      </c>
      <c r="K3989" t="s">
        <v>1035</v>
      </c>
      <c r="L3989" t="s">
        <v>1035</v>
      </c>
      <c r="M3989" t="s">
        <v>1035</v>
      </c>
      <c r="N3989" t="s">
        <v>1035</v>
      </c>
      <c r="O3989" t="s">
        <v>1501</v>
      </c>
      <c r="P3989" t="s">
        <v>1501</v>
      </c>
      <c r="Q3989" t="s">
        <v>1492</v>
      </c>
      <c r="R3989" t="s">
        <v>18472</v>
      </c>
      <c r="S3989" t="s">
        <v>18474</v>
      </c>
      <c r="T3989" t="s">
        <v>17781</v>
      </c>
      <c r="U3989" t="s">
        <v>18475</v>
      </c>
    </row>
    <row r="3990" spans="1:21" x14ac:dyDescent="0.25">
      <c r="A3990" t="s">
        <v>18476</v>
      </c>
      <c r="B3990" t="s">
        <v>38</v>
      </c>
      <c r="C3990" t="s">
        <v>18477</v>
      </c>
      <c r="D3990">
        <f t="shared" si="97"/>
        <v>-8787</v>
      </c>
      <c r="E3990" t="s">
        <v>18478</v>
      </c>
      <c r="F3990" t="s">
        <v>14473</v>
      </c>
      <c r="G3990" t="s">
        <v>14474</v>
      </c>
      <c r="H3990">
        <v>-118.862232095</v>
      </c>
      <c r="I3990">
        <v>34.834885520999997</v>
      </c>
      <c r="J3990">
        <v>4</v>
      </c>
      <c r="K3990" t="s">
        <v>717</v>
      </c>
      <c r="L3990" t="s">
        <v>717</v>
      </c>
      <c r="M3990" t="s">
        <v>717</v>
      </c>
      <c r="N3990" t="s">
        <v>717</v>
      </c>
      <c r="O3990" t="s">
        <v>717</v>
      </c>
      <c r="P3990" t="s">
        <v>717</v>
      </c>
      <c r="Q3990" t="s">
        <v>717</v>
      </c>
      <c r="R3990" t="s">
        <v>18477</v>
      </c>
      <c r="S3990" t="s">
        <v>18479</v>
      </c>
      <c r="T3990" t="s">
        <v>17372</v>
      </c>
      <c r="U3990" t="s">
        <v>18480</v>
      </c>
    </row>
    <row r="3991" spans="1:21" x14ac:dyDescent="0.25">
      <c r="A3991" t="s">
        <v>18481</v>
      </c>
      <c r="B3991" t="s">
        <v>38</v>
      </c>
      <c r="C3991" t="s">
        <v>18482</v>
      </c>
      <c r="D3991">
        <f t="shared" si="97"/>
        <v>-8787</v>
      </c>
      <c r="E3991" t="s">
        <v>18483</v>
      </c>
      <c r="F3991" t="s">
        <v>14473</v>
      </c>
      <c r="G3991" t="s">
        <v>14474</v>
      </c>
      <c r="H3991">
        <v>-80.723933000000002</v>
      </c>
      <c r="I3991">
        <v>35.370107750000003</v>
      </c>
      <c r="J3991">
        <v>35</v>
      </c>
      <c r="K3991" t="s">
        <v>717</v>
      </c>
      <c r="L3991" t="s">
        <v>717</v>
      </c>
      <c r="M3991" t="s">
        <v>717</v>
      </c>
      <c r="N3991" t="s">
        <v>717</v>
      </c>
      <c r="O3991" t="s">
        <v>717</v>
      </c>
      <c r="P3991" t="s">
        <v>717</v>
      </c>
      <c r="Q3991" t="s">
        <v>1492</v>
      </c>
      <c r="R3991" t="s">
        <v>18482</v>
      </c>
      <c r="S3991" t="s">
        <v>18484</v>
      </c>
      <c r="T3991" t="s">
        <v>17775</v>
      </c>
      <c r="U3991" t="s">
        <v>18485</v>
      </c>
    </row>
    <row r="3992" spans="1:21" x14ac:dyDescent="0.25">
      <c r="A3992" t="s">
        <v>18486</v>
      </c>
      <c r="B3992" t="s">
        <v>38</v>
      </c>
      <c r="C3992" t="s">
        <v>18487</v>
      </c>
      <c r="D3992">
        <f t="shared" si="97"/>
        <v>-8787</v>
      </c>
      <c r="E3992" t="s">
        <v>18488</v>
      </c>
      <c r="F3992" t="s">
        <v>14473</v>
      </c>
      <c r="G3992" t="s">
        <v>14474</v>
      </c>
      <c r="H3992">
        <v>-92.479478987245798</v>
      </c>
      <c r="I3992">
        <v>44.004889066001098</v>
      </c>
      <c r="J3992">
        <v>20</v>
      </c>
      <c r="K3992" t="s">
        <v>45</v>
      </c>
      <c r="L3992" t="s">
        <v>45</v>
      </c>
      <c r="M3992" t="s">
        <v>45</v>
      </c>
      <c r="N3992" t="s">
        <v>45</v>
      </c>
      <c r="O3992" t="s">
        <v>45</v>
      </c>
      <c r="P3992" t="s">
        <v>45</v>
      </c>
      <c r="Q3992" t="s">
        <v>1034</v>
      </c>
      <c r="R3992" t="s">
        <v>18487</v>
      </c>
      <c r="S3992" t="s">
        <v>18489</v>
      </c>
      <c r="T3992" t="s">
        <v>17769</v>
      </c>
      <c r="U3992" t="s">
        <v>18490</v>
      </c>
    </row>
    <row r="3993" spans="1:21" x14ac:dyDescent="0.25">
      <c r="A3993" t="s">
        <v>18491</v>
      </c>
      <c r="B3993" t="s">
        <v>38</v>
      </c>
      <c r="C3993" t="s">
        <v>18492</v>
      </c>
      <c r="D3993">
        <f t="shared" si="97"/>
        <v>-8787</v>
      </c>
      <c r="E3993" t="s">
        <v>18493</v>
      </c>
      <c r="F3993" t="s">
        <v>14473</v>
      </c>
      <c r="G3993" t="s">
        <v>14474</v>
      </c>
      <c r="H3993">
        <v>-121.3115597</v>
      </c>
      <c r="I3993">
        <v>37.995105090000003</v>
      </c>
      <c r="J3993">
        <v>4</v>
      </c>
      <c r="K3993" t="s">
        <v>536</v>
      </c>
      <c r="L3993" t="s">
        <v>536</v>
      </c>
      <c r="M3993" t="s">
        <v>536</v>
      </c>
      <c r="N3993" t="s">
        <v>536</v>
      </c>
      <c r="O3993" t="s">
        <v>536</v>
      </c>
      <c r="P3993" t="s">
        <v>536</v>
      </c>
      <c r="Q3993" t="s">
        <v>717</v>
      </c>
      <c r="R3993" t="s">
        <v>18492</v>
      </c>
      <c r="S3993" t="s">
        <v>18494</v>
      </c>
      <c r="T3993" t="s">
        <v>17372</v>
      </c>
      <c r="U3993" t="s">
        <v>18495</v>
      </c>
    </row>
    <row r="3994" spans="1:21" x14ac:dyDescent="0.25">
      <c r="A3994" t="s">
        <v>18496</v>
      </c>
      <c r="B3994" t="s">
        <v>22</v>
      </c>
      <c r="C3994" t="s">
        <v>18497</v>
      </c>
      <c r="D3994">
        <f t="shared" si="97"/>
        <v>-8787</v>
      </c>
      <c r="E3994" t="s">
        <v>18498</v>
      </c>
      <c r="F3994" t="s">
        <v>14473</v>
      </c>
      <c r="G3994" t="s">
        <v>14474</v>
      </c>
      <c r="H3994">
        <v>-84.2530936</v>
      </c>
      <c r="I3994">
        <v>30.436540350000001</v>
      </c>
      <c r="J3994">
        <v>35</v>
      </c>
      <c r="K3994" t="s">
        <v>717</v>
      </c>
      <c r="L3994" t="s">
        <v>717</v>
      </c>
      <c r="M3994" t="s">
        <v>717</v>
      </c>
      <c r="N3994" t="s">
        <v>717</v>
      </c>
      <c r="O3994" t="s">
        <v>1035</v>
      </c>
      <c r="P3994" t="s">
        <v>1035</v>
      </c>
      <c r="Q3994" t="s">
        <v>1492</v>
      </c>
      <c r="R3994" t="s">
        <v>18497</v>
      </c>
      <c r="S3994" t="s">
        <v>18499</v>
      </c>
      <c r="T3994" t="s">
        <v>17724</v>
      </c>
      <c r="U3994" t="s">
        <v>18500</v>
      </c>
    </row>
    <row r="3995" spans="1:21" x14ac:dyDescent="0.25">
      <c r="A3995" t="s">
        <v>18501</v>
      </c>
      <c r="B3995" t="s">
        <v>38</v>
      </c>
      <c r="C3995" t="s">
        <v>18502</v>
      </c>
      <c r="D3995">
        <f t="shared" si="97"/>
        <v>-8787</v>
      </c>
      <c r="E3995" t="s">
        <v>18423</v>
      </c>
      <c r="F3995" t="s">
        <v>14473</v>
      </c>
      <c r="G3995" t="s">
        <v>14474</v>
      </c>
      <c r="H3995">
        <v>-106.58559153488299</v>
      </c>
      <c r="I3995">
        <v>31.914278706618699</v>
      </c>
      <c r="J3995">
        <v>10</v>
      </c>
      <c r="K3995" t="s">
        <v>535</v>
      </c>
      <c r="L3995" t="s">
        <v>535</v>
      </c>
      <c r="M3995" t="s">
        <v>535</v>
      </c>
      <c r="N3995" t="s">
        <v>535</v>
      </c>
      <c r="O3995" t="s">
        <v>45</v>
      </c>
      <c r="P3995" t="s">
        <v>45</v>
      </c>
      <c r="Q3995" t="s">
        <v>717</v>
      </c>
      <c r="R3995" t="s">
        <v>18502</v>
      </c>
      <c r="S3995" t="s">
        <v>18503</v>
      </c>
      <c r="T3995" t="s">
        <v>17781</v>
      </c>
      <c r="U3995" t="s">
        <v>18504</v>
      </c>
    </row>
    <row r="3996" spans="1:21" x14ac:dyDescent="0.25">
      <c r="A3996" t="s">
        <v>18505</v>
      </c>
      <c r="B3996" t="s">
        <v>22</v>
      </c>
      <c r="C3996" t="s">
        <v>18506</v>
      </c>
      <c r="D3996">
        <f t="shared" si="97"/>
        <v>-8787</v>
      </c>
      <c r="E3996" t="s">
        <v>18507</v>
      </c>
      <c r="F3996" t="s">
        <v>14473</v>
      </c>
      <c r="G3996" t="s">
        <v>14474</v>
      </c>
      <c r="H3996">
        <v>-73.827349089999998</v>
      </c>
      <c r="I3996">
        <v>40.864406799999998</v>
      </c>
      <c r="J3996">
        <v>35</v>
      </c>
      <c r="K3996" t="s">
        <v>536</v>
      </c>
      <c r="L3996" t="s">
        <v>536</v>
      </c>
      <c r="M3996" t="s">
        <v>536</v>
      </c>
      <c r="N3996" t="s">
        <v>536</v>
      </c>
      <c r="O3996" t="s">
        <v>536</v>
      </c>
      <c r="P3996" t="s">
        <v>536</v>
      </c>
      <c r="Q3996" t="s">
        <v>717</v>
      </c>
      <c r="R3996" t="s">
        <v>18506</v>
      </c>
      <c r="S3996" t="s">
        <v>18508</v>
      </c>
      <c r="T3996" t="s">
        <v>17165</v>
      </c>
      <c r="U3996" t="s">
        <v>18509</v>
      </c>
    </row>
    <row r="3997" spans="1:21" x14ac:dyDescent="0.25">
      <c r="A3997" t="s">
        <v>18510</v>
      </c>
      <c r="B3997" t="s">
        <v>22</v>
      </c>
      <c r="C3997" t="s">
        <v>18511</v>
      </c>
      <c r="D3997">
        <f t="shared" si="97"/>
        <v>-8787</v>
      </c>
      <c r="E3997" t="s">
        <v>18260</v>
      </c>
      <c r="F3997" t="s">
        <v>14473</v>
      </c>
      <c r="G3997" t="s">
        <v>14474</v>
      </c>
      <c r="H3997">
        <v>-90.038556159999999</v>
      </c>
      <c r="I3997">
        <v>29.92166653</v>
      </c>
      <c r="J3997">
        <v>20</v>
      </c>
      <c r="K3997" t="s">
        <v>717</v>
      </c>
      <c r="L3997" t="s">
        <v>717</v>
      </c>
      <c r="M3997" t="s">
        <v>717</v>
      </c>
      <c r="N3997" t="s">
        <v>717</v>
      </c>
      <c r="O3997" t="s">
        <v>1035</v>
      </c>
      <c r="P3997" t="s">
        <v>1035</v>
      </c>
      <c r="Q3997" t="s">
        <v>1492</v>
      </c>
      <c r="R3997" t="s">
        <v>18511</v>
      </c>
      <c r="S3997" t="s">
        <v>18512</v>
      </c>
      <c r="T3997" t="s">
        <v>18262</v>
      </c>
      <c r="U3997" t="s">
        <v>18513</v>
      </c>
    </row>
    <row r="3998" spans="1:21" x14ac:dyDescent="0.25">
      <c r="A3998" t="s">
        <v>18514</v>
      </c>
      <c r="B3998" t="s">
        <v>38</v>
      </c>
      <c r="C3998" t="s">
        <v>18515</v>
      </c>
      <c r="D3998">
        <f t="shared" si="97"/>
        <v>-8787</v>
      </c>
      <c r="E3998" t="s">
        <v>18516</v>
      </c>
      <c r="F3998" t="s">
        <v>14473</v>
      </c>
      <c r="G3998" t="s">
        <v>14474</v>
      </c>
      <c r="H3998">
        <v>-115.5072469</v>
      </c>
      <c r="I3998">
        <v>32.665004940000003</v>
      </c>
      <c r="J3998">
        <v>4</v>
      </c>
      <c r="K3998" t="s">
        <v>717</v>
      </c>
      <c r="L3998" t="s">
        <v>717</v>
      </c>
      <c r="M3998" t="s">
        <v>717</v>
      </c>
      <c r="N3998" t="s">
        <v>717</v>
      </c>
      <c r="O3998" t="s">
        <v>717</v>
      </c>
      <c r="P3998" t="s">
        <v>717</v>
      </c>
      <c r="Q3998" t="s">
        <v>717</v>
      </c>
      <c r="R3998" t="s">
        <v>18515</v>
      </c>
      <c r="S3998" t="s">
        <v>18517</v>
      </c>
      <c r="T3998" t="s">
        <v>17372</v>
      </c>
      <c r="U3998" t="s">
        <v>18518</v>
      </c>
    </row>
    <row r="3999" spans="1:21" x14ac:dyDescent="0.25">
      <c r="A3999" t="s">
        <v>18519</v>
      </c>
      <c r="B3999" t="s">
        <v>22</v>
      </c>
      <c r="C3999" t="s">
        <v>18520</v>
      </c>
      <c r="D3999">
        <f t="shared" si="97"/>
        <v>-8787</v>
      </c>
      <c r="E3999" t="s">
        <v>18521</v>
      </c>
      <c r="F3999" t="s">
        <v>14473</v>
      </c>
      <c r="G3999" t="s">
        <v>14474</v>
      </c>
      <c r="H3999">
        <v>-80.099002577298094</v>
      </c>
      <c r="I3999">
        <v>42.067755168237703</v>
      </c>
      <c r="J3999">
        <v>35</v>
      </c>
      <c r="K3999" t="s">
        <v>717</v>
      </c>
      <c r="L3999" t="s">
        <v>717</v>
      </c>
      <c r="M3999" t="s">
        <v>717</v>
      </c>
      <c r="N3999" t="s">
        <v>717</v>
      </c>
      <c r="O3999" t="s">
        <v>717</v>
      </c>
      <c r="P3999" t="s">
        <v>717</v>
      </c>
      <c r="Q3999" t="s">
        <v>1034</v>
      </c>
      <c r="R3999" t="s">
        <v>18520</v>
      </c>
      <c r="S3999" t="s">
        <v>18522</v>
      </c>
      <c r="T3999" t="s">
        <v>17270</v>
      </c>
      <c r="U3999" t="s">
        <v>18523</v>
      </c>
    </row>
    <row r="4000" spans="1:21" x14ac:dyDescent="0.25">
      <c r="A4000" t="s">
        <v>18524</v>
      </c>
      <c r="B4000" t="s">
        <v>22</v>
      </c>
      <c r="C4000" t="s">
        <v>18525</v>
      </c>
      <c r="D4000">
        <f t="shared" si="97"/>
        <v>-8787</v>
      </c>
      <c r="E4000" t="s">
        <v>18526</v>
      </c>
      <c r="F4000" t="s">
        <v>14473</v>
      </c>
      <c r="G4000" t="s">
        <v>14474</v>
      </c>
      <c r="H4000">
        <v>-90.129026999999994</v>
      </c>
      <c r="I4000">
        <v>32.402610000000003</v>
      </c>
      <c r="J4000">
        <v>20</v>
      </c>
      <c r="K4000" t="s">
        <v>717</v>
      </c>
      <c r="L4000" t="s">
        <v>717</v>
      </c>
      <c r="M4000" t="s">
        <v>717</v>
      </c>
      <c r="N4000" t="s">
        <v>717</v>
      </c>
      <c r="O4000" t="s">
        <v>717</v>
      </c>
      <c r="P4000" t="s">
        <v>717</v>
      </c>
      <c r="Q4000" t="s">
        <v>1492</v>
      </c>
      <c r="R4000" t="s">
        <v>18525</v>
      </c>
      <c r="S4000" t="s">
        <v>18527</v>
      </c>
      <c r="T4000" t="s">
        <v>18528</v>
      </c>
      <c r="U4000" t="s">
        <v>18529</v>
      </c>
    </row>
    <row r="4001" spans="1:21" x14ac:dyDescent="0.25">
      <c r="A4001" t="s">
        <v>18530</v>
      </c>
      <c r="B4001" t="s">
        <v>22</v>
      </c>
      <c r="C4001" t="s">
        <v>18531</v>
      </c>
      <c r="D4001">
        <f t="shared" si="97"/>
        <v>-8787</v>
      </c>
      <c r="E4001" t="s">
        <v>6230</v>
      </c>
      <c r="F4001" t="s">
        <v>14473</v>
      </c>
      <c r="G4001" t="s">
        <v>14474</v>
      </c>
      <c r="H4001">
        <v>-118.5565857</v>
      </c>
      <c r="I4001">
        <v>34.415579170000001</v>
      </c>
      <c r="J4001">
        <v>4</v>
      </c>
      <c r="K4001" t="s">
        <v>717</v>
      </c>
      <c r="L4001" t="s">
        <v>717</v>
      </c>
      <c r="M4001" t="s">
        <v>717</v>
      </c>
      <c r="N4001" t="s">
        <v>717</v>
      </c>
      <c r="O4001" t="s">
        <v>45</v>
      </c>
      <c r="P4001" t="s">
        <v>45</v>
      </c>
      <c r="Q4001" t="s">
        <v>1034</v>
      </c>
      <c r="R4001" t="s">
        <v>18531</v>
      </c>
      <c r="S4001" t="s">
        <v>18532</v>
      </c>
      <c r="T4001" t="s">
        <v>17372</v>
      </c>
      <c r="U4001" t="s">
        <v>18533</v>
      </c>
    </row>
    <row r="4002" spans="1:21" x14ac:dyDescent="0.25">
      <c r="A4002" t="s">
        <v>18534</v>
      </c>
      <c r="B4002" t="s">
        <v>22</v>
      </c>
      <c r="C4002" t="s">
        <v>18535</v>
      </c>
      <c r="D4002">
        <f t="shared" si="97"/>
        <v>-8787</v>
      </c>
      <c r="E4002" t="s">
        <v>18536</v>
      </c>
      <c r="F4002" t="s">
        <v>14473</v>
      </c>
      <c r="G4002" t="s">
        <v>14474</v>
      </c>
      <c r="H4002">
        <v>-82.412416178000001</v>
      </c>
      <c r="I4002">
        <v>29.657574363999998</v>
      </c>
      <c r="J4002">
        <v>35</v>
      </c>
      <c r="K4002" t="s">
        <v>717</v>
      </c>
      <c r="L4002" t="s">
        <v>717</v>
      </c>
      <c r="M4002" t="s">
        <v>717</v>
      </c>
      <c r="N4002" t="s">
        <v>717</v>
      </c>
      <c r="O4002" t="s">
        <v>1035</v>
      </c>
      <c r="P4002" t="s">
        <v>1035</v>
      </c>
      <c r="Q4002" t="s">
        <v>1492</v>
      </c>
      <c r="R4002" t="s">
        <v>18535</v>
      </c>
      <c r="S4002" t="s">
        <v>18537</v>
      </c>
      <c r="T4002" t="s">
        <v>17724</v>
      </c>
      <c r="U4002" t="s">
        <v>18538</v>
      </c>
    </row>
    <row r="4003" spans="1:21" x14ac:dyDescent="0.25">
      <c r="A4003" t="s">
        <v>18539</v>
      </c>
      <c r="B4003" t="s">
        <v>22</v>
      </c>
      <c r="C4003" t="s">
        <v>18540</v>
      </c>
      <c r="D4003">
        <f t="shared" si="97"/>
        <v>-8787</v>
      </c>
      <c r="E4003" t="s">
        <v>17290</v>
      </c>
      <c r="F4003" t="s">
        <v>14473</v>
      </c>
      <c r="G4003" t="s">
        <v>14474</v>
      </c>
      <c r="H4003">
        <v>-77.040368346032693</v>
      </c>
      <c r="I4003">
        <v>38.904913511286402</v>
      </c>
      <c r="J4003">
        <v>35</v>
      </c>
      <c r="K4003" t="s">
        <v>45</v>
      </c>
      <c r="L4003" t="s">
        <v>45</v>
      </c>
      <c r="M4003" t="s">
        <v>45</v>
      </c>
      <c r="N4003" t="s">
        <v>45</v>
      </c>
      <c r="O4003" t="s">
        <v>45</v>
      </c>
      <c r="P4003" t="s">
        <v>535</v>
      </c>
      <c r="Q4003" t="s">
        <v>1492</v>
      </c>
      <c r="R4003" t="s">
        <v>18540</v>
      </c>
      <c r="S4003" t="s">
        <v>18541</v>
      </c>
      <c r="T4003" t="s">
        <v>17292</v>
      </c>
      <c r="U4003" t="s">
        <v>18542</v>
      </c>
    </row>
    <row r="4004" spans="1:21" x14ac:dyDescent="0.25">
      <c r="A4004" t="s">
        <v>18543</v>
      </c>
      <c r="B4004" t="s">
        <v>38</v>
      </c>
      <c r="C4004" t="s">
        <v>18544</v>
      </c>
      <c r="D4004">
        <f t="shared" si="97"/>
        <v>-8787</v>
      </c>
      <c r="E4004" t="s">
        <v>18545</v>
      </c>
      <c r="F4004" t="s">
        <v>14473</v>
      </c>
      <c r="G4004" t="s">
        <v>14474</v>
      </c>
      <c r="H4004">
        <v>-70.804676999999998</v>
      </c>
      <c r="I4004">
        <v>43.096808000000003</v>
      </c>
      <c r="J4004">
        <v>35</v>
      </c>
      <c r="K4004" t="s">
        <v>535</v>
      </c>
      <c r="L4004" t="s">
        <v>535</v>
      </c>
      <c r="M4004" t="s">
        <v>535</v>
      </c>
      <c r="N4004" t="s">
        <v>535</v>
      </c>
      <c r="O4004" t="s">
        <v>535</v>
      </c>
      <c r="P4004" t="s">
        <v>535</v>
      </c>
      <c r="Q4004" t="s">
        <v>1034</v>
      </c>
      <c r="R4004" t="s">
        <v>18544</v>
      </c>
      <c r="S4004" t="s">
        <v>18546</v>
      </c>
      <c r="T4004" t="s">
        <v>18547</v>
      </c>
      <c r="U4004" t="s">
        <v>18548</v>
      </c>
    </row>
    <row r="4005" spans="1:21" x14ac:dyDescent="0.25">
      <c r="A4005" t="s">
        <v>18549</v>
      </c>
      <c r="B4005" t="s">
        <v>38</v>
      </c>
      <c r="C4005" t="s">
        <v>18550</v>
      </c>
      <c r="D4005">
        <f t="shared" si="97"/>
        <v>-8787</v>
      </c>
      <c r="E4005" t="s">
        <v>18394</v>
      </c>
      <c r="F4005" t="s">
        <v>14473</v>
      </c>
      <c r="G4005" t="s">
        <v>14474</v>
      </c>
      <c r="H4005">
        <v>-84.222175780000001</v>
      </c>
      <c r="I4005">
        <v>39.634134009999997</v>
      </c>
      <c r="J4005">
        <v>35</v>
      </c>
      <c r="K4005" t="s">
        <v>1035</v>
      </c>
      <c r="L4005" t="s">
        <v>1035</v>
      </c>
      <c r="M4005" t="s">
        <v>1035</v>
      </c>
      <c r="N4005" t="s">
        <v>1035</v>
      </c>
      <c r="O4005" t="s">
        <v>1035</v>
      </c>
      <c r="P4005" t="s">
        <v>1035</v>
      </c>
      <c r="Q4005" t="s">
        <v>1492</v>
      </c>
      <c r="R4005" t="s">
        <v>18550</v>
      </c>
      <c r="S4005" t="s">
        <v>18551</v>
      </c>
      <c r="T4005" t="s">
        <v>17419</v>
      </c>
      <c r="U4005" t="s">
        <v>18552</v>
      </c>
    </row>
    <row r="4006" spans="1:21" x14ac:dyDescent="0.25">
      <c r="A4006" t="s">
        <v>18553</v>
      </c>
      <c r="B4006" t="s">
        <v>38</v>
      </c>
      <c r="C4006" t="s">
        <v>18554</v>
      </c>
      <c r="D4006">
        <f t="shared" si="97"/>
        <v>-8787</v>
      </c>
      <c r="E4006" t="s">
        <v>17762</v>
      </c>
      <c r="F4006" t="s">
        <v>14473</v>
      </c>
      <c r="G4006" t="s">
        <v>14474</v>
      </c>
      <c r="H4006">
        <v>-83.473610679999993</v>
      </c>
      <c r="I4006">
        <v>34.251788259999998</v>
      </c>
      <c r="J4006">
        <v>35</v>
      </c>
      <c r="K4006" t="s">
        <v>717</v>
      </c>
      <c r="L4006" t="s">
        <v>717</v>
      </c>
      <c r="M4006" t="s">
        <v>717</v>
      </c>
      <c r="N4006" t="s">
        <v>717</v>
      </c>
      <c r="O4006" t="s">
        <v>717</v>
      </c>
      <c r="P4006" t="s">
        <v>717</v>
      </c>
      <c r="Q4006" t="s">
        <v>717</v>
      </c>
      <c r="R4006" t="s">
        <v>18554</v>
      </c>
      <c r="S4006" t="s">
        <v>18555</v>
      </c>
      <c r="T4006" t="s">
        <v>9074</v>
      </c>
      <c r="U4006" t="s">
        <v>18556</v>
      </c>
    </row>
    <row r="4007" spans="1:21" x14ac:dyDescent="0.25">
      <c r="A4007" t="s">
        <v>18557</v>
      </c>
      <c r="B4007" t="s">
        <v>22</v>
      </c>
      <c r="C4007" t="s">
        <v>18558</v>
      </c>
      <c r="D4007">
        <f t="shared" si="97"/>
        <v>-8787</v>
      </c>
      <c r="E4007" t="s">
        <v>18559</v>
      </c>
      <c r="F4007" t="s">
        <v>14473</v>
      </c>
      <c r="G4007" t="s">
        <v>14474</v>
      </c>
      <c r="H4007">
        <v>-80.319354125851007</v>
      </c>
      <c r="I4007">
        <v>25.868005236529701</v>
      </c>
      <c r="J4007">
        <v>35</v>
      </c>
      <c r="K4007" t="s">
        <v>536</v>
      </c>
      <c r="L4007" t="s">
        <v>536</v>
      </c>
      <c r="M4007" t="s">
        <v>536</v>
      </c>
      <c r="N4007" t="s">
        <v>536</v>
      </c>
      <c r="O4007" t="s">
        <v>536</v>
      </c>
      <c r="P4007" t="s">
        <v>536</v>
      </c>
      <c r="Q4007" t="s">
        <v>17207</v>
      </c>
      <c r="R4007" t="s">
        <v>18558</v>
      </c>
      <c r="S4007" t="s">
        <v>18560</v>
      </c>
      <c r="T4007" t="s">
        <v>17724</v>
      </c>
      <c r="U4007" t="s">
        <v>18561</v>
      </c>
    </row>
    <row r="4008" spans="1:21" x14ac:dyDescent="0.25">
      <c r="A4008" t="s">
        <v>18562</v>
      </c>
      <c r="B4008" t="s">
        <v>22</v>
      </c>
      <c r="C4008" t="s">
        <v>18563</v>
      </c>
      <c r="D4008">
        <f t="shared" si="97"/>
        <v>-8787</v>
      </c>
      <c r="E4008" t="s">
        <v>18564</v>
      </c>
      <c r="F4008" t="s">
        <v>14473</v>
      </c>
      <c r="G4008" t="s">
        <v>14474</v>
      </c>
      <c r="H4008">
        <v>-78.96050821</v>
      </c>
      <c r="I4008">
        <v>35.07216373</v>
      </c>
      <c r="J4008">
        <v>35</v>
      </c>
      <c r="K4008" t="s">
        <v>1035</v>
      </c>
      <c r="L4008" t="s">
        <v>1035</v>
      </c>
      <c r="M4008" t="s">
        <v>1035</v>
      </c>
      <c r="N4008" t="s">
        <v>1035</v>
      </c>
      <c r="O4008" t="s">
        <v>1035</v>
      </c>
      <c r="P4008" t="s">
        <v>1035</v>
      </c>
      <c r="Q4008" t="s">
        <v>1492</v>
      </c>
      <c r="R4008" t="s">
        <v>18563</v>
      </c>
      <c r="S4008" t="s">
        <v>18565</v>
      </c>
      <c r="T4008" t="s">
        <v>17775</v>
      </c>
      <c r="U4008" t="s">
        <v>18566</v>
      </c>
    </row>
    <row r="4009" spans="1:21" x14ac:dyDescent="0.25">
      <c r="A4009" t="s">
        <v>18567</v>
      </c>
      <c r="B4009" t="s">
        <v>22</v>
      </c>
      <c r="C4009" t="s">
        <v>18568</v>
      </c>
      <c r="D4009">
        <f t="shared" si="97"/>
        <v>-8787</v>
      </c>
      <c r="E4009" t="s">
        <v>18569</v>
      </c>
      <c r="F4009" t="s">
        <v>14473</v>
      </c>
      <c r="G4009" t="s">
        <v>14474</v>
      </c>
      <c r="H4009">
        <v>-114.026871</v>
      </c>
      <c r="I4009">
        <v>46.845613999999998</v>
      </c>
      <c r="J4009">
        <v>10</v>
      </c>
      <c r="K4009" t="s">
        <v>1035</v>
      </c>
      <c r="L4009" t="s">
        <v>1035</v>
      </c>
      <c r="M4009" t="s">
        <v>1035</v>
      </c>
      <c r="N4009" t="s">
        <v>1035</v>
      </c>
      <c r="O4009" t="s">
        <v>1035</v>
      </c>
      <c r="P4009" t="s">
        <v>1035</v>
      </c>
      <c r="Q4009" t="s">
        <v>1034</v>
      </c>
      <c r="R4009" t="s">
        <v>18568</v>
      </c>
      <c r="S4009" t="s">
        <v>18570</v>
      </c>
      <c r="T4009" t="s">
        <v>18571</v>
      </c>
      <c r="U4009" t="s">
        <v>18572</v>
      </c>
    </row>
    <row r="4010" spans="1:21" x14ac:dyDescent="0.25">
      <c r="A4010" t="s">
        <v>18573</v>
      </c>
      <c r="B4010" t="s">
        <v>38</v>
      </c>
      <c r="C4010" t="s">
        <v>18574</v>
      </c>
      <c r="D4010">
        <f t="shared" si="97"/>
        <v>-8787</v>
      </c>
      <c r="E4010" t="s">
        <v>532</v>
      </c>
      <c r="F4010" t="s">
        <v>14473</v>
      </c>
      <c r="G4010" t="s">
        <v>14474</v>
      </c>
      <c r="H4010">
        <v>-80.650595465193206</v>
      </c>
      <c r="I4010">
        <v>28.081518808544999</v>
      </c>
      <c r="J4010">
        <v>35</v>
      </c>
      <c r="K4010" t="s">
        <v>717</v>
      </c>
      <c r="L4010" t="s">
        <v>717</v>
      </c>
      <c r="M4010" t="s">
        <v>717</v>
      </c>
      <c r="N4010" t="s">
        <v>717</v>
      </c>
      <c r="O4010" t="s">
        <v>45</v>
      </c>
      <c r="P4010" t="s">
        <v>45</v>
      </c>
      <c r="Q4010" t="s">
        <v>1492</v>
      </c>
      <c r="R4010" t="s">
        <v>18574</v>
      </c>
      <c r="S4010" t="s">
        <v>18575</v>
      </c>
      <c r="T4010" t="s">
        <v>17724</v>
      </c>
      <c r="U4010" t="s">
        <v>18576</v>
      </c>
    </row>
    <row r="4011" spans="1:21" x14ac:dyDescent="0.25">
      <c r="A4011" t="s">
        <v>18577</v>
      </c>
      <c r="B4011" t="s">
        <v>32</v>
      </c>
      <c r="C4011" t="s">
        <v>18578</v>
      </c>
      <c r="D4011">
        <f t="shared" si="97"/>
        <v>-8787</v>
      </c>
      <c r="E4011" t="s">
        <v>17456</v>
      </c>
      <c r="F4011" t="s">
        <v>14473</v>
      </c>
      <c r="G4011" t="s">
        <v>14474</v>
      </c>
      <c r="H4011">
        <v>-118.261159544755</v>
      </c>
      <c r="I4011">
        <v>34.049316548017103</v>
      </c>
      <c r="J4011">
        <v>4</v>
      </c>
      <c r="K4011" t="s">
        <v>536</v>
      </c>
      <c r="L4011" t="s">
        <v>536</v>
      </c>
      <c r="M4011" t="s">
        <v>536</v>
      </c>
      <c r="N4011" t="s">
        <v>536</v>
      </c>
      <c r="O4011" t="s">
        <v>536</v>
      </c>
      <c r="P4011" t="s">
        <v>536</v>
      </c>
      <c r="Q4011" t="s">
        <v>45</v>
      </c>
      <c r="R4011" t="s">
        <v>18578</v>
      </c>
      <c r="S4011" t="s">
        <v>18579</v>
      </c>
      <c r="T4011" t="s">
        <v>17372</v>
      </c>
      <c r="U4011" t="s">
        <v>18580</v>
      </c>
    </row>
    <row r="4012" spans="1:21" x14ac:dyDescent="0.25">
      <c r="A4012" t="s">
        <v>18581</v>
      </c>
      <c r="B4012" t="s">
        <v>38</v>
      </c>
      <c r="C4012" t="s">
        <v>18582</v>
      </c>
      <c r="D4012">
        <f t="shared" si="97"/>
        <v>-8787</v>
      </c>
      <c r="E4012" t="s">
        <v>18583</v>
      </c>
      <c r="F4012" t="s">
        <v>14473</v>
      </c>
      <c r="G4012" t="s">
        <v>14474</v>
      </c>
      <c r="H4012">
        <v>-80.096168939999998</v>
      </c>
      <c r="I4012">
        <v>26.53519781</v>
      </c>
      <c r="J4012">
        <v>35</v>
      </c>
      <c r="K4012" t="s">
        <v>717</v>
      </c>
      <c r="L4012" t="s">
        <v>717</v>
      </c>
      <c r="M4012" t="s">
        <v>717</v>
      </c>
      <c r="N4012" t="s">
        <v>717</v>
      </c>
      <c r="O4012" t="s">
        <v>717</v>
      </c>
      <c r="P4012" t="s">
        <v>717</v>
      </c>
      <c r="Q4012" t="s">
        <v>1492</v>
      </c>
      <c r="R4012" t="s">
        <v>18582</v>
      </c>
      <c r="S4012" t="s">
        <v>18584</v>
      </c>
      <c r="T4012" t="s">
        <v>17724</v>
      </c>
      <c r="U4012" t="s">
        <v>18585</v>
      </c>
    </row>
    <row r="4013" spans="1:21" x14ac:dyDescent="0.25">
      <c r="A4013" t="s">
        <v>18586</v>
      </c>
      <c r="B4013" t="s">
        <v>22</v>
      </c>
      <c r="C4013" t="s">
        <v>18587</v>
      </c>
      <c r="D4013">
        <f t="shared" si="97"/>
        <v>-8787</v>
      </c>
      <c r="E4013" t="s">
        <v>18588</v>
      </c>
      <c r="F4013" t="s">
        <v>14473</v>
      </c>
      <c r="G4013" t="s">
        <v>14474</v>
      </c>
      <c r="H4013">
        <v>-116.96638849999999</v>
      </c>
      <c r="I4013">
        <v>32.806100929999999</v>
      </c>
      <c r="J4013">
        <v>4</v>
      </c>
      <c r="K4013" t="s">
        <v>717</v>
      </c>
      <c r="L4013" t="s">
        <v>717</v>
      </c>
      <c r="M4013" t="s">
        <v>717</v>
      </c>
      <c r="N4013" t="s">
        <v>717</v>
      </c>
      <c r="O4013" t="s">
        <v>1035</v>
      </c>
      <c r="P4013" t="s">
        <v>1035</v>
      </c>
      <c r="Q4013" t="s">
        <v>1492</v>
      </c>
      <c r="R4013" t="s">
        <v>18587</v>
      </c>
      <c r="S4013" t="s">
        <v>18589</v>
      </c>
      <c r="T4013" t="s">
        <v>17372</v>
      </c>
      <c r="U4013" t="s">
        <v>18590</v>
      </c>
    </row>
    <row r="4014" spans="1:21" x14ac:dyDescent="0.25">
      <c r="A4014" t="s">
        <v>18591</v>
      </c>
      <c r="B4014" t="s">
        <v>22</v>
      </c>
      <c r="C4014" t="s">
        <v>18592</v>
      </c>
      <c r="D4014">
        <f t="shared" si="97"/>
        <v>-8787</v>
      </c>
      <c r="E4014" t="s">
        <v>18593</v>
      </c>
      <c r="F4014" t="s">
        <v>14473</v>
      </c>
      <c r="G4014" t="s">
        <v>14474</v>
      </c>
      <c r="H4014">
        <v>-121.6573133</v>
      </c>
      <c r="I4014">
        <v>36.720843889999998</v>
      </c>
      <c r="J4014">
        <v>4</v>
      </c>
      <c r="K4014" t="s">
        <v>717</v>
      </c>
      <c r="L4014" t="s">
        <v>717</v>
      </c>
      <c r="M4014" t="s">
        <v>717</v>
      </c>
      <c r="N4014" t="s">
        <v>717</v>
      </c>
      <c r="O4014" t="s">
        <v>717</v>
      </c>
      <c r="P4014" t="s">
        <v>717</v>
      </c>
      <c r="Q4014" t="s">
        <v>717</v>
      </c>
      <c r="R4014" t="s">
        <v>18592</v>
      </c>
      <c r="S4014" t="s">
        <v>18594</v>
      </c>
      <c r="T4014" t="s">
        <v>17372</v>
      </c>
      <c r="U4014" t="s">
        <v>18595</v>
      </c>
    </row>
    <row r="4015" spans="1:21" x14ac:dyDescent="0.25">
      <c r="A4015" t="s">
        <v>18596</v>
      </c>
      <c r="B4015" t="s">
        <v>22</v>
      </c>
      <c r="C4015" t="s">
        <v>18597</v>
      </c>
      <c r="D4015">
        <f t="shared" si="97"/>
        <v>-8787</v>
      </c>
      <c r="E4015" t="s">
        <v>18598</v>
      </c>
      <c r="F4015" t="s">
        <v>14473</v>
      </c>
      <c r="G4015" t="s">
        <v>14474</v>
      </c>
      <c r="H4015">
        <v>-84.528639609999999</v>
      </c>
      <c r="I4015">
        <v>37.988250600000001</v>
      </c>
      <c r="J4015">
        <v>35</v>
      </c>
      <c r="K4015" t="s">
        <v>536</v>
      </c>
      <c r="L4015" t="s">
        <v>536</v>
      </c>
      <c r="M4015" t="s">
        <v>536</v>
      </c>
      <c r="N4015" t="s">
        <v>536</v>
      </c>
      <c r="O4015" t="s">
        <v>536</v>
      </c>
      <c r="P4015" t="s">
        <v>536</v>
      </c>
      <c r="Q4015" t="s">
        <v>1492</v>
      </c>
      <c r="R4015" t="s">
        <v>18597</v>
      </c>
      <c r="S4015" t="s">
        <v>18599</v>
      </c>
      <c r="T4015" t="s">
        <v>18241</v>
      </c>
      <c r="U4015" t="s">
        <v>18600</v>
      </c>
    </row>
    <row r="4016" spans="1:21" x14ac:dyDescent="0.25">
      <c r="A4016" t="s">
        <v>18601</v>
      </c>
      <c r="B4016" t="s">
        <v>22</v>
      </c>
      <c r="C4016" t="s">
        <v>18602</v>
      </c>
      <c r="D4016">
        <f t="shared" si="97"/>
        <v>-8787</v>
      </c>
      <c r="E4016" t="s">
        <v>18603</v>
      </c>
      <c r="F4016" t="s">
        <v>14473</v>
      </c>
      <c r="G4016" t="s">
        <v>14474</v>
      </c>
      <c r="H4016">
        <v>-82.453103999999996</v>
      </c>
      <c r="I4016">
        <v>27.384615530000001</v>
      </c>
      <c r="J4016">
        <v>35</v>
      </c>
      <c r="K4016" t="s">
        <v>1035</v>
      </c>
      <c r="L4016" t="s">
        <v>1035</v>
      </c>
      <c r="M4016" t="s">
        <v>1035</v>
      </c>
      <c r="N4016" t="s">
        <v>1035</v>
      </c>
      <c r="O4016" t="s">
        <v>536</v>
      </c>
      <c r="P4016" t="s">
        <v>536</v>
      </c>
      <c r="Q4016" t="s">
        <v>1034</v>
      </c>
      <c r="R4016" t="s">
        <v>18602</v>
      </c>
      <c r="S4016" t="s">
        <v>18604</v>
      </c>
      <c r="T4016" t="s">
        <v>17724</v>
      </c>
      <c r="U4016" t="s">
        <v>18605</v>
      </c>
    </row>
    <row r="4017" spans="1:21" x14ac:dyDescent="0.25">
      <c r="A4017" t="s">
        <v>18606</v>
      </c>
      <c r="B4017" t="s">
        <v>22</v>
      </c>
      <c r="C4017" t="s">
        <v>18607</v>
      </c>
      <c r="D4017">
        <f t="shared" si="97"/>
        <v>-8787</v>
      </c>
      <c r="E4017" t="s">
        <v>18608</v>
      </c>
      <c r="F4017" t="s">
        <v>14473</v>
      </c>
      <c r="G4017" t="s">
        <v>14474</v>
      </c>
      <c r="H4017">
        <v>-88.165223999999995</v>
      </c>
      <c r="I4017">
        <v>41.576846000000003</v>
      </c>
      <c r="J4017">
        <v>20</v>
      </c>
      <c r="K4017" t="s">
        <v>717</v>
      </c>
      <c r="L4017" t="s">
        <v>717</v>
      </c>
      <c r="M4017" t="s">
        <v>717</v>
      </c>
      <c r="N4017" t="s">
        <v>717</v>
      </c>
      <c r="O4017" t="s">
        <v>717</v>
      </c>
      <c r="P4017" t="s">
        <v>717</v>
      </c>
      <c r="Q4017" t="s">
        <v>1492</v>
      </c>
      <c r="R4017" t="s">
        <v>18607</v>
      </c>
      <c r="S4017" t="s">
        <v>18609</v>
      </c>
      <c r="T4017" t="s">
        <v>17313</v>
      </c>
      <c r="U4017" t="s">
        <v>18610</v>
      </c>
    </row>
    <row r="4018" spans="1:21" x14ac:dyDescent="0.25">
      <c r="A4018" t="s">
        <v>18611</v>
      </c>
      <c r="B4018" t="s">
        <v>32</v>
      </c>
      <c r="C4018" t="s">
        <v>18612</v>
      </c>
      <c r="D4018">
        <f t="shared" si="97"/>
        <v>-8787</v>
      </c>
      <c r="E4018" t="s">
        <v>17274</v>
      </c>
      <c r="F4018" t="s">
        <v>14473</v>
      </c>
      <c r="G4018" t="s">
        <v>14474</v>
      </c>
      <c r="H4018">
        <v>-73.986091689999995</v>
      </c>
      <c r="I4018">
        <v>40.755975239999998</v>
      </c>
      <c r="J4018">
        <v>35</v>
      </c>
      <c r="K4018" t="s">
        <v>27</v>
      </c>
      <c r="L4018" t="s">
        <v>27</v>
      </c>
      <c r="M4018" t="s">
        <v>27</v>
      </c>
      <c r="N4018" t="s">
        <v>27</v>
      </c>
      <c r="O4018" t="s">
        <v>34</v>
      </c>
      <c r="P4018" t="s">
        <v>34</v>
      </c>
      <c r="Q4018" t="s">
        <v>34</v>
      </c>
      <c r="R4018" t="s">
        <v>18612</v>
      </c>
      <c r="S4018" t="s">
        <v>18613</v>
      </c>
      <c r="T4018" t="s">
        <v>17165</v>
      </c>
      <c r="U4018" t="s">
        <v>18614</v>
      </c>
    </row>
    <row r="4019" spans="1:21" x14ac:dyDescent="0.25">
      <c r="A4019" t="s">
        <v>18615</v>
      </c>
      <c r="B4019" t="s">
        <v>22</v>
      </c>
      <c r="C4019" t="s">
        <v>18616</v>
      </c>
      <c r="D4019">
        <f t="shared" si="97"/>
        <v>-8787</v>
      </c>
      <c r="E4019" t="s">
        <v>18617</v>
      </c>
      <c r="F4019" t="s">
        <v>14473</v>
      </c>
      <c r="G4019" t="s">
        <v>14474</v>
      </c>
      <c r="H4019">
        <v>-87.311687972294493</v>
      </c>
      <c r="I4019">
        <v>41.467932253282001</v>
      </c>
      <c r="J4019">
        <v>20</v>
      </c>
      <c r="K4019" t="s">
        <v>717</v>
      </c>
      <c r="L4019" t="s">
        <v>717</v>
      </c>
      <c r="M4019" t="s">
        <v>717</v>
      </c>
      <c r="N4019" t="s">
        <v>717</v>
      </c>
      <c r="O4019" t="s">
        <v>717</v>
      </c>
      <c r="P4019" t="s">
        <v>717</v>
      </c>
      <c r="Q4019" t="s">
        <v>1492</v>
      </c>
      <c r="R4019" t="s">
        <v>18616</v>
      </c>
      <c r="S4019" t="s">
        <v>18618</v>
      </c>
      <c r="T4019" t="s">
        <v>17366</v>
      </c>
      <c r="U4019" t="s">
        <v>18619</v>
      </c>
    </row>
    <row r="4020" spans="1:21" x14ac:dyDescent="0.25">
      <c r="A4020" t="s">
        <v>18620</v>
      </c>
      <c r="B4020" t="s">
        <v>22</v>
      </c>
      <c r="C4020" t="s">
        <v>18621</v>
      </c>
      <c r="D4020">
        <f t="shared" si="97"/>
        <v>-8787</v>
      </c>
      <c r="E4020" t="s">
        <v>18473</v>
      </c>
      <c r="F4020" t="s">
        <v>14473</v>
      </c>
      <c r="G4020" t="s">
        <v>14474</v>
      </c>
      <c r="H4020">
        <v>-98.486787559999996</v>
      </c>
      <c r="I4020">
        <v>29.424202820000001</v>
      </c>
      <c r="J4020">
        <v>20</v>
      </c>
      <c r="K4020" t="s">
        <v>45</v>
      </c>
      <c r="L4020" t="s">
        <v>45</v>
      </c>
      <c r="M4020" t="s">
        <v>45</v>
      </c>
      <c r="N4020" t="s">
        <v>45</v>
      </c>
      <c r="O4020" t="s">
        <v>45</v>
      </c>
      <c r="P4020" t="s">
        <v>536</v>
      </c>
      <c r="Q4020" t="s">
        <v>1492</v>
      </c>
      <c r="R4020" t="s">
        <v>18621</v>
      </c>
      <c r="S4020" t="s">
        <v>18622</v>
      </c>
      <c r="T4020" t="s">
        <v>17781</v>
      </c>
      <c r="U4020" t="s">
        <v>18623</v>
      </c>
    </row>
    <row r="4021" spans="1:21" x14ac:dyDescent="0.25">
      <c r="A4021" t="s">
        <v>18624</v>
      </c>
      <c r="B4021" t="s">
        <v>22</v>
      </c>
      <c r="C4021" t="s">
        <v>18625</v>
      </c>
      <c r="D4021">
        <f t="shared" si="97"/>
        <v>-8787</v>
      </c>
      <c r="E4021" t="s">
        <v>18626</v>
      </c>
      <c r="F4021" t="s">
        <v>14473</v>
      </c>
      <c r="G4021" t="s">
        <v>14474</v>
      </c>
      <c r="H4021">
        <v>-86.814487886171605</v>
      </c>
      <c r="I4021">
        <v>35.955617676535098</v>
      </c>
      <c r="J4021">
        <v>20</v>
      </c>
      <c r="K4021" t="s">
        <v>45</v>
      </c>
      <c r="L4021" t="s">
        <v>45</v>
      </c>
      <c r="M4021" t="s">
        <v>45</v>
      </c>
      <c r="N4021" t="s">
        <v>45</v>
      </c>
      <c r="O4021" t="s">
        <v>45</v>
      </c>
      <c r="P4021" t="s">
        <v>45</v>
      </c>
      <c r="Q4021" t="s">
        <v>1492</v>
      </c>
      <c r="R4021" t="s">
        <v>18625</v>
      </c>
      <c r="S4021" t="s">
        <v>18627</v>
      </c>
      <c r="T4021" t="s">
        <v>18316</v>
      </c>
      <c r="U4021" t="s">
        <v>18628</v>
      </c>
    </row>
    <row r="4022" spans="1:21" x14ac:dyDescent="0.25">
      <c r="A4022" t="s">
        <v>18629</v>
      </c>
      <c r="B4022" t="s">
        <v>22</v>
      </c>
      <c r="C4022" t="s">
        <v>18630</v>
      </c>
      <c r="D4022">
        <f t="shared" si="97"/>
        <v>-8787</v>
      </c>
      <c r="E4022" t="s">
        <v>18631</v>
      </c>
      <c r="F4022" t="s">
        <v>14473</v>
      </c>
      <c r="G4022" t="s">
        <v>14474</v>
      </c>
      <c r="H4022">
        <v>-158.05194259999999</v>
      </c>
      <c r="I4022">
        <v>21.332875600000001</v>
      </c>
      <c r="J4022">
        <v>2</v>
      </c>
      <c r="K4022" t="s">
        <v>536</v>
      </c>
      <c r="L4022" t="s">
        <v>536</v>
      </c>
      <c r="M4022" t="s">
        <v>536</v>
      </c>
      <c r="N4022" t="s">
        <v>536</v>
      </c>
      <c r="O4022" t="s">
        <v>536</v>
      </c>
      <c r="P4022" t="s">
        <v>536</v>
      </c>
      <c r="Q4022" t="s">
        <v>1034</v>
      </c>
      <c r="R4022" t="s">
        <v>18630</v>
      </c>
      <c r="S4022" t="s">
        <v>18632</v>
      </c>
      <c r="T4022" t="s">
        <v>18332</v>
      </c>
      <c r="U4022" t="s">
        <v>18633</v>
      </c>
    </row>
    <row r="4023" spans="1:21" x14ac:dyDescent="0.25">
      <c r="A4023" t="s">
        <v>18634</v>
      </c>
      <c r="B4023" t="s">
        <v>22</v>
      </c>
      <c r="C4023" t="s">
        <v>18635</v>
      </c>
      <c r="D4023">
        <f t="shared" si="97"/>
        <v>-8787</v>
      </c>
      <c r="E4023" t="s">
        <v>18636</v>
      </c>
      <c r="F4023" t="s">
        <v>14473</v>
      </c>
      <c r="G4023" t="s">
        <v>14474</v>
      </c>
      <c r="H4023">
        <v>-105.0960216</v>
      </c>
      <c r="I4023">
        <v>39.611806600000001</v>
      </c>
      <c r="J4023">
        <v>10</v>
      </c>
      <c r="K4023" t="s">
        <v>717</v>
      </c>
      <c r="L4023" t="s">
        <v>717</v>
      </c>
      <c r="M4023" t="s">
        <v>717</v>
      </c>
      <c r="N4023" t="s">
        <v>717</v>
      </c>
      <c r="O4023" t="s">
        <v>717</v>
      </c>
      <c r="P4023" t="s">
        <v>717</v>
      </c>
      <c r="Q4023" t="s">
        <v>1492</v>
      </c>
      <c r="R4023" t="s">
        <v>18635</v>
      </c>
      <c r="S4023" t="s">
        <v>18637</v>
      </c>
      <c r="T4023" t="s">
        <v>17689</v>
      </c>
      <c r="U4023" t="s">
        <v>18638</v>
      </c>
    </row>
    <row r="4024" spans="1:21" x14ac:dyDescent="0.25">
      <c r="A4024" t="s">
        <v>18639</v>
      </c>
      <c r="B4024" t="s">
        <v>22</v>
      </c>
      <c r="C4024" t="s">
        <v>18640</v>
      </c>
      <c r="D4024">
        <f t="shared" si="97"/>
        <v>-8787</v>
      </c>
      <c r="E4024" t="s">
        <v>18641</v>
      </c>
      <c r="F4024" t="s">
        <v>14473</v>
      </c>
      <c r="G4024" t="s">
        <v>14474</v>
      </c>
      <c r="H4024">
        <v>-105.073769585642</v>
      </c>
      <c r="I4024">
        <v>40.5431151806484</v>
      </c>
      <c r="J4024">
        <v>10</v>
      </c>
      <c r="K4024" t="s">
        <v>45</v>
      </c>
      <c r="L4024" t="s">
        <v>45</v>
      </c>
      <c r="M4024" t="s">
        <v>45</v>
      </c>
      <c r="N4024" t="s">
        <v>45</v>
      </c>
      <c r="O4024" t="s">
        <v>45</v>
      </c>
      <c r="P4024" t="s">
        <v>45</v>
      </c>
      <c r="Q4024" t="s">
        <v>717</v>
      </c>
      <c r="R4024" t="s">
        <v>18640</v>
      </c>
      <c r="S4024" t="s">
        <v>18642</v>
      </c>
      <c r="T4024" t="s">
        <v>17689</v>
      </c>
      <c r="U4024" t="s">
        <v>18643</v>
      </c>
    </row>
    <row r="4025" spans="1:21" x14ac:dyDescent="0.25">
      <c r="A4025" t="s">
        <v>18644</v>
      </c>
      <c r="B4025" t="s">
        <v>22</v>
      </c>
      <c r="C4025" t="s">
        <v>18645</v>
      </c>
      <c r="D4025">
        <f t="shared" si="97"/>
        <v>-8787</v>
      </c>
      <c r="E4025" t="s">
        <v>18646</v>
      </c>
      <c r="F4025" t="s">
        <v>14473</v>
      </c>
      <c r="G4025" t="s">
        <v>14474</v>
      </c>
      <c r="H4025">
        <v>-78.923039950000003</v>
      </c>
      <c r="I4025">
        <v>33.702023449999999</v>
      </c>
      <c r="J4025">
        <v>35</v>
      </c>
      <c r="K4025" t="s">
        <v>536</v>
      </c>
      <c r="L4025" t="s">
        <v>536</v>
      </c>
      <c r="M4025" t="s">
        <v>536</v>
      </c>
      <c r="N4025" t="s">
        <v>536</v>
      </c>
      <c r="O4025" t="s">
        <v>536</v>
      </c>
      <c r="P4025" t="s">
        <v>536</v>
      </c>
      <c r="Q4025" t="s">
        <v>1492</v>
      </c>
      <c r="R4025" t="s">
        <v>18645</v>
      </c>
      <c r="S4025" t="s">
        <v>18647</v>
      </c>
      <c r="T4025" t="s">
        <v>18147</v>
      </c>
      <c r="U4025" t="s">
        <v>18648</v>
      </c>
    </row>
    <row r="4026" spans="1:21" x14ac:dyDescent="0.25">
      <c r="A4026" t="s">
        <v>18649</v>
      </c>
      <c r="B4026" t="s">
        <v>22</v>
      </c>
      <c r="C4026" t="s">
        <v>18650</v>
      </c>
      <c r="D4026">
        <f t="shared" si="97"/>
        <v>-8787</v>
      </c>
      <c r="E4026" t="s">
        <v>18651</v>
      </c>
      <c r="F4026" t="s">
        <v>14473</v>
      </c>
      <c r="G4026" t="s">
        <v>14474</v>
      </c>
      <c r="H4026">
        <v>-71.385524500000002</v>
      </c>
      <c r="I4026">
        <v>42.301001030000002</v>
      </c>
      <c r="J4026">
        <v>35</v>
      </c>
      <c r="K4026" t="s">
        <v>717</v>
      </c>
      <c r="L4026" t="s">
        <v>717</v>
      </c>
      <c r="M4026" t="s">
        <v>717</v>
      </c>
      <c r="N4026" t="s">
        <v>717</v>
      </c>
      <c r="O4026" t="s">
        <v>1035</v>
      </c>
      <c r="P4026" t="s">
        <v>536</v>
      </c>
      <c r="Q4026" t="s">
        <v>1034</v>
      </c>
      <c r="R4026" t="s">
        <v>18650</v>
      </c>
      <c r="S4026" t="s">
        <v>18652</v>
      </c>
      <c r="T4026" t="s">
        <v>17181</v>
      </c>
      <c r="U4026" t="s">
        <v>18653</v>
      </c>
    </row>
    <row r="4027" spans="1:21" x14ac:dyDescent="0.25">
      <c r="A4027" t="s">
        <v>18654</v>
      </c>
      <c r="B4027" t="s">
        <v>38</v>
      </c>
      <c r="C4027" t="s">
        <v>18655</v>
      </c>
      <c r="D4027">
        <f t="shared" si="97"/>
        <v>-8787</v>
      </c>
      <c r="E4027" t="s">
        <v>17359</v>
      </c>
      <c r="F4027" t="s">
        <v>14473</v>
      </c>
      <c r="G4027" t="s">
        <v>14474</v>
      </c>
      <c r="H4027">
        <v>-104.70918923313501</v>
      </c>
      <c r="I4027">
        <v>39.60401633</v>
      </c>
      <c r="J4027">
        <v>10</v>
      </c>
      <c r="K4027" t="s">
        <v>536</v>
      </c>
      <c r="L4027" t="s">
        <v>536</v>
      </c>
      <c r="M4027" t="s">
        <v>536</v>
      </c>
      <c r="N4027" t="s">
        <v>536</v>
      </c>
      <c r="O4027" t="s">
        <v>536</v>
      </c>
      <c r="P4027" t="s">
        <v>536</v>
      </c>
      <c r="Q4027" t="s">
        <v>1034</v>
      </c>
      <c r="R4027" t="s">
        <v>18655</v>
      </c>
      <c r="S4027" t="s">
        <v>18656</v>
      </c>
      <c r="T4027" t="s">
        <v>17689</v>
      </c>
      <c r="U4027" t="s">
        <v>18657</v>
      </c>
    </row>
    <row r="4028" spans="1:21" x14ac:dyDescent="0.25">
      <c r="A4028" t="s">
        <v>18658</v>
      </c>
      <c r="B4028" t="s">
        <v>22</v>
      </c>
      <c r="C4028" t="s">
        <v>18659</v>
      </c>
      <c r="D4028">
        <f t="shared" si="97"/>
        <v>-8787</v>
      </c>
      <c r="E4028" t="s">
        <v>18660</v>
      </c>
      <c r="F4028" t="s">
        <v>14473</v>
      </c>
      <c r="G4028" t="s">
        <v>14474</v>
      </c>
      <c r="H4028">
        <v>-118.4385898</v>
      </c>
      <c r="I4028">
        <v>34.156830710000001</v>
      </c>
      <c r="J4028">
        <v>4</v>
      </c>
      <c r="K4028" t="s">
        <v>717</v>
      </c>
      <c r="L4028" t="s">
        <v>717</v>
      </c>
      <c r="M4028" t="s">
        <v>717</v>
      </c>
      <c r="N4028" t="s">
        <v>717</v>
      </c>
      <c r="O4028" t="s">
        <v>45</v>
      </c>
      <c r="P4028" t="s">
        <v>45</v>
      </c>
      <c r="Q4028" t="s">
        <v>717</v>
      </c>
      <c r="R4028" t="s">
        <v>18659</v>
      </c>
      <c r="S4028" t="s">
        <v>18661</v>
      </c>
      <c r="T4028" t="s">
        <v>17372</v>
      </c>
      <c r="U4028" t="s">
        <v>18662</v>
      </c>
    </row>
    <row r="4029" spans="1:21" x14ac:dyDescent="0.25">
      <c r="A4029" t="s">
        <v>18663</v>
      </c>
      <c r="B4029" t="s">
        <v>22</v>
      </c>
      <c r="C4029" t="s">
        <v>18664</v>
      </c>
      <c r="D4029">
        <f t="shared" si="97"/>
        <v>-8787</v>
      </c>
      <c r="E4029" t="s">
        <v>17937</v>
      </c>
      <c r="F4029" t="s">
        <v>14473</v>
      </c>
      <c r="G4029" t="s">
        <v>14474</v>
      </c>
      <c r="H4029">
        <v>-82.576877749999994</v>
      </c>
      <c r="I4029">
        <v>28.06897206</v>
      </c>
      <c r="J4029">
        <v>35</v>
      </c>
      <c r="K4029" t="s">
        <v>1035</v>
      </c>
      <c r="L4029" t="s">
        <v>1035</v>
      </c>
      <c r="M4029" t="s">
        <v>1035</v>
      </c>
      <c r="N4029" t="s">
        <v>1035</v>
      </c>
      <c r="O4029" t="s">
        <v>536</v>
      </c>
      <c r="P4029" t="s">
        <v>536</v>
      </c>
      <c r="Q4029" t="s">
        <v>1492</v>
      </c>
      <c r="R4029" t="s">
        <v>18664</v>
      </c>
      <c r="S4029" t="s">
        <v>18665</v>
      </c>
      <c r="T4029" t="s">
        <v>17724</v>
      </c>
      <c r="U4029" t="s">
        <v>18666</v>
      </c>
    </row>
    <row r="4030" spans="1:21" x14ac:dyDescent="0.25">
      <c r="A4030" t="s">
        <v>18667</v>
      </c>
      <c r="B4030" t="s">
        <v>22</v>
      </c>
      <c r="C4030" t="s">
        <v>18668</v>
      </c>
      <c r="D4030">
        <f t="shared" si="97"/>
        <v>-8787</v>
      </c>
      <c r="E4030" t="s">
        <v>18669</v>
      </c>
      <c r="F4030" t="s">
        <v>14473</v>
      </c>
      <c r="G4030" t="s">
        <v>14474</v>
      </c>
      <c r="H4030">
        <v>-87.782397950000004</v>
      </c>
      <c r="I4030">
        <v>41.715400989999999</v>
      </c>
      <c r="J4030">
        <v>20</v>
      </c>
      <c r="K4030" t="s">
        <v>717</v>
      </c>
      <c r="L4030" t="s">
        <v>717</v>
      </c>
      <c r="M4030" t="s">
        <v>717</v>
      </c>
      <c r="N4030" t="s">
        <v>717</v>
      </c>
      <c r="O4030" t="s">
        <v>717</v>
      </c>
      <c r="P4030" t="s">
        <v>717</v>
      </c>
      <c r="Q4030" t="s">
        <v>1492</v>
      </c>
      <c r="R4030" t="s">
        <v>18668</v>
      </c>
      <c r="S4030" t="s">
        <v>18670</v>
      </c>
      <c r="T4030" t="s">
        <v>17313</v>
      </c>
      <c r="U4030" t="s">
        <v>18671</v>
      </c>
    </row>
    <row r="4031" spans="1:21" x14ac:dyDescent="0.25">
      <c r="A4031" t="s">
        <v>18672</v>
      </c>
      <c r="B4031" t="s">
        <v>38</v>
      </c>
      <c r="C4031" t="s">
        <v>18673</v>
      </c>
      <c r="D4031">
        <f t="shared" si="97"/>
        <v>-8787</v>
      </c>
      <c r="E4031" t="s">
        <v>18674</v>
      </c>
      <c r="F4031" t="s">
        <v>14473</v>
      </c>
      <c r="G4031" t="s">
        <v>14474</v>
      </c>
      <c r="H4031">
        <v>-118.19423449999999</v>
      </c>
      <c r="I4031">
        <v>33.764884559999999</v>
      </c>
      <c r="J4031">
        <v>4</v>
      </c>
      <c r="K4031" t="s">
        <v>1035</v>
      </c>
      <c r="L4031" t="s">
        <v>1035</v>
      </c>
      <c r="M4031" t="s">
        <v>1035</v>
      </c>
      <c r="N4031" t="s">
        <v>1035</v>
      </c>
      <c r="O4031" t="s">
        <v>1501</v>
      </c>
      <c r="P4031" t="s">
        <v>1501</v>
      </c>
      <c r="Q4031" t="s">
        <v>717</v>
      </c>
      <c r="R4031" t="s">
        <v>18673</v>
      </c>
      <c r="S4031" t="s">
        <v>18675</v>
      </c>
      <c r="T4031" t="s">
        <v>17372</v>
      </c>
      <c r="U4031" t="s">
        <v>18676</v>
      </c>
    </row>
    <row r="4032" spans="1:21" x14ac:dyDescent="0.25">
      <c r="A4032" t="s">
        <v>18677</v>
      </c>
      <c r="B4032" t="s">
        <v>38</v>
      </c>
      <c r="C4032" t="s">
        <v>18678</v>
      </c>
      <c r="D4032">
        <f t="shared" si="97"/>
        <v>-8787</v>
      </c>
      <c r="E4032" t="s">
        <v>18679</v>
      </c>
      <c r="F4032" t="s">
        <v>14473</v>
      </c>
      <c r="G4032" t="s">
        <v>14474</v>
      </c>
      <c r="H4032">
        <v>-81.062037349999997</v>
      </c>
      <c r="I4032">
        <v>29.197309130000001</v>
      </c>
      <c r="J4032">
        <v>35</v>
      </c>
      <c r="K4032" t="s">
        <v>536</v>
      </c>
      <c r="L4032" t="s">
        <v>536</v>
      </c>
      <c r="M4032" t="s">
        <v>536</v>
      </c>
      <c r="N4032" t="s">
        <v>536</v>
      </c>
      <c r="O4032" t="s">
        <v>536</v>
      </c>
      <c r="P4032" t="s">
        <v>536</v>
      </c>
      <c r="Q4032" t="s">
        <v>1492</v>
      </c>
      <c r="R4032" t="s">
        <v>18678</v>
      </c>
      <c r="S4032" t="s">
        <v>18680</v>
      </c>
      <c r="T4032" t="s">
        <v>17724</v>
      </c>
      <c r="U4032" t="s">
        <v>18681</v>
      </c>
    </row>
    <row r="4033" spans="1:21" x14ac:dyDescent="0.25">
      <c r="A4033" t="s">
        <v>18682</v>
      </c>
      <c r="B4033" t="s">
        <v>38</v>
      </c>
      <c r="C4033" t="s">
        <v>18683</v>
      </c>
      <c r="D4033">
        <f t="shared" si="97"/>
        <v>-8787</v>
      </c>
      <c r="E4033" t="s">
        <v>8767</v>
      </c>
      <c r="F4033" t="s">
        <v>14473</v>
      </c>
      <c r="G4033" t="s">
        <v>14474</v>
      </c>
      <c r="H4033">
        <v>-96.636578369999995</v>
      </c>
      <c r="I4033">
        <v>40.816045979999998</v>
      </c>
      <c r="J4033">
        <v>20</v>
      </c>
      <c r="K4033" t="s">
        <v>717</v>
      </c>
      <c r="L4033" t="s">
        <v>717</v>
      </c>
      <c r="M4033" t="s">
        <v>717</v>
      </c>
      <c r="N4033" t="s">
        <v>717</v>
      </c>
      <c r="O4033" t="s">
        <v>1035</v>
      </c>
      <c r="P4033" t="s">
        <v>1035</v>
      </c>
      <c r="Q4033" t="s">
        <v>1492</v>
      </c>
      <c r="R4033" t="s">
        <v>18683</v>
      </c>
      <c r="S4033" t="s">
        <v>18684</v>
      </c>
      <c r="T4033" t="s">
        <v>18435</v>
      </c>
      <c r="U4033" t="s">
        <v>18685</v>
      </c>
    </row>
    <row r="4034" spans="1:21" x14ac:dyDescent="0.25">
      <c r="A4034" t="s">
        <v>18686</v>
      </c>
      <c r="B4034" t="s">
        <v>38</v>
      </c>
      <c r="C4034" t="s">
        <v>18687</v>
      </c>
      <c r="D4034">
        <f t="shared" si="97"/>
        <v>-8787</v>
      </c>
      <c r="E4034" t="s">
        <v>18688</v>
      </c>
      <c r="F4034" t="s">
        <v>14473</v>
      </c>
      <c r="G4034" t="s">
        <v>14474</v>
      </c>
      <c r="H4034">
        <v>-81.412175000000005</v>
      </c>
      <c r="I4034">
        <v>29.926077150000001</v>
      </c>
      <c r="J4034">
        <v>35</v>
      </c>
      <c r="K4034" t="s">
        <v>535</v>
      </c>
      <c r="L4034" t="s">
        <v>535</v>
      </c>
      <c r="M4034" t="s">
        <v>535</v>
      </c>
      <c r="N4034" t="s">
        <v>535</v>
      </c>
      <c r="O4034" t="s">
        <v>535</v>
      </c>
      <c r="P4034" t="s">
        <v>535</v>
      </c>
      <c r="Q4034" t="s">
        <v>1492</v>
      </c>
      <c r="R4034" t="s">
        <v>18687</v>
      </c>
      <c r="S4034" t="s">
        <v>18689</v>
      </c>
      <c r="T4034" t="s">
        <v>17724</v>
      </c>
      <c r="U4034" t="s">
        <v>18690</v>
      </c>
    </row>
    <row r="4035" spans="1:21" x14ac:dyDescent="0.25">
      <c r="A4035" t="s">
        <v>18691</v>
      </c>
      <c r="B4035" t="s">
        <v>22</v>
      </c>
      <c r="C4035" t="s">
        <v>18692</v>
      </c>
      <c r="D4035">
        <f t="shared" si="97"/>
        <v>-8787</v>
      </c>
      <c r="E4035" t="s">
        <v>18693</v>
      </c>
      <c r="F4035" t="s">
        <v>14473</v>
      </c>
      <c r="G4035" t="s">
        <v>14474</v>
      </c>
      <c r="H4035">
        <v>-108.58068</v>
      </c>
      <c r="I4035">
        <v>45.765393000000003</v>
      </c>
      <c r="J4035">
        <v>10</v>
      </c>
      <c r="K4035" t="s">
        <v>717</v>
      </c>
      <c r="L4035" t="s">
        <v>717</v>
      </c>
      <c r="M4035" t="s">
        <v>717</v>
      </c>
      <c r="N4035" t="s">
        <v>717</v>
      </c>
      <c r="O4035" t="s">
        <v>717</v>
      </c>
      <c r="P4035" t="s">
        <v>717</v>
      </c>
      <c r="Q4035" t="s">
        <v>1492</v>
      </c>
      <c r="R4035" t="s">
        <v>18692</v>
      </c>
      <c r="S4035" t="s">
        <v>18694</v>
      </c>
      <c r="T4035" t="s">
        <v>18571</v>
      </c>
      <c r="U4035" t="s">
        <v>18695</v>
      </c>
    </row>
    <row r="4036" spans="1:21" x14ac:dyDescent="0.25">
      <c r="A4036" t="s">
        <v>18696</v>
      </c>
      <c r="B4036" t="s">
        <v>22</v>
      </c>
      <c r="C4036" t="s">
        <v>18697</v>
      </c>
      <c r="D4036">
        <f t="shared" si="97"/>
        <v>-8787</v>
      </c>
      <c r="E4036" t="s">
        <v>18698</v>
      </c>
      <c r="F4036" t="s">
        <v>14473</v>
      </c>
      <c r="G4036" t="s">
        <v>14474</v>
      </c>
      <c r="H4036">
        <v>-117.9971699</v>
      </c>
      <c r="I4036">
        <v>33.654487019999998</v>
      </c>
      <c r="J4036">
        <v>4</v>
      </c>
      <c r="K4036" t="s">
        <v>536</v>
      </c>
      <c r="L4036" t="s">
        <v>536</v>
      </c>
      <c r="M4036" t="s">
        <v>536</v>
      </c>
      <c r="N4036" t="s">
        <v>536</v>
      </c>
      <c r="O4036" t="s">
        <v>536</v>
      </c>
      <c r="P4036" t="s">
        <v>536</v>
      </c>
      <c r="Q4036" t="s">
        <v>1034</v>
      </c>
      <c r="R4036" t="s">
        <v>18697</v>
      </c>
      <c r="S4036" t="s">
        <v>18699</v>
      </c>
      <c r="T4036" t="s">
        <v>17372</v>
      </c>
      <c r="U4036" t="s">
        <v>18700</v>
      </c>
    </row>
    <row r="4037" spans="1:21" x14ac:dyDescent="0.25">
      <c r="A4037" t="s">
        <v>18701</v>
      </c>
      <c r="B4037" t="s">
        <v>38</v>
      </c>
      <c r="C4037" t="s">
        <v>18702</v>
      </c>
      <c r="D4037">
        <f t="shared" si="97"/>
        <v>-8787</v>
      </c>
      <c r="E4037" t="s">
        <v>18703</v>
      </c>
      <c r="F4037" t="s">
        <v>14473</v>
      </c>
      <c r="G4037" t="s">
        <v>14474</v>
      </c>
      <c r="H4037">
        <v>-96.942173299999993</v>
      </c>
      <c r="I4037">
        <v>32.603239299999998</v>
      </c>
      <c r="J4037">
        <v>20</v>
      </c>
      <c r="K4037" t="s">
        <v>717</v>
      </c>
      <c r="L4037" t="s">
        <v>717</v>
      </c>
      <c r="M4037" t="s">
        <v>717</v>
      </c>
      <c r="N4037" t="s">
        <v>717</v>
      </c>
      <c r="O4037" t="s">
        <v>45</v>
      </c>
      <c r="P4037" t="s">
        <v>45</v>
      </c>
      <c r="Q4037" t="s">
        <v>1492</v>
      </c>
      <c r="R4037" t="s">
        <v>18702</v>
      </c>
      <c r="S4037" t="s">
        <v>18704</v>
      </c>
      <c r="T4037" t="s">
        <v>17781</v>
      </c>
      <c r="U4037" t="s">
        <v>18705</v>
      </c>
    </row>
    <row r="4038" spans="1:21" x14ac:dyDescent="0.25">
      <c r="A4038" t="s">
        <v>18706</v>
      </c>
      <c r="B4038" t="s">
        <v>22</v>
      </c>
      <c r="C4038" t="s">
        <v>18707</v>
      </c>
      <c r="D4038">
        <f t="shared" si="97"/>
        <v>-8787</v>
      </c>
      <c r="E4038" t="s">
        <v>18708</v>
      </c>
      <c r="F4038" t="s">
        <v>14473</v>
      </c>
      <c r="G4038" t="s">
        <v>14474</v>
      </c>
      <c r="H4038">
        <v>-75.097094179999999</v>
      </c>
      <c r="I4038">
        <v>39.831728570000003</v>
      </c>
      <c r="J4038">
        <v>35</v>
      </c>
      <c r="K4038" t="s">
        <v>536</v>
      </c>
      <c r="L4038" t="s">
        <v>536</v>
      </c>
      <c r="M4038" t="s">
        <v>536</v>
      </c>
      <c r="N4038" t="s">
        <v>536</v>
      </c>
      <c r="O4038" t="s">
        <v>536</v>
      </c>
      <c r="P4038" t="s">
        <v>536</v>
      </c>
      <c r="Q4038" t="s">
        <v>1034</v>
      </c>
      <c r="R4038" t="s">
        <v>18707</v>
      </c>
      <c r="S4038" t="s">
        <v>18709</v>
      </c>
      <c r="T4038" t="s">
        <v>17159</v>
      </c>
      <c r="U4038" t="s">
        <v>18710</v>
      </c>
    </row>
    <row r="4039" spans="1:21" x14ac:dyDescent="0.25">
      <c r="A4039" t="s">
        <v>18711</v>
      </c>
      <c r="B4039" t="s">
        <v>38</v>
      </c>
      <c r="C4039" t="s">
        <v>18712</v>
      </c>
      <c r="D4039">
        <f t="shared" si="97"/>
        <v>-8787</v>
      </c>
      <c r="E4039" t="s">
        <v>17952</v>
      </c>
      <c r="F4039" t="s">
        <v>14473</v>
      </c>
      <c r="G4039" t="s">
        <v>14474</v>
      </c>
      <c r="H4039">
        <v>-82.917348149999995</v>
      </c>
      <c r="I4039">
        <v>42.535044079999999</v>
      </c>
      <c r="J4039">
        <v>35</v>
      </c>
      <c r="K4039" t="s">
        <v>536</v>
      </c>
      <c r="L4039" t="s">
        <v>536</v>
      </c>
      <c r="M4039" t="s">
        <v>536</v>
      </c>
      <c r="N4039" t="s">
        <v>536</v>
      </c>
      <c r="O4039" t="s">
        <v>536</v>
      </c>
      <c r="P4039" t="s">
        <v>536</v>
      </c>
      <c r="Q4039" t="s">
        <v>1034</v>
      </c>
      <c r="R4039" t="s">
        <v>18712</v>
      </c>
      <c r="S4039" t="s">
        <v>18713</v>
      </c>
      <c r="T4039" t="s">
        <v>17546</v>
      </c>
      <c r="U4039" t="s">
        <v>18714</v>
      </c>
    </row>
    <row r="4040" spans="1:21" x14ac:dyDescent="0.25">
      <c r="A4040" t="s">
        <v>18715</v>
      </c>
      <c r="B4040" t="s">
        <v>22</v>
      </c>
      <c r="C4040" t="s">
        <v>18716</v>
      </c>
      <c r="D4040">
        <f t="shared" si="97"/>
        <v>-8787</v>
      </c>
      <c r="E4040" t="s">
        <v>18717</v>
      </c>
      <c r="F4040" t="s">
        <v>14473</v>
      </c>
      <c r="G4040" t="s">
        <v>14474</v>
      </c>
      <c r="H4040">
        <v>-81.094868930000004</v>
      </c>
      <c r="I4040">
        <v>32.079943999999998</v>
      </c>
      <c r="J4040">
        <v>35</v>
      </c>
      <c r="K4040" t="s">
        <v>45</v>
      </c>
      <c r="L4040" t="s">
        <v>45</v>
      </c>
      <c r="M4040" t="s">
        <v>45</v>
      </c>
      <c r="N4040" t="s">
        <v>45</v>
      </c>
      <c r="O4040" t="s">
        <v>45</v>
      </c>
      <c r="P4040" t="s">
        <v>45</v>
      </c>
      <c r="Q4040" t="s">
        <v>1492</v>
      </c>
      <c r="R4040" t="s">
        <v>18716</v>
      </c>
      <c r="S4040" t="s">
        <v>18718</v>
      </c>
      <c r="T4040" t="s">
        <v>9074</v>
      </c>
      <c r="U4040" t="s">
        <v>18719</v>
      </c>
    </row>
    <row r="4041" spans="1:21" x14ac:dyDescent="0.25">
      <c r="A4041" t="s">
        <v>18720</v>
      </c>
      <c r="B4041" t="s">
        <v>38</v>
      </c>
      <c r="C4041" t="s">
        <v>18721</v>
      </c>
      <c r="D4041">
        <f t="shared" si="97"/>
        <v>-8787</v>
      </c>
      <c r="E4041" t="s">
        <v>18722</v>
      </c>
      <c r="F4041" t="s">
        <v>14473</v>
      </c>
      <c r="G4041" t="s">
        <v>14474</v>
      </c>
      <c r="H4041">
        <v>-97.558440860000005</v>
      </c>
      <c r="I4041">
        <v>35.613370400000001</v>
      </c>
      <c r="J4041">
        <v>20</v>
      </c>
      <c r="K4041" t="s">
        <v>717</v>
      </c>
      <c r="L4041" t="s">
        <v>717</v>
      </c>
      <c r="M4041" t="s">
        <v>717</v>
      </c>
      <c r="N4041" t="s">
        <v>717</v>
      </c>
      <c r="O4041" t="s">
        <v>717</v>
      </c>
      <c r="P4041" t="s">
        <v>717</v>
      </c>
      <c r="Q4041" t="s">
        <v>1492</v>
      </c>
      <c r="R4041" t="s">
        <v>18721</v>
      </c>
      <c r="S4041" t="s">
        <v>18723</v>
      </c>
      <c r="T4041" t="s">
        <v>18724</v>
      </c>
      <c r="U4041" t="s">
        <v>18725</v>
      </c>
    </row>
    <row r="4042" spans="1:21" x14ac:dyDescent="0.25">
      <c r="A4042" t="s">
        <v>18726</v>
      </c>
      <c r="B4042" t="s">
        <v>38</v>
      </c>
      <c r="C4042" t="s">
        <v>18727</v>
      </c>
      <c r="D4042">
        <f t="shared" ref="D4042:D4051" si="98">1-855-466-7467</f>
        <v>-8787</v>
      </c>
      <c r="E4042" t="s">
        <v>18728</v>
      </c>
      <c r="F4042" t="s">
        <v>14473</v>
      </c>
      <c r="G4042" t="s">
        <v>14474</v>
      </c>
      <c r="H4042">
        <v>-83.254289479999997</v>
      </c>
      <c r="I4042">
        <v>42.200294589999999</v>
      </c>
      <c r="J4042">
        <v>35</v>
      </c>
      <c r="K4042" t="s">
        <v>717</v>
      </c>
      <c r="L4042" t="s">
        <v>717</v>
      </c>
      <c r="M4042" t="s">
        <v>717</v>
      </c>
      <c r="N4042" t="s">
        <v>717</v>
      </c>
      <c r="O4042" t="s">
        <v>717</v>
      </c>
      <c r="P4042" t="s">
        <v>717</v>
      </c>
      <c r="Q4042" t="s">
        <v>1492</v>
      </c>
      <c r="R4042" t="s">
        <v>18727</v>
      </c>
      <c r="S4042" t="s">
        <v>18729</v>
      </c>
      <c r="T4042" t="s">
        <v>17546</v>
      </c>
      <c r="U4042" t="s">
        <v>18730</v>
      </c>
    </row>
    <row r="4043" spans="1:21" x14ac:dyDescent="0.25">
      <c r="A4043" t="s">
        <v>18731</v>
      </c>
      <c r="B4043" t="s">
        <v>22</v>
      </c>
      <c r="C4043" t="s">
        <v>18732</v>
      </c>
      <c r="D4043">
        <f t="shared" si="98"/>
        <v>-8787</v>
      </c>
      <c r="E4043" t="s">
        <v>18733</v>
      </c>
      <c r="F4043" t="s">
        <v>14473</v>
      </c>
      <c r="G4043" t="s">
        <v>14474</v>
      </c>
      <c r="H4043">
        <v>-89.718658919999996</v>
      </c>
      <c r="I4043">
        <v>35.023778249999999</v>
      </c>
      <c r="J4043">
        <v>20</v>
      </c>
      <c r="K4043" t="s">
        <v>717</v>
      </c>
      <c r="L4043" t="s">
        <v>717</v>
      </c>
      <c r="M4043" t="s">
        <v>717</v>
      </c>
      <c r="N4043" t="s">
        <v>717</v>
      </c>
      <c r="O4043" t="s">
        <v>717</v>
      </c>
      <c r="P4043" t="s">
        <v>717</v>
      </c>
      <c r="Q4043" t="s">
        <v>1492</v>
      </c>
      <c r="R4043" t="s">
        <v>18732</v>
      </c>
      <c r="S4043" t="s">
        <v>18734</v>
      </c>
      <c r="T4043" t="s">
        <v>18316</v>
      </c>
      <c r="U4043" t="s">
        <v>18735</v>
      </c>
    </row>
    <row r="4044" spans="1:21" x14ac:dyDescent="0.25">
      <c r="A4044" t="s">
        <v>18736</v>
      </c>
      <c r="B4044" t="s">
        <v>38</v>
      </c>
      <c r="C4044" t="s">
        <v>18737</v>
      </c>
      <c r="D4044">
        <f t="shared" si="98"/>
        <v>-8787</v>
      </c>
      <c r="E4044" t="s">
        <v>18156</v>
      </c>
      <c r="F4044" t="s">
        <v>14473</v>
      </c>
      <c r="G4044" t="s">
        <v>14474</v>
      </c>
      <c r="H4044">
        <v>-85.672209600000002</v>
      </c>
      <c r="I4044">
        <v>42.807998699999999</v>
      </c>
      <c r="J4044">
        <v>35</v>
      </c>
      <c r="K4044" t="s">
        <v>27</v>
      </c>
      <c r="L4044" t="s">
        <v>27</v>
      </c>
      <c r="M4044" t="s">
        <v>27</v>
      </c>
      <c r="N4044" t="s">
        <v>27</v>
      </c>
      <c r="O4044" t="s">
        <v>27</v>
      </c>
      <c r="P4044" t="s">
        <v>27</v>
      </c>
      <c r="Q4044" t="s">
        <v>535</v>
      </c>
      <c r="R4044" t="s">
        <v>18737</v>
      </c>
      <c r="S4044" t="s">
        <v>18738</v>
      </c>
      <c r="T4044" t="s">
        <v>17546</v>
      </c>
      <c r="U4044" t="s">
        <v>18739</v>
      </c>
    </row>
    <row r="4045" spans="1:21" x14ac:dyDescent="0.25">
      <c r="A4045" t="s">
        <v>18740</v>
      </c>
      <c r="B4045" t="s">
        <v>22</v>
      </c>
      <c r="C4045" t="s">
        <v>18741</v>
      </c>
      <c r="D4045">
        <f t="shared" si="98"/>
        <v>-8787</v>
      </c>
      <c r="E4045" t="s">
        <v>18742</v>
      </c>
      <c r="F4045" t="s">
        <v>14473</v>
      </c>
      <c r="G4045" t="s">
        <v>14474</v>
      </c>
      <c r="H4045">
        <v>-86.808331449999997</v>
      </c>
      <c r="I4045">
        <v>33.378243329999997</v>
      </c>
      <c r="J4045">
        <v>33</v>
      </c>
      <c r="K4045" t="s">
        <v>717</v>
      </c>
      <c r="L4045" t="s">
        <v>717</v>
      </c>
      <c r="M4045" t="s">
        <v>717</v>
      </c>
      <c r="N4045" t="s">
        <v>717</v>
      </c>
      <c r="O4045" t="s">
        <v>717</v>
      </c>
      <c r="P4045" t="s">
        <v>717</v>
      </c>
      <c r="Q4045" t="s">
        <v>1492</v>
      </c>
      <c r="R4045" t="s">
        <v>18741</v>
      </c>
      <c r="S4045" t="s">
        <v>18743</v>
      </c>
      <c r="T4045" t="s">
        <v>18064</v>
      </c>
      <c r="U4045" t="s">
        <v>18744</v>
      </c>
    </row>
    <row r="4046" spans="1:21" x14ac:dyDescent="0.25">
      <c r="A4046" t="s">
        <v>18745</v>
      </c>
      <c r="B4046" t="s">
        <v>38</v>
      </c>
      <c r="C4046" t="s">
        <v>18746</v>
      </c>
      <c r="D4046">
        <f t="shared" si="98"/>
        <v>-8787</v>
      </c>
      <c r="E4046" t="s">
        <v>18747</v>
      </c>
      <c r="F4046" t="s">
        <v>14473</v>
      </c>
      <c r="G4046" t="s">
        <v>14474</v>
      </c>
      <c r="H4046">
        <v>-97.108499199999997</v>
      </c>
      <c r="I4046">
        <v>33.1898956</v>
      </c>
      <c r="J4046">
        <v>20</v>
      </c>
      <c r="K4046" t="s">
        <v>717</v>
      </c>
      <c r="L4046" t="s">
        <v>717</v>
      </c>
      <c r="M4046" t="s">
        <v>717</v>
      </c>
      <c r="N4046" t="s">
        <v>717</v>
      </c>
      <c r="O4046" t="s">
        <v>1035</v>
      </c>
      <c r="P4046" t="s">
        <v>1035</v>
      </c>
      <c r="Q4046" t="s">
        <v>1492</v>
      </c>
      <c r="R4046" t="s">
        <v>18746</v>
      </c>
      <c r="S4046" t="s">
        <v>18748</v>
      </c>
      <c r="T4046" t="s">
        <v>17781</v>
      </c>
      <c r="U4046" t="s">
        <v>18749</v>
      </c>
    </row>
    <row r="4047" spans="1:21" x14ac:dyDescent="0.25">
      <c r="A4047" t="s">
        <v>18750</v>
      </c>
      <c r="B4047" t="s">
        <v>38</v>
      </c>
      <c r="C4047" t="s">
        <v>18751</v>
      </c>
      <c r="D4047">
        <f t="shared" si="98"/>
        <v>-8787</v>
      </c>
      <c r="E4047" t="s">
        <v>18752</v>
      </c>
      <c r="F4047" t="s">
        <v>14473</v>
      </c>
      <c r="G4047" t="s">
        <v>14474</v>
      </c>
      <c r="H4047">
        <v>-83.415758460000006</v>
      </c>
      <c r="I4047">
        <v>42.413475679999998</v>
      </c>
      <c r="J4047">
        <v>35</v>
      </c>
      <c r="K4047" t="s">
        <v>536</v>
      </c>
      <c r="L4047" t="s">
        <v>536</v>
      </c>
      <c r="M4047" t="s">
        <v>536</v>
      </c>
      <c r="N4047" t="s">
        <v>536</v>
      </c>
      <c r="O4047" t="s">
        <v>536</v>
      </c>
      <c r="P4047" t="s">
        <v>536</v>
      </c>
      <c r="Q4047" t="s">
        <v>1492</v>
      </c>
      <c r="R4047" t="s">
        <v>18751</v>
      </c>
      <c r="S4047" t="s">
        <v>18753</v>
      </c>
      <c r="T4047" t="s">
        <v>17546</v>
      </c>
      <c r="U4047" t="s">
        <v>18754</v>
      </c>
    </row>
    <row r="4048" spans="1:21" x14ac:dyDescent="0.25">
      <c r="A4048" t="s">
        <v>18755</v>
      </c>
      <c r="B4048" t="s">
        <v>22</v>
      </c>
      <c r="C4048" t="s">
        <v>18756</v>
      </c>
      <c r="D4048">
        <f t="shared" si="98"/>
        <v>-8787</v>
      </c>
      <c r="E4048" t="s">
        <v>18757</v>
      </c>
      <c r="F4048" t="s">
        <v>14473</v>
      </c>
      <c r="G4048" t="s">
        <v>14474</v>
      </c>
      <c r="H4048">
        <v>-120.66280209999999</v>
      </c>
      <c r="I4048">
        <v>35.2812166</v>
      </c>
      <c r="J4048">
        <v>4</v>
      </c>
      <c r="K4048" t="s">
        <v>717</v>
      </c>
      <c r="L4048" t="s">
        <v>717</v>
      </c>
      <c r="M4048" t="s">
        <v>717</v>
      </c>
      <c r="N4048" t="s">
        <v>717</v>
      </c>
      <c r="O4048" t="s">
        <v>717</v>
      </c>
      <c r="P4048" t="s">
        <v>717</v>
      </c>
      <c r="Q4048" t="s">
        <v>1492</v>
      </c>
      <c r="R4048" t="s">
        <v>18756</v>
      </c>
      <c r="S4048" t="s">
        <v>18758</v>
      </c>
      <c r="T4048" t="s">
        <v>17372</v>
      </c>
      <c r="U4048" t="s">
        <v>18759</v>
      </c>
    </row>
    <row r="4049" spans="1:21" x14ac:dyDescent="0.25">
      <c r="A4049" t="s">
        <v>18760</v>
      </c>
      <c r="B4049" t="s">
        <v>22</v>
      </c>
      <c r="C4049" t="s">
        <v>18761</v>
      </c>
      <c r="D4049">
        <f t="shared" si="98"/>
        <v>-8787</v>
      </c>
      <c r="E4049" t="s">
        <v>18762</v>
      </c>
      <c r="F4049" t="s">
        <v>14473</v>
      </c>
      <c r="G4049" t="s">
        <v>14474</v>
      </c>
      <c r="H4049">
        <v>-122.00158329999999</v>
      </c>
      <c r="I4049">
        <v>37.526300259999999</v>
      </c>
      <c r="J4049">
        <v>4</v>
      </c>
      <c r="K4049" t="s">
        <v>717</v>
      </c>
      <c r="L4049" t="s">
        <v>717</v>
      </c>
      <c r="M4049" t="s">
        <v>717</v>
      </c>
      <c r="N4049" t="s">
        <v>717</v>
      </c>
      <c r="O4049" t="s">
        <v>1035</v>
      </c>
      <c r="P4049" t="s">
        <v>1035</v>
      </c>
      <c r="Q4049" t="s">
        <v>17207</v>
      </c>
      <c r="R4049" t="s">
        <v>18761</v>
      </c>
      <c r="S4049" t="s">
        <v>18763</v>
      </c>
      <c r="T4049" t="s">
        <v>17372</v>
      </c>
      <c r="U4049" t="s">
        <v>18764</v>
      </c>
    </row>
    <row r="4050" spans="1:21" x14ac:dyDescent="0.25">
      <c r="A4050" t="s">
        <v>18765</v>
      </c>
      <c r="B4050" t="s">
        <v>38</v>
      </c>
      <c r="C4050" t="s">
        <v>18766</v>
      </c>
      <c r="D4050">
        <f t="shared" si="98"/>
        <v>-8787</v>
      </c>
      <c r="E4050" t="s">
        <v>18239</v>
      </c>
      <c r="F4050" t="s">
        <v>14473</v>
      </c>
      <c r="G4050" t="s">
        <v>14474</v>
      </c>
      <c r="H4050">
        <v>-85.352380870000005</v>
      </c>
      <c r="I4050">
        <v>38.207213070000002</v>
      </c>
      <c r="J4050">
        <v>35</v>
      </c>
      <c r="K4050" t="s">
        <v>536</v>
      </c>
      <c r="L4050" t="s">
        <v>536</v>
      </c>
      <c r="M4050" t="s">
        <v>536</v>
      </c>
      <c r="N4050" t="s">
        <v>536</v>
      </c>
      <c r="O4050" t="s">
        <v>536</v>
      </c>
      <c r="P4050" t="s">
        <v>536</v>
      </c>
      <c r="Q4050" t="s">
        <v>717</v>
      </c>
      <c r="R4050" t="s">
        <v>18766</v>
      </c>
      <c r="S4050" t="s">
        <v>18767</v>
      </c>
      <c r="T4050" t="s">
        <v>18241</v>
      </c>
      <c r="U4050" t="s">
        <v>18768</v>
      </c>
    </row>
    <row r="4051" spans="1:21" x14ac:dyDescent="0.25">
      <c r="A4051" t="s">
        <v>18769</v>
      </c>
      <c r="B4051" t="s">
        <v>38</v>
      </c>
      <c r="C4051" t="s">
        <v>18770</v>
      </c>
      <c r="D4051">
        <f t="shared" si="98"/>
        <v>-8787</v>
      </c>
      <c r="E4051" t="s">
        <v>18239</v>
      </c>
      <c r="F4051" t="s">
        <v>14473</v>
      </c>
      <c r="G4051" t="s">
        <v>14474</v>
      </c>
      <c r="H4051">
        <v>-85.669860549999996</v>
      </c>
      <c r="I4051">
        <v>38.140125859999998</v>
      </c>
      <c r="J4051">
        <v>35</v>
      </c>
      <c r="K4051" t="s">
        <v>1035</v>
      </c>
      <c r="L4051" t="s">
        <v>1035</v>
      </c>
      <c r="M4051" t="s">
        <v>1035</v>
      </c>
      <c r="N4051" t="s">
        <v>1035</v>
      </c>
      <c r="O4051" t="s">
        <v>1035</v>
      </c>
      <c r="P4051" t="s">
        <v>1035</v>
      </c>
      <c r="Q4051" t="s">
        <v>1492</v>
      </c>
      <c r="R4051" t="s">
        <v>18770</v>
      </c>
      <c r="S4051" t="s">
        <v>18771</v>
      </c>
      <c r="T4051" t="s">
        <v>18241</v>
      </c>
      <c r="U4051" t="s">
        <v>18772</v>
      </c>
    </row>
    <row r="4052" spans="1:21" x14ac:dyDescent="0.25">
      <c r="A4052" t="s">
        <v>18773</v>
      </c>
      <c r="B4052" t="s">
        <v>22</v>
      </c>
      <c r="C4052" t="s">
        <v>18774</v>
      </c>
      <c r="D4052">
        <f>1-8554667467</f>
        <v>-8554667466</v>
      </c>
      <c r="E4052" t="s">
        <v>17456</v>
      </c>
      <c r="F4052" t="s">
        <v>14473</v>
      </c>
      <c r="G4052" t="s">
        <v>14474</v>
      </c>
      <c r="H4052">
        <v>-118.4224098</v>
      </c>
      <c r="I4052">
        <v>34.058647700000002</v>
      </c>
      <c r="J4052">
        <v>4</v>
      </c>
      <c r="K4052" t="s">
        <v>536</v>
      </c>
      <c r="L4052" t="s">
        <v>536</v>
      </c>
      <c r="M4052" t="s">
        <v>536</v>
      </c>
      <c r="N4052" t="s">
        <v>536</v>
      </c>
      <c r="O4052" t="s">
        <v>536</v>
      </c>
      <c r="P4052" t="s">
        <v>536</v>
      </c>
      <c r="Q4052" t="s">
        <v>1035</v>
      </c>
      <c r="R4052" t="s">
        <v>18774</v>
      </c>
      <c r="S4052" t="s">
        <v>18775</v>
      </c>
      <c r="T4052" t="s">
        <v>17372</v>
      </c>
      <c r="U4052" t="s">
        <v>18776</v>
      </c>
    </row>
    <row r="4053" spans="1:21" x14ac:dyDescent="0.25">
      <c r="A4053" t="s">
        <v>18777</v>
      </c>
      <c r="B4053" t="s">
        <v>22</v>
      </c>
      <c r="C4053" t="s">
        <v>18778</v>
      </c>
      <c r="D4053">
        <f t="shared" ref="D4053:D4064" si="99">1-855-466-7467</f>
        <v>-8787</v>
      </c>
      <c r="E4053" t="s">
        <v>1385</v>
      </c>
      <c r="F4053" t="s">
        <v>14473</v>
      </c>
      <c r="G4053" t="s">
        <v>14474</v>
      </c>
      <c r="H4053">
        <v>-77.609175449083807</v>
      </c>
      <c r="I4053">
        <v>37.507359483068903</v>
      </c>
      <c r="J4053">
        <v>35</v>
      </c>
      <c r="K4053" t="s">
        <v>717</v>
      </c>
      <c r="L4053" t="s">
        <v>717</v>
      </c>
      <c r="M4053" t="s">
        <v>717</v>
      </c>
      <c r="N4053" t="s">
        <v>717</v>
      </c>
      <c r="O4053" t="s">
        <v>1035</v>
      </c>
      <c r="P4053" t="s">
        <v>1035</v>
      </c>
      <c r="Q4053" t="s">
        <v>1492</v>
      </c>
      <c r="R4053" t="s">
        <v>18778</v>
      </c>
      <c r="S4053" t="s">
        <v>18779</v>
      </c>
      <c r="T4053" t="s">
        <v>17202</v>
      </c>
      <c r="U4053" t="s">
        <v>18780</v>
      </c>
    </row>
    <row r="4054" spans="1:21" x14ac:dyDescent="0.25">
      <c r="A4054" t="s">
        <v>18781</v>
      </c>
      <c r="B4054" t="s">
        <v>22</v>
      </c>
      <c r="C4054" t="s">
        <v>18782</v>
      </c>
      <c r="D4054">
        <f t="shared" si="99"/>
        <v>-8787</v>
      </c>
      <c r="E4054" t="s">
        <v>18783</v>
      </c>
      <c r="F4054" t="s">
        <v>14473</v>
      </c>
      <c r="G4054" t="s">
        <v>14474</v>
      </c>
      <c r="H4054">
        <v>-71.960757920000006</v>
      </c>
      <c r="I4054">
        <v>41.474930350000001</v>
      </c>
      <c r="J4054">
        <v>35</v>
      </c>
      <c r="K4054" t="s">
        <v>45</v>
      </c>
      <c r="L4054" t="s">
        <v>45</v>
      </c>
      <c r="M4054" t="s">
        <v>45</v>
      </c>
      <c r="N4054" t="s">
        <v>45</v>
      </c>
      <c r="O4054" t="s">
        <v>27</v>
      </c>
      <c r="P4054" t="s">
        <v>27</v>
      </c>
      <c r="Q4054" t="s">
        <v>45</v>
      </c>
      <c r="R4054" t="s">
        <v>18782</v>
      </c>
      <c r="S4054" t="s">
        <v>18784</v>
      </c>
      <c r="T4054" t="s">
        <v>17336</v>
      </c>
      <c r="U4054" t="s">
        <v>18785</v>
      </c>
    </row>
    <row r="4055" spans="1:21" x14ac:dyDescent="0.25">
      <c r="A4055" t="s">
        <v>18786</v>
      </c>
      <c r="B4055" t="s">
        <v>38</v>
      </c>
      <c r="C4055" t="s">
        <v>18787</v>
      </c>
      <c r="D4055">
        <f t="shared" si="99"/>
        <v>-8787</v>
      </c>
      <c r="E4055" t="s">
        <v>17972</v>
      </c>
      <c r="F4055" t="s">
        <v>14473</v>
      </c>
      <c r="G4055" t="s">
        <v>14474</v>
      </c>
      <c r="H4055">
        <v>-111.9033879</v>
      </c>
      <c r="I4055">
        <v>33.432709150000001</v>
      </c>
      <c r="J4055">
        <v>10</v>
      </c>
      <c r="K4055" t="s">
        <v>1501</v>
      </c>
      <c r="L4055" t="s">
        <v>1501</v>
      </c>
      <c r="M4055" t="s">
        <v>1501</v>
      </c>
      <c r="N4055" t="s">
        <v>1501</v>
      </c>
      <c r="O4055" t="s">
        <v>1501</v>
      </c>
      <c r="P4055" t="s">
        <v>1501</v>
      </c>
      <c r="Q4055" t="s">
        <v>1034</v>
      </c>
      <c r="R4055" t="s">
        <v>18787</v>
      </c>
      <c r="S4055" t="s">
        <v>18788</v>
      </c>
      <c r="T4055" t="s">
        <v>17792</v>
      </c>
      <c r="U4055" t="s">
        <v>18789</v>
      </c>
    </row>
    <row r="4056" spans="1:21" x14ac:dyDescent="0.25">
      <c r="A4056" t="s">
        <v>18790</v>
      </c>
      <c r="B4056" t="s">
        <v>38</v>
      </c>
      <c r="C4056" t="s">
        <v>18791</v>
      </c>
      <c r="D4056">
        <f t="shared" si="99"/>
        <v>-8787</v>
      </c>
      <c r="E4056" t="s">
        <v>18792</v>
      </c>
      <c r="F4056" t="s">
        <v>14473</v>
      </c>
      <c r="G4056" t="s">
        <v>14474</v>
      </c>
      <c r="H4056">
        <v>-91.603230999999994</v>
      </c>
      <c r="I4056">
        <v>41.691133000000001</v>
      </c>
      <c r="J4056">
        <v>20</v>
      </c>
      <c r="K4056" t="s">
        <v>717</v>
      </c>
      <c r="L4056" t="s">
        <v>717</v>
      </c>
      <c r="M4056" t="s">
        <v>717</v>
      </c>
      <c r="N4056" t="s">
        <v>717</v>
      </c>
      <c r="O4056" t="s">
        <v>1035</v>
      </c>
      <c r="P4056" t="s">
        <v>1035</v>
      </c>
      <c r="Q4056" t="s">
        <v>1034</v>
      </c>
      <c r="R4056" t="s">
        <v>18791</v>
      </c>
      <c r="T4056" t="s">
        <v>18793</v>
      </c>
      <c r="U4056" t="s">
        <v>18794</v>
      </c>
    </row>
    <row r="4057" spans="1:21" x14ac:dyDescent="0.25">
      <c r="A4057" t="s">
        <v>18795</v>
      </c>
      <c r="B4057" t="s">
        <v>22</v>
      </c>
      <c r="C4057" t="s">
        <v>18796</v>
      </c>
      <c r="D4057">
        <f t="shared" si="99"/>
        <v>-8787</v>
      </c>
      <c r="E4057" t="s">
        <v>18797</v>
      </c>
      <c r="F4057" t="s">
        <v>14473</v>
      </c>
      <c r="G4057" t="s">
        <v>14474</v>
      </c>
      <c r="H4057">
        <v>-77.116534000000001</v>
      </c>
      <c r="I4057">
        <v>39.049839919999997</v>
      </c>
      <c r="J4057">
        <v>35</v>
      </c>
      <c r="K4057" t="s">
        <v>45</v>
      </c>
      <c r="L4057" t="s">
        <v>45</v>
      </c>
      <c r="M4057" t="s">
        <v>45</v>
      </c>
      <c r="N4057" t="s">
        <v>45</v>
      </c>
      <c r="O4057" t="s">
        <v>45</v>
      </c>
      <c r="P4057" t="s">
        <v>45</v>
      </c>
      <c r="Q4057" t="s">
        <v>1034</v>
      </c>
      <c r="R4057" t="s">
        <v>18796</v>
      </c>
      <c r="S4057" t="s">
        <v>18798</v>
      </c>
      <c r="T4057" t="s">
        <v>17286</v>
      </c>
      <c r="U4057" t="s">
        <v>18799</v>
      </c>
    </row>
    <row r="4058" spans="1:21" x14ac:dyDescent="0.25">
      <c r="A4058" t="s">
        <v>18800</v>
      </c>
      <c r="B4058" t="s">
        <v>22</v>
      </c>
      <c r="C4058" t="s">
        <v>18801</v>
      </c>
      <c r="D4058">
        <f t="shared" si="99"/>
        <v>-8787</v>
      </c>
      <c r="E4058" t="s">
        <v>17535</v>
      </c>
      <c r="F4058" t="s">
        <v>14473</v>
      </c>
      <c r="G4058" t="s">
        <v>14474</v>
      </c>
      <c r="H4058">
        <v>-74.075575000000001</v>
      </c>
      <c r="I4058">
        <v>40.644601000000002</v>
      </c>
      <c r="J4058">
        <v>35</v>
      </c>
      <c r="K4058" t="s">
        <v>45</v>
      </c>
      <c r="L4058" t="s">
        <v>45</v>
      </c>
      <c r="M4058" t="s">
        <v>45</v>
      </c>
      <c r="N4058" t="s">
        <v>45</v>
      </c>
      <c r="O4058" t="s">
        <v>45</v>
      </c>
      <c r="P4058" t="s">
        <v>45</v>
      </c>
      <c r="Q4058" t="s">
        <v>717</v>
      </c>
      <c r="R4058" t="s">
        <v>18801</v>
      </c>
      <c r="S4058" t="s">
        <v>18802</v>
      </c>
      <c r="T4058" t="s">
        <v>17165</v>
      </c>
      <c r="U4058" t="s">
        <v>18803</v>
      </c>
    </row>
    <row r="4059" spans="1:21" x14ac:dyDescent="0.25">
      <c r="A4059" t="s">
        <v>18804</v>
      </c>
      <c r="B4059" t="s">
        <v>38</v>
      </c>
      <c r="C4059" t="s">
        <v>18805</v>
      </c>
      <c r="D4059">
        <f t="shared" si="99"/>
        <v>-8787</v>
      </c>
      <c r="E4059" t="s">
        <v>18806</v>
      </c>
      <c r="F4059" t="s">
        <v>14473</v>
      </c>
      <c r="G4059" t="s">
        <v>14474</v>
      </c>
      <c r="H4059">
        <v>-117.626831</v>
      </c>
      <c r="I4059">
        <v>33.439079300000003</v>
      </c>
      <c r="J4059">
        <v>4</v>
      </c>
      <c r="K4059" t="s">
        <v>45</v>
      </c>
      <c r="L4059" t="s">
        <v>45</v>
      </c>
      <c r="M4059" t="s">
        <v>45</v>
      </c>
      <c r="N4059" t="s">
        <v>45</v>
      </c>
      <c r="O4059" t="s">
        <v>45</v>
      </c>
      <c r="P4059" t="s">
        <v>45</v>
      </c>
      <c r="Q4059" t="s">
        <v>45</v>
      </c>
      <c r="R4059" t="s">
        <v>18805</v>
      </c>
      <c r="S4059" t="s">
        <v>18807</v>
      </c>
      <c r="T4059" t="s">
        <v>17372</v>
      </c>
      <c r="U4059" t="s">
        <v>18808</v>
      </c>
    </row>
    <row r="4060" spans="1:21" x14ac:dyDescent="0.25">
      <c r="A4060" t="s">
        <v>18809</v>
      </c>
      <c r="B4060" t="s">
        <v>38</v>
      </c>
      <c r="C4060" t="s">
        <v>18810</v>
      </c>
      <c r="D4060">
        <f t="shared" si="99"/>
        <v>-8787</v>
      </c>
      <c r="E4060" t="s">
        <v>18811</v>
      </c>
      <c r="F4060" t="s">
        <v>14473</v>
      </c>
      <c r="G4060" t="s">
        <v>14474</v>
      </c>
      <c r="H4060">
        <v>-87.810845319999999</v>
      </c>
      <c r="I4060">
        <v>41.847267010000003</v>
      </c>
      <c r="J4060">
        <v>20</v>
      </c>
      <c r="K4060" t="s">
        <v>535</v>
      </c>
      <c r="L4060" t="s">
        <v>535</v>
      </c>
      <c r="M4060" t="s">
        <v>535</v>
      </c>
      <c r="N4060" t="s">
        <v>535</v>
      </c>
      <c r="O4060" t="s">
        <v>535</v>
      </c>
      <c r="P4060" t="s">
        <v>535</v>
      </c>
      <c r="Q4060" t="s">
        <v>1492</v>
      </c>
      <c r="R4060" t="s">
        <v>18810</v>
      </c>
      <c r="S4060" t="s">
        <v>18812</v>
      </c>
      <c r="T4060" t="s">
        <v>17313</v>
      </c>
      <c r="U4060" t="s">
        <v>18813</v>
      </c>
    </row>
    <row r="4061" spans="1:21" x14ac:dyDescent="0.25">
      <c r="A4061" t="s">
        <v>18814</v>
      </c>
      <c r="B4061" t="s">
        <v>22</v>
      </c>
      <c r="C4061" t="s">
        <v>18815</v>
      </c>
      <c r="D4061">
        <f t="shared" si="99"/>
        <v>-8787</v>
      </c>
      <c r="E4061" t="s">
        <v>18389</v>
      </c>
      <c r="F4061" t="s">
        <v>14473</v>
      </c>
      <c r="G4061" t="s">
        <v>14474</v>
      </c>
      <c r="H4061">
        <v>-80.38195485</v>
      </c>
      <c r="I4061">
        <v>25.78764717</v>
      </c>
      <c r="J4061">
        <v>35</v>
      </c>
      <c r="K4061" t="s">
        <v>536</v>
      </c>
      <c r="L4061" t="s">
        <v>536</v>
      </c>
      <c r="M4061" t="s">
        <v>536</v>
      </c>
      <c r="N4061" t="s">
        <v>536</v>
      </c>
      <c r="O4061" t="s">
        <v>536</v>
      </c>
      <c r="P4061" t="s">
        <v>536</v>
      </c>
      <c r="Q4061" t="s">
        <v>1035</v>
      </c>
      <c r="R4061" t="s">
        <v>18815</v>
      </c>
      <c r="S4061" t="s">
        <v>18816</v>
      </c>
      <c r="T4061" t="s">
        <v>17724</v>
      </c>
      <c r="U4061" t="s">
        <v>18817</v>
      </c>
    </row>
    <row r="4062" spans="1:21" x14ac:dyDescent="0.25">
      <c r="A4062" t="s">
        <v>18818</v>
      </c>
      <c r="B4062" t="s">
        <v>38</v>
      </c>
      <c r="C4062" t="s">
        <v>18819</v>
      </c>
      <c r="D4062">
        <f t="shared" si="99"/>
        <v>-8787</v>
      </c>
      <c r="E4062" t="s">
        <v>18820</v>
      </c>
      <c r="F4062" t="s">
        <v>14473</v>
      </c>
      <c r="G4062" t="s">
        <v>14474</v>
      </c>
      <c r="H4062">
        <v>-122.6899548</v>
      </c>
      <c r="I4062">
        <v>47.658088900000003</v>
      </c>
      <c r="J4062">
        <v>4</v>
      </c>
      <c r="K4062" t="s">
        <v>1035</v>
      </c>
      <c r="L4062" t="s">
        <v>1035</v>
      </c>
      <c r="M4062" t="s">
        <v>1035</v>
      </c>
      <c r="N4062" t="s">
        <v>1035</v>
      </c>
      <c r="O4062" t="s">
        <v>1035</v>
      </c>
      <c r="P4062" t="s">
        <v>1035</v>
      </c>
      <c r="Q4062" t="s">
        <v>1492</v>
      </c>
      <c r="R4062" t="s">
        <v>18819</v>
      </c>
      <c r="S4062" t="s">
        <v>18821</v>
      </c>
      <c r="T4062" t="s">
        <v>17620</v>
      </c>
      <c r="U4062" t="s">
        <v>18822</v>
      </c>
    </row>
    <row r="4063" spans="1:21" x14ac:dyDescent="0.25">
      <c r="A4063" t="s">
        <v>18823</v>
      </c>
      <c r="B4063" t="s">
        <v>38</v>
      </c>
      <c r="C4063" t="s">
        <v>18824</v>
      </c>
      <c r="D4063">
        <f t="shared" si="99"/>
        <v>-8787</v>
      </c>
      <c r="E4063" t="s">
        <v>18825</v>
      </c>
      <c r="F4063" t="s">
        <v>14473</v>
      </c>
      <c r="G4063" t="s">
        <v>14474</v>
      </c>
      <c r="H4063">
        <v>-87.682374205032303</v>
      </c>
      <c r="I4063">
        <v>30.3767071549739</v>
      </c>
      <c r="J4063">
        <v>20</v>
      </c>
      <c r="K4063" t="s">
        <v>717</v>
      </c>
      <c r="L4063" t="s">
        <v>717</v>
      </c>
      <c r="M4063" t="s">
        <v>717</v>
      </c>
      <c r="N4063" t="s">
        <v>717</v>
      </c>
      <c r="O4063" t="s">
        <v>717</v>
      </c>
      <c r="P4063" t="s">
        <v>717</v>
      </c>
      <c r="Q4063" t="s">
        <v>717</v>
      </c>
      <c r="R4063" t="s">
        <v>18824</v>
      </c>
      <c r="S4063" t="s">
        <v>18826</v>
      </c>
      <c r="T4063" t="s">
        <v>18064</v>
      </c>
      <c r="U4063" t="s">
        <v>18827</v>
      </c>
    </row>
    <row r="4064" spans="1:21" x14ac:dyDescent="0.25">
      <c r="A4064" t="s">
        <v>18828</v>
      </c>
      <c r="B4064" t="s">
        <v>38</v>
      </c>
      <c r="C4064" t="s">
        <v>18829</v>
      </c>
      <c r="D4064">
        <f t="shared" si="99"/>
        <v>-8787</v>
      </c>
      <c r="E4064" t="s">
        <v>18830</v>
      </c>
      <c r="F4064" t="s">
        <v>14473</v>
      </c>
      <c r="G4064" t="s">
        <v>14474</v>
      </c>
      <c r="H4064">
        <v>-80.659368039950493</v>
      </c>
      <c r="I4064">
        <v>41.0202481720655</v>
      </c>
      <c r="J4064">
        <v>35</v>
      </c>
      <c r="K4064" t="s">
        <v>1035</v>
      </c>
      <c r="L4064" t="s">
        <v>1035</v>
      </c>
      <c r="M4064" t="s">
        <v>1035</v>
      </c>
      <c r="N4064" t="s">
        <v>1035</v>
      </c>
      <c r="O4064" t="s">
        <v>1035</v>
      </c>
      <c r="P4064" t="s">
        <v>1035</v>
      </c>
      <c r="Q4064" t="s">
        <v>1034</v>
      </c>
      <c r="R4064" t="s">
        <v>18829</v>
      </c>
      <c r="S4064" t="s">
        <v>18831</v>
      </c>
      <c r="T4064" t="s">
        <v>17419</v>
      </c>
      <c r="U4064" t="s">
        <v>18832</v>
      </c>
    </row>
    <row r="4065" spans="1:21" x14ac:dyDescent="0.25">
      <c r="A4065" t="s">
        <v>18833</v>
      </c>
      <c r="B4065" t="s">
        <v>38</v>
      </c>
      <c r="C4065" t="s">
        <v>18834</v>
      </c>
      <c r="E4065" t="s">
        <v>18835</v>
      </c>
      <c r="F4065" t="s">
        <v>14473</v>
      </c>
      <c r="G4065" t="s">
        <v>14474</v>
      </c>
      <c r="H4065">
        <v>-71.0514309</v>
      </c>
      <c r="I4065">
        <v>41.864427300000003</v>
      </c>
      <c r="J4065">
        <v>35</v>
      </c>
      <c r="R4065" t="s">
        <v>18834</v>
      </c>
      <c r="S4065" t="s">
        <v>18836</v>
      </c>
      <c r="T4065" t="s">
        <v>11856</v>
      </c>
      <c r="U4065" t="s">
        <v>18837</v>
      </c>
    </row>
    <row r="4066" spans="1:21" x14ac:dyDescent="0.25">
      <c r="A4066" t="s">
        <v>18838</v>
      </c>
      <c r="B4066" t="s">
        <v>38</v>
      </c>
      <c r="C4066" t="s">
        <v>18839</v>
      </c>
      <c r="D4066">
        <f t="shared" ref="D4066:D4091" si="100">1-855-466-7467</f>
        <v>-8787</v>
      </c>
      <c r="E4066" t="s">
        <v>18840</v>
      </c>
      <c r="F4066" t="s">
        <v>14473</v>
      </c>
      <c r="G4066" t="s">
        <v>14474</v>
      </c>
      <c r="H4066">
        <v>-80.751391976413998</v>
      </c>
      <c r="I4066">
        <v>41.214226092017597</v>
      </c>
      <c r="J4066">
        <v>35</v>
      </c>
      <c r="K4066" t="s">
        <v>536</v>
      </c>
      <c r="L4066" t="s">
        <v>536</v>
      </c>
      <c r="M4066" t="s">
        <v>536</v>
      </c>
      <c r="N4066" t="s">
        <v>536</v>
      </c>
      <c r="O4066" t="s">
        <v>536</v>
      </c>
      <c r="P4066" t="s">
        <v>536</v>
      </c>
      <c r="Q4066" t="s">
        <v>1034</v>
      </c>
      <c r="R4066" t="s">
        <v>18839</v>
      </c>
      <c r="S4066" t="s">
        <v>18841</v>
      </c>
      <c r="T4066" t="s">
        <v>17419</v>
      </c>
      <c r="U4066" t="s">
        <v>18842</v>
      </c>
    </row>
    <row r="4067" spans="1:21" x14ac:dyDescent="0.25">
      <c r="A4067" t="s">
        <v>18843</v>
      </c>
      <c r="B4067" t="s">
        <v>22</v>
      </c>
      <c r="C4067" t="s">
        <v>18844</v>
      </c>
      <c r="D4067">
        <f t="shared" si="100"/>
        <v>-8787</v>
      </c>
      <c r="E4067" t="s">
        <v>18473</v>
      </c>
      <c r="F4067" t="s">
        <v>14473</v>
      </c>
      <c r="G4067" t="s">
        <v>14474</v>
      </c>
      <c r="H4067">
        <v>-98.494482000000005</v>
      </c>
      <c r="I4067">
        <v>29.518746</v>
      </c>
      <c r="J4067">
        <v>20</v>
      </c>
      <c r="K4067" t="s">
        <v>717</v>
      </c>
      <c r="L4067" t="s">
        <v>717</v>
      </c>
      <c r="M4067" t="s">
        <v>717</v>
      </c>
      <c r="N4067" t="s">
        <v>717</v>
      </c>
      <c r="O4067" t="s">
        <v>1035</v>
      </c>
      <c r="P4067" t="s">
        <v>1035</v>
      </c>
      <c r="Q4067" t="s">
        <v>1492</v>
      </c>
      <c r="R4067" t="s">
        <v>18844</v>
      </c>
      <c r="S4067" t="s">
        <v>18845</v>
      </c>
      <c r="T4067" t="s">
        <v>17781</v>
      </c>
      <c r="U4067" t="s">
        <v>18846</v>
      </c>
    </row>
    <row r="4068" spans="1:21" x14ac:dyDescent="0.25">
      <c r="A4068" t="s">
        <v>18847</v>
      </c>
      <c r="B4068" t="s">
        <v>38</v>
      </c>
      <c r="C4068" t="s">
        <v>18848</v>
      </c>
      <c r="D4068">
        <f t="shared" si="100"/>
        <v>-8787</v>
      </c>
      <c r="E4068" t="s">
        <v>18849</v>
      </c>
      <c r="F4068" t="s">
        <v>14473</v>
      </c>
      <c r="G4068" t="s">
        <v>14474</v>
      </c>
      <c r="H4068">
        <v>-79.508439522476095</v>
      </c>
      <c r="I4068">
        <v>40.300419498255799</v>
      </c>
      <c r="J4068">
        <v>35</v>
      </c>
      <c r="K4068" t="s">
        <v>536</v>
      </c>
      <c r="L4068" t="s">
        <v>536</v>
      </c>
      <c r="M4068" t="s">
        <v>536</v>
      </c>
      <c r="N4068" t="s">
        <v>536</v>
      </c>
      <c r="O4068" t="s">
        <v>536</v>
      </c>
      <c r="P4068" t="s">
        <v>536</v>
      </c>
      <c r="Q4068" t="s">
        <v>564</v>
      </c>
      <c r="R4068" t="s">
        <v>18848</v>
      </c>
      <c r="S4068" t="s">
        <v>18850</v>
      </c>
      <c r="T4068" t="s">
        <v>17270</v>
      </c>
      <c r="U4068" t="s">
        <v>18851</v>
      </c>
    </row>
    <row r="4069" spans="1:21" x14ac:dyDescent="0.25">
      <c r="A4069" t="s">
        <v>18852</v>
      </c>
      <c r="B4069" t="s">
        <v>38</v>
      </c>
      <c r="C4069" t="s">
        <v>18853</v>
      </c>
      <c r="D4069">
        <f t="shared" si="100"/>
        <v>-8787</v>
      </c>
      <c r="E4069" t="s">
        <v>18854</v>
      </c>
      <c r="F4069" t="s">
        <v>14473</v>
      </c>
      <c r="G4069" t="s">
        <v>14474</v>
      </c>
      <c r="H4069">
        <v>-94.162887299351496</v>
      </c>
      <c r="I4069">
        <v>30.125469830045802</v>
      </c>
      <c r="J4069">
        <v>20</v>
      </c>
      <c r="K4069" t="s">
        <v>536</v>
      </c>
      <c r="L4069" t="s">
        <v>536</v>
      </c>
      <c r="M4069" t="s">
        <v>536</v>
      </c>
      <c r="N4069" t="s">
        <v>536</v>
      </c>
      <c r="O4069" t="s">
        <v>536</v>
      </c>
      <c r="P4069" t="s">
        <v>536</v>
      </c>
      <c r="Q4069" t="s">
        <v>1492</v>
      </c>
      <c r="R4069" t="s">
        <v>18853</v>
      </c>
      <c r="S4069" t="s">
        <v>18855</v>
      </c>
      <c r="T4069" t="s">
        <v>17781</v>
      </c>
      <c r="U4069" t="s">
        <v>18856</v>
      </c>
    </row>
    <row r="4070" spans="1:21" x14ac:dyDescent="0.25">
      <c r="A4070" t="s">
        <v>18857</v>
      </c>
      <c r="B4070" t="s">
        <v>38</v>
      </c>
      <c r="C4070" t="s">
        <v>18858</v>
      </c>
      <c r="D4070">
        <f t="shared" si="100"/>
        <v>-8787</v>
      </c>
      <c r="E4070" t="s">
        <v>18859</v>
      </c>
      <c r="F4070" t="s">
        <v>14473</v>
      </c>
      <c r="G4070" t="s">
        <v>14474</v>
      </c>
      <c r="H4070">
        <v>-76.227513755225303</v>
      </c>
      <c r="I4070">
        <v>36.779893094257702</v>
      </c>
      <c r="J4070">
        <v>35</v>
      </c>
      <c r="K4070" t="s">
        <v>717</v>
      </c>
      <c r="L4070" t="s">
        <v>717</v>
      </c>
      <c r="M4070" t="s">
        <v>717</v>
      </c>
      <c r="N4070" t="s">
        <v>717</v>
      </c>
      <c r="O4070" t="s">
        <v>717</v>
      </c>
      <c r="P4070" t="s">
        <v>717</v>
      </c>
      <c r="Q4070" t="s">
        <v>1492</v>
      </c>
      <c r="R4070" t="s">
        <v>18858</v>
      </c>
      <c r="S4070" t="s">
        <v>18860</v>
      </c>
      <c r="T4070" t="s">
        <v>17202</v>
      </c>
      <c r="U4070" t="s">
        <v>18861</v>
      </c>
    </row>
    <row r="4071" spans="1:21" x14ac:dyDescent="0.25">
      <c r="A4071" t="s">
        <v>18862</v>
      </c>
      <c r="B4071" t="s">
        <v>38</v>
      </c>
      <c r="C4071" t="s">
        <v>18863</v>
      </c>
      <c r="D4071">
        <f t="shared" si="100"/>
        <v>-8787</v>
      </c>
      <c r="E4071" t="s">
        <v>18024</v>
      </c>
      <c r="F4071" t="s">
        <v>14473</v>
      </c>
      <c r="G4071" t="s">
        <v>14474</v>
      </c>
      <c r="H4071">
        <v>-95.396695600000001</v>
      </c>
      <c r="I4071">
        <v>29.554295499999998</v>
      </c>
      <c r="J4071">
        <v>20</v>
      </c>
      <c r="K4071" t="s">
        <v>536</v>
      </c>
      <c r="L4071" t="s">
        <v>536</v>
      </c>
      <c r="M4071" t="s">
        <v>536</v>
      </c>
      <c r="N4071" t="s">
        <v>536</v>
      </c>
      <c r="O4071" t="s">
        <v>536</v>
      </c>
      <c r="P4071" t="s">
        <v>536</v>
      </c>
      <c r="Q4071" t="s">
        <v>717</v>
      </c>
      <c r="R4071" t="s">
        <v>18863</v>
      </c>
      <c r="S4071" t="s">
        <v>18864</v>
      </c>
      <c r="T4071" t="s">
        <v>17781</v>
      </c>
      <c r="U4071" t="s">
        <v>18865</v>
      </c>
    </row>
    <row r="4072" spans="1:21" x14ac:dyDescent="0.25">
      <c r="A4072" t="s">
        <v>18866</v>
      </c>
      <c r="B4072" t="s">
        <v>38</v>
      </c>
      <c r="C4072" t="s">
        <v>18867</v>
      </c>
      <c r="D4072">
        <f t="shared" si="100"/>
        <v>-8787</v>
      </c>
      <c r="E4072" t="s">
        <v>18868</v>
      </c>
      <c r="F4072" t="s">
        <v>14473</v>
      </c>
      <c r="G4072" t="s">
        <v>14474</v>
      </c>
      <c r="H4072">
        <v>-83.112081930000002</v>
      </c>
      <c r="I4072">
        <v>42.536802799999997</v>
      </c>
      <c r="J4072">
        <v>35</v>
      </c>
      <c r="K4072" t="s">
        <v>17207</v>
      </c>
      <c r="L4072" t="s">
        <v>17207</v>
      </c>
      <c r="M4072" t="s">
        <v>17207</v>
      </c>
      <c r="N4072" t="s">
        <v>17207</v>
      </c>
      <c r="O4072" t="s">
        <v>1011</v>
      </c>
      <c r="P4072" t="s">
        <v>1011</v>
      </c>
      <c r="Q4072" t="s">
        <v>1492</v>
      </c>
      <c r="R4072" t="s">
        <v>18867</v>
      </c>
      <c r="S4072" t="s">
        <v>18869</v>
      </c>
      <c r="T4072" t="s">
        <v>17546</v>
      </c>
      <c r="U4072" t="s">
        <v>18870</v>
      </c>
    </row>
    <row r="4073" spans="1:21" x14ac:dyDescent="0.25">
      <c r="A4073" t="s">
        <v>18871</v>
      </c>
      <c r="B4073" t="s">
        <v>38</v>
      </c>
      <c r="C4073" t="s">
        <v>18872</v>
      </c>
      <c r="D4073">
        <f t="shared" si="100"/>
        <v>-8787</v>
      </c>
      <c r="E4073" t="s">
        <v>18646</v>
      </c>
      <c r="F4073" t="s">
        <v>14473</v>
      </c>
      <c r="G4073" t="s">
        <v>14474</v>
      </c>
      <c r="H4073">
        <v>-78.774692099999996</v>
      </c>
      <c r="I4073">
        <v>33.784361199999999</v>
      </c>
      <c r="J4073">
        <v>35</v>
      </c>
      <c r="K4073" t="s">
        <v>45</v>
      </c>
      <c r="L4073" t="s">
        <v>45</v>
      </c>
      <c r="M4073" t="s">
        <v>45</v>
      </c>
      <c r="N4073" t="s">
        <v>45</v>
      </c>
      <c r="O4073" t="s">
        <v>45</v>
      </c>
      <c r="P4073" t="s">
        <v>45</v>
      </c>
      <c r="Q4073" t="s">
        <v>717</v>
      </c>
      <c r="R4073" t="s">
        <v>18872</v>
      </c>
      <c r="S4073" t="s">
        <v>18873</v>
      </c>
      <c r="T4073" t="s">
        <v>18147</v>
      </c>
      <c r="U4073" t="s">
        <v>18874</v>
      </c>
    </row>
    <row r="4074" spans="1:21" x14ac:dyDescent="0.25">
      <c r="A4074" t="s">
        <v>18875</v>
      </c>
      <c r="B4074" t="s">
        <v>38</v>
      </c>
      <c r="C4074" t="s">
        <v>18876</v>
      </c>
      <c r="D4074">
        <f t="shared" si="100"/>
        <v>-8787</v>
      </c>
      <c r="E4074" t="s">
        <v>18877</v>
      </c>
      <c r="F4074" t="s">
        <v>14473</v>
      </c>
      <c r="G4074" t="s">
        <v>14474</v>
      </c>
      <c r="H4074">
        <v>-85.764141269999996</v>
      </c>
      <c r="I4074">
        <v>38.316274999999997</v>
      </c>
      <c r="J4074">
        <v>35</v>
      </c>
      <c r="K4074" t="s">
        <v>1035</v>
      </c>
      <c r="L4074" t="s">
        <v>1035</v>
      </c>
      <c r="M4074" t="s">
        <v>1035</v>
      </c>
      <c r="N4074" t="s">
        <v>1035</v>
      </c>
      <c r="O4074" t="s">
        <v>1035</v>
      </c>
      <c r="P4074" t="s">
        <v>1035</v>
      </c>
      <c r="Q4074" t="s">
        <v>1492</v>
      </c>
      <c r="R4074" t="s">
        <v>18876</v>
      </c>
      <c r="S4074" t="s">
        <v>18878</v>
      </c>
      <c r="T4074" t="s">
        <v>17366</v>
      </c>
      <c r="U4074" t="s">
        <v>18879</v>
      </c>
    </row>
    <row r="4075" spans="1:21" x14ac:dyDescent="0.25">
      <c r="A4075" t="s">
        <v>18880</v>
      </c>
      <c r="B4075" t="s">
        <v>38</v>
      </c>
      <c r="C4075" t="s">
        <v>18881</v>
      </c>
      <c r="D4075">
        <f t="shared" si="100"/>
        <v>-8787</v>
      </c>
      <c r="E4075" t="s">
        <v>18882</v>
      </c>
      <c r="F4075" t="s">
        <v>14473</v>
      </c>
      <c r="G4075" t="s">
        <v>14474</v>
      </c>
      <c r="H4075">
        <v>-97.987945999999994</v>
      </c>
      <c r="I4075">
        <v>29.824614</v>
      </c>
      <c r="J4075">
        <v>20</v>
      </c>
      <c r="K4075" t="s">
        <v>45</v>
      </c>
      <c r="L4075" t="s">
        <v>45</v>
      </c>
      <c r="M4075" t="s">
        <v>45</v>
      </c>
      <c r="N4075" t="s">
        <v>45</v>
      </c>
      <c r="O4075" t="s">
        <v>45</v>
      </c>
      <c r="P4075" t="s">
        <v>45</v>
      </c>
      <c r="Q4075" t="s">
        <v>717</v>
      </c>
      <c r="R4075" t="s">
        <v>18881</v>
      </c>
      <c r="S4075" t="s">
        <v>18883</v>
      </c>
      <c r="T4075" t="s">
        <v>17781</v>
      </c>
      <c r="U4075" t="s">
        <v>18884</v>
      </c>
    </row>
    <row r="4076" spans="1:21" x14ac:dyDescent="0.25">
      <c r="A4076" t="s">
        <v>18885</v>
      </c>
      <c r="B4076" t="s">
        <v>38</v>
      </c>
      <c r="C4076" t="s">
        <v>18886</v>
      </c>
      <c r="D4076">
        <f t="shared" si="100"/>
        <v>-8787</v>
      </c>
      <c r="E4076" t="s">
        <v>17737</v>
      </c>
      <c r="F4076" t="s">
        <v>14473</v>
      </c>
      <c r="G4076" t="s">
        <v>14474</v>
      </c>
      <c r="H4076">
        <v>-121.81471999999999</v>
      </c>
      <c r="I4076">
        <v>37.325513999999998</v>
      </c>
      <c r="J4076">
        <v>4</v>
      </c>
      <c r="K4076" t="s">
        <v>717</v>
      </c>
      <c r="L4076" t="s">
        <v>717</v>
      </c>
      <c r="M4076" t="s">
        <v>717</v>
      </c>
      <c r="N4076" t="s">
        <v>717</v>
      </c>
      <c r="O4076" t="s">
        <v>1035</v>
      </c>
      <c r="P4076" t="s">
        <v>1035</v>
      </c>
      <c r="Q4076" t="s">
        <v>717</v>
      </c>
      <c r="R4076" t="s">
        <v>18886</v>
      </c>
      <c r="S4076" t="s">
        <v>18887</v>
      </c>
      <c r="T4076" t="s">
        <v>17372</v>
      </c>
      <c r="U4076" t="s">
        <v>18888</v>
      </c>
    </row>
    <row r="4077" spans="1:21" x14ac:dyDescent="0.25">
      <c r="A4077" t="s">
        <v>18889</v>
      </c>
      <c r="B4077" t="s">
        <v>22</v>
      </c>
      <c r="C4077" t="s">
        <v>18890</v>
      </c>
      <c r="D4077">
        <f t="shared" si="100"/>
        <v>-8787</v>
      </c>
      <c r="E4077" t="s">
        <v>18891</v>
      </c>
      <c r="F4077" t="s">
        <v>14473</v>
      </c>
      <c r="G4077" t="s">
        <v>14474</v>
      </c>
      <c r="H4077">
        <v>-84.371235519999999</v>
      </c>
      <c r="I4077">
        <v>39.371438169999998</v>
      </c>
      <c r="J4077">
        <v>35</v>
      </c>
      <c r="K4077" t="s">
        <v>45</v>
      </c>
      <c r="L4077" t="s">
        <v>45</v>
      </c>
      <c r="M4077" t="s">
        <v>45</v>
      </c>
      <c r="N4077" t="s">
        <v>45</v>
      </c>
      <c r="O4077" t="s">
        <v>45</v>
      </c>
      <c r="P4077" t="s">
        <v>45</v>
      </c>
      <c r="Q4077" t="s">
        <v>1492</v>
      </c>
      <c r="R4077" t="s">
        <v>18890</v>
      </c>
      <c r="S4077" t="s">
        <v>18892</v>
      </c>
      <c r="T4077" t="s">
        <v>17419</v>
      </c>
      <c r="U4077" t="s">
        <v>18893</v>
      </c>
    </row>
    <row r="4078" spans="1:21" x14ac:dyDescent="0.25">
      <c r="A4078" t="s">
        <v>18894</v>
      </c>
      <c r="B4078" t="s">
        <v>22</v>
      </c>
      <c r="C4078" t="s">
        <v>18895</v>
      </c>
      <c r="D4078">
        <f t="shared" si="100"/>
        <v>-8787</v>
      </c>
      <c r="E4078" t="s">
        <v>18161</v>
      </c>
      <c r="F4078" t="s">
        <v>14473</v>
      </c>
      <c r="G4078" t="s">
        <v>14474</v>
      </c>
      <c r="H4078">
        <v>-116.35128640000001</v>
      </c>
      <c r="I4078">
        <v>43.620829800000003</v>
      </c>
      <c r="J4078">
        <v>10</v>
      </c>
      <c r="K4078" t="s">
        <v>536</v>
      </c>
      <c r="L4078" t="s">
        <v>536</v>
      </c>
      <c r="M4078" t="s">
        <v>536</v>
      </c>
      <c r="N4078" t="s">
        <v>536</v>
      </c>
      <c r="O4078" t="s">
        <v>536</v>
      </c>
      <c r="P4078" t="s">
        <v>536</v>
      </c>
      <c r="Q4078" t="s">
        <v>1034</v>
      </c>
      <c r="R4078" t="s">
        <v>18895</v>
      </c>
      <c r="S4078" t="s">
        <v>18896</v>
      </c>
      <c r="T4078" t="s">
        <v>18163</v>
      </c>
      <c r="U4078" t="s">
        <v>18897</v>
      </c>
    </row>
    <row r="4079" spans="1:21" x14ac:dyDescent="0.25">
      <c r="A4079" t="s">
        <v>18898</v>
      </c>
      <c r="B4079" t="s">
        <v>38</v>
      </c>
      <c r="C4079" t="s">
        <v>18899</v>
      </c>
      <c r="D4079">
        <f t="shared" si="100"/>
        <v>-8787</v>
      </c>
      <c r="E4079" t="s">
        <v>18900</v>
      </c>
      <c r="F4079" t="s">
        <v>14473</v>
      </c>
      <c r="G4079" t="s">
        <v>14474</v>
      </c>
      <c r="H4079">
        <v>-96.250977628737104</v>
      </c>
      <c r="I4079">
        <v>41.097911814148098</v>
      </c>
      <c r="J4079">
        <v>20</v>
      </c>
      <c r="K4079" t="s">
        <v>717</v>
      </c>
      <c r="L4079" t="s">
        <v>717</v>
      </c>
      <c r="M4079" t="s">
        <v>717</v>
      </c>
      <c r="N4079" t="s">
        <v>717</v>
      </c>
      <c r="O4079" t="s">
        <v>717</v>
      </c>
      <c r="P4079" t="s">
        <v>717</v>
      </c>
      <c r="Q4079" t="s">
        <v>1034</v>
      </c>
      <c r="R4079" t="s">
        <v>18899</v>
      </c>
      <c r="S4079" t="s">
        <v>18901</v>
      </c>
      <c r="T4079" t="s">
        <v>18435</v>
      </c>
      <c r="U4079" t="s">
        <v>18902</v>
      </c>
    </row>
    <row r="4080" spans="1:21" x14ac:dyDescent="0.25">
      <c r="A4080" t="s">
        <v>18903</v>
      </c>
      <c r="B4080" t="s">
        <v>38</v>
      </c>
      <c r="C4080" t="s">
        <v>18904</v>
      </c>
      <c r="D4080">
        <f t="shared" si="100"/>
        <v>-8787</v>
      </c>
      <c r="E4080" t="s">
        <v>18905</v>
      </c>
      <c r="F4080" t="s">
        <v>14473</v>
      </c>
      <c r="G4080" t="s">
        <v>14474</v>
      </c>
      <c r="H4080">
        <v>-78.843684191971306</v>
      </c>
      <c r="I4080">
        <v>38.427805028841703</v>
      </c>
      <c r="J4080">
        <v>35</v>
      </c>
      <c r="K4080" t="s">
        <v>536</v>
      </c>
      <c r="L4080" t="s">
        <v>536</v>
      </c>
      <c r="M4080" t="s">
        <v>536</v>
      </c>
      <c r="N4080" t="s">
        <v>536</v>
      </c>
      <c r="O4080" t="s">
        <v>536</v>
      </c>
      <c r="P4080" t="s">
        <v>536</v>
      </c>
      <c r="Q4080" t="s">
        <v>1289</v>
      </c>
      <c r="R4080" t="s">
        <v>18904</v>
      </c>
      <c r="S4080" t="s">
        <v>18906</v>
      </c>
      <c r="T4080" t="s">
        <v>17202</v>
      </c>
      <c r="U4080" t="s">
        <v>18907</v>
      </c>
    </row>
    <row r="4081" spans="1:21" x14ac:dyDescent="0.25">
      <c r="A4081" t="s">
        <v>18908</v>
      </c>
      <c r="B4081" t="s">
        <v>38</v>
      </c>
      <c r="C4081" t="s">
        <v>18909</v>
      </c>
      <c r="D4081">
        <f t="shared" si="100"/>
        <v>-8787</v>
      </c>
      <c r="E4081" t="s">
        <v>18910</v>
      </c>
      <c r="F4081" t="s">
        <v>14473</v>
      </c>
      <c r="G4081" t="s">
        <v>14474</v>
      </c>
      <c r="H4081">
        <v>-97.189700000000002</v>
      </c>
      <c r="I4081">
        <v>31.516120999999998</v>
      </c>
      <c r="J4081">
        <v>20</v>
      </c>
      <c r="K4081" t="s">
        <v>45</v>
      </c>
      <c r="L4081" t="s">
        <v>45</v>
      </c>
      <c r="M4081" t="s">
        <v>45</v>
      </c>
      <c r="N4081" t="s">
        <v>45</v>
      </c>
      <c r="O4081" t="s">
        <v>45</v>
      </c>
      <c r="P4081" t="s">
        <v>45</v>
      </c>
      <c r="Q4081" t="s">
        <v>1492</v>
      </c>
      <c r="R4081" t="s">
        <v>18909</v>
      </c>
      <c r="S4081" t="s">
        <v>18911</v>
      </c>
      <c r="T4081" t="s">
        <v>17781</v>
      </c>
      <c r="U4081" t="s">
        <v>18912</v>
      </c>
    </row>
    <row r="4082" spans="1:21" x14ac:dyDescent="0.25">
      <c r="A4082" t="s">
        <v>18913</v>
      </c>
      <c r="B4082" t="s">
        <v>38</v>
      </c>
      <c r="C4082" t="s">
        <v>18914</v>
      </c>
      <c r="D4082">
        <f t="shared" si="100"/>
        <v>-8787</v>
      </c>
      <c r="E4082" t="s">
        <v>18915</v>
      </c>
      <c r="F4082" t="s">
        <v>14473</v>
      </c>
      <c r="G4082" t="s">
        <v>14474</v>
      </c>
      <c r="H4082">
        <v>-89.993793299999993</v>
      </c>
      <c r="I4082">
        <v>34.936233600000001</v>
      </c>
      <c r="J4082">
        <v>20</v>
      </c>
      <c r="K4082" t="s">
        <v>45</v>
      </c>
      <c r="L4082" t="s">
        <v>45</v>
      </c>
      <c r="M4082" t="s">
        <v>45</v>
      </c>
      <c r="N4082" t="s">
        <v>45</v>
      </c>
      <c r="O4082" t="s">
        <v>45</v>
      </c>
      <c r="P4082" t="s">
        <v>45</v>
      </c>
      <c r="Q4082" t="s">
        <v>717</v>
      </c>
      <c r="R4082" t="s">
        <v>18914</v>
      </c>
      <c r="S4082" t="s">
        <v>18916</v>
      </c>
      <c r="T4082" t="s">
        <v>18528</v>
      </c>
      <c r="U4082" t="s">
        <v>18917</v>
      </c>
    </row>
    <row r="4083" spans="1:21" x14ac:dyDescent="0.25">
      <c r="A4083" t="s">
        <v>18918</v>
      </c>
      <c r="B4083" t="s">
        <v>38</v>
      </c>
      <c r="C4083" t="s">
        <v>18919</v>
      </c>
      <c r="D4083">
        <f t="shared" si="100"/>
        <v>-8787</v>
      </c>
      <c r="E4083" t="s">
        <v>18920</v>
      </c>
      <c r="F4083" t="s">
        <v>14473</v>
      </c>
      <c r="G4083" t="s">
        <v>14474</v>
      </c>
      <c r="H4083">
        <v>-96.302478679999993</v>
      </c>
      <c r="I4083">
        <v>30.62424008</v>
      </c>
      <c r="J4083">
        <v>20</v>
      </c>
      <c r="K4083" t="s">
        <v>536</v>
      </c>
      <c r="L4083" t="s">
        <v>536</v>
      </c>
      <c r="M4083" t="s">
        <v>536</v>
      </c>
      <c r="N4083" t="s">
        <v>536</v>
      </c>
      <c r="O4083" t="s">
        <v>536</v>
      </c>
      <c r="P4083" t="s">
        <v>536</v>
      </c>
      <c r="Q4083" t="s">
        <v>1492</v>
      </c>
      <c r="R4083" t="s">
        <v>18919</v>
      </c>
      <c r="S4083" t="s">
        <v>18921</v>
      </c>
      <c r="T4083" t="s">
        <v>17781</v>
      </c>
      <c r="U4083" t="s">
        <v>18922</v>
      </c>
    </row>
    <row r="4084" spans="1:21" x14ac:dyDescent="0.25">
      <c r="A4084" t="s">
        <v>18923</v>
      </c>
      <c r="B4084" t="s">
        <v>38</v>
      </c>
      <c r="C4084" t="s">
        <v>17205</v>
      </c>
      <c r="D4084">
        <f t="shared" si="100"/>
        <v>-8787</v>
      </c>
      <c r="E4084" t="s">
        <v>18924</v>
      </c>
      <c r="F4084" t="s">
        <v>14473</v>
      </c>
      <c r="G4084" t="s">
        <v>14474</v>
      </c>
      <c r="H4084">
        <v>-97.50288707</v>
      </c>
      <c r="I4084">
        <v>25.953416359999999</v>
      </c>
      <c r="J4084">
        <v>20</v>
      </c>
      <c r="K4084" t="s">
        <v>536</v>
      </c>
      <c r="L4084" t="s">
        <v>536</v>
      </c>
      <c r="M4084" t="s">
        <v>536</v>
      </c>
      <c r="N4084" t="s">
        <v>536</v>
      </c>
      <c r="O4084" t="s">
        <v>536</v>
      </c>
      <c r="P4084" t="s">
        <v>536</v>
      </c>
      <c r="Q4084" t="s">
        <v>1492</v>
      </c>
      <c r="R4084" t="s">
        <v>17205</v>
      </c>
      <c r="S4084" t="s">
        <v>18925</v>
      </c>
      <c r="T4084" t="s">
        <v>17781</v>
      </c>
      <c r="U4084" t="s">
        <v>18926</v>
      </c>
    </row>
    <row r="4085" spans="1:21" x14ac:dyDescent="0.25">
      <c r="A4085" t="s">
        <v>18927</v>
      </c>
      <c r="B4085" t="s">
        <v>22</v>
      </c>
      <c r="C4085" t="s">
        <v>18928</v>
      </c>
      <c r="D4085">
        <f t="shared" si="100"/>
        <v>-8787</v>
      </c>
      <c r="E4085" t="s">
        <v>18929</v>
      </c>
      <c r="F4085" t="s">
        <v>14473</v>
      </c>
      <c r="G4085" t="s">
        <v>14474</v>
      </c>
      <c r="H4085">
        <v>-80.113397699999993</v>
      </c>
      <c r="I4085">
        <v>26.137026939999998</v>
      </c>
      <c r="J4085">
        <v>35</v>
      </c>
      <c r="K4085" t="s">
        <v>717</v>
      </c>
      <c r="L4085" t="s">
        <v>717</v>
      </c>
      <c r="M4085" t="s">
        <v>717</v>
      </c>
      <c r="N4085" t="s">
        <v>717</v>
      </c>
      <c r="O4085" t="s">
        <v>1035</v>
      </c>
      <c r="P4085" t="s">
        <v>1035</v>
      </c>
      <c r="Q4085" t="s">
        <v>1492</v>
      </c>
      <c r="R4085" t="s">
        <v>18928</v>
      </c>
      <c r="S4085" t="s">
        <v>18930</v>
      </c>
      <c r="T4085" t="s">
        <v>17724</v>
      </c>
      <c r="U4085" t="s">
        <v>18931</v>
      </c>
    </row>
    <row r="4086" spans="1:21" x14ac:dyDescent="0.25">
      <c r="A4086" t="s">
        <v>18932</v>
      </c>
      <c r="B4086" t="s">
        <v>22</v>
      </c>
      <c r="C4086" t="s">
        <v>18933</v>
      </c>
      <c r="D4086">
        <f t="shared" si="100"/>
        <v>-8787</v>
      </c>
      <c r="E4086" t="s">
        <v>18934</v>
      </c>
      <c r="F4086" t="s">
        <v>14473</v>
      </c>
      <c r="G4086" t="s">
        <v>14474</v>
      </c>
      <c r="H4086">
        <v>-118.14461275595799</v>
      </c>
      <c r="I4086">
        <v>34.145146577624899</v>
      </c>
      <c r="J4086">
        <v>4</v>
      </c>
      <c r="K4086" t="s">
        <v>536</v>
      </c>
      <c r="L4086" t="s">
        <v>536</v>
      </c>
      <c r="M4086" t="s">
        <v>536</v>
      </c>
      <c r="N4086" t="s">
        <v>536</v>
      </c>
      <c r="O4086" t="s">
        <v>536</v>
      </c>
      <c r="P4086" t="s">
        <v>536</v>
      </c>
      <c r="Q4086" t="s">
        <v>1034</v>
      </c>
      <c r="R4086" t="s">
        <v>18933</v>
      </c>
      <c r="S4086" t="s">
        <v>18935</v>
      </c>
      <c r="T4086" t="s">
        <v>17372</v>
      </c>
      <c r="U4086" t="s">
        <v>18936</v>
      </c>
    </row>
    <row r="4087" spans="1:21" x14ac:dyDescent="0.25">
      <c r="A4087" t="s">
        <v>18937</v>
      </c>
      <c r="B4087" t="s">
        <v>38</v>
      </c>
      <c r="C4087" t="s">
        <v>18938</v>
      </c>
      <c r="D4087">
        <f t="shared" si="100"/>
        <v>-8787</v>
      </c>
      <c r="E4087" t="s">
        <v>18939</v>
      </c>
      <c r="F4087" t="s">
        <v>14473</v>
      </c>
      <c r="G4087" t="s">
        <v>14474</v>
      </c>
      <c r="H4087">
        <v>-119.72079325008799</v>
      </c>
      <c r="I4087">
        <v>39.5319833880624</v>
      </c>
      <c r="J4087">
        <v>4</v>
      </c>
      <c r="K4087" t="s">
        <v>717</v>
      </c>
      <c r="L4087" t="s">
        <v>717</v>
      </c>
      <c r="M4087" t="s">
        <v>717</v>
      </c>
      <c r="N4087" t="s">
        <v>717</v>
      </c>
      <c r="O4087" t="s">
        <v>536</v>
      </c>
      <c r="P4087" t="s">
        <v>536</v>
      </c>
      <c r="Q4087" t="s">
        <v>1034</v>
      </c>
      <c r="R4087" t="s">
        <v>18938</v>
      </c>
      <c r="S4087" t="s">
        <v>18940</v>
      </c>
      <c r="T4087" t="s">
        <v>17562</v>
      </c>
      <c r="U4087" t="s">
        <v>18941</v>
      </c>
    </row>
    <row r="4088" spans="1:21" x14ac:dyDescent="0.25">
      <c r="A4088" t="s">
        <v>18942</v>
      </c>
      <c r="B4088" t="s">
        <v>22</v>
      </c>
      <c r="C4088" t="s">
        <v>18943</v>
      </c>
      <c r="D4088">
        <f t="shared" si="100"/>
        <v>-8787</v>
      </c>
      <c r="E4088" t="s">
        <v>18944</v>
      </c>
      <c r="F4088" t="s">
        <v>14473</v>
      </c>
      <c r="G4088" t="s">
        <v>14474</v>
      </c>
      <c r="H4088">
        <v>-99.498016775242107</v>
      </c>
      <c r="I4088">
        <v>27.553175235038001</v>
      </c>
      <c r="J4088">
        <v>20</v>
      </c>
      <c r="K4088" t="s">
        <v>536</v>
      </c>
      <c r="L4088" t="s">
        <v>536</v>
      </c>
      <c r="M4088" t="s">
        <v>536</v>
      </c>
      <c r="N4088" t="s">
        <v>536</v>
      </c>
      <c r="O4088" t="s">
        <v>536</v>
      </c>
      <c r="P4088" t="s">
        <v>536</v>
      </c>
      <c r="Q4088" t="s">
        <v>717</v>
      </c>
      <c r="R4088" t="s">
        <v>18943</v>
      </c>
      <c r="S4088" t="s">
        <v>18945</v>
      </c>
      <c r="T4088" t="s">
        <v>17781</v>
      </c>
      <c r="U4088" t="s">
        <v>18946</v>
      </c>
    </row>
    <row r="4089" spans="1:21" x14ac:dyDescent="0.25">
      <c r="A4089" t="s">
        <v>18947</v>
      </c>
      <c r="B4089" t="s">
        <v>38</v>
      </c>
      <c r="C4089" t="s">
        <v>18948</v>
      </c>
      <c r="D4089">
        <f t="shared" si="100"/>
        <v>-8787</v>
      </c>
      <c r="E4089" t="s">
        <v>18949</v>
      </c>
      <c r="F4089" t="s">
        <v>14473</v>
      </c>
      <c r="G4089" t="s">
        <v>14474</v>
      </c>
      <c r="H4089">
        <v>-78.411745359999998</v>
      </c>
      <c r="I4089">
        <v>40.469431270000001</v>
      </c>
      <c r="J4089">
        <v>35</v>
      </c>
      <c r="K4089" t="s">
        <v>717</v>
      </c>
      <c r="L4089" t="s">
        <v>717</v>
      </c>
      <c r="M4089" t="s">
        <v>717</v>
      </c>
      <c r="N4089" t="s">
        <v>717</v>
      </c>
      <c r="O4089" t="s">
        <v>717</v>
      </c>
      <c r="P4089" t="s">
        <v>717</v>
      </c>
      <c r="Q4089" t="s">
        <v>1492</v>
      </c>
      <c r="R4089" t="s">
        <v>18948</v>
      </c>
      <c r="S4089" t="s">
        <v>18950</v>
      </c>
      <c r="T4089" t="s">
        <v>17270</v>
      </c>
      <c r="U4089" t="s">
        <v>18951</v>
      </c>
    </row>
    <row r="4090" spans="1:21" x14ac:dyDescent="0.25">
      <c r="A4090" t="s">
        <v>18952</v>
      </c>
      <c r="B4090" t="s">
        <v>38</v>
      </c>
      <c r="C4090" t="s">
        <v>18953</v>
      </c>
      <c r="D4090">
        <f t="shared" si="100"/>
        <v>-8787</v>
      </c>
      <c r="E4090" t="s">
        <v>17268</v>
      </c>
      <c r="F4090" t="s">
        <v>14473</v>
      </c>
      <c r="G4090" t="s">
        <v>14474</v>
      </c>
      <c r="H4090">
        <v>-76.218828860000002</v>
      </c>
      <c r="I4090">
        <v>40.025174409999998</v>
      </c>
      <c r="J4090">
        <v>35</v>
      </c>
      <c r="K4090" t="s">
        <v>45</v>
      </c>
      <c r="L4090" t="s">
        <v>45</v>
      </c>
      <c r="M4090" t="s">
        <v>45</v>
      </c>
      <c r="N4090" t="s">
        <v>45</v>
      </c>
      <c r="O4090" t="s">
        <v>312</v>
      </c>
      <c r="P4090" t="s">
        <v>312</v>
      </c>
      <c r="Q4090" t="s">
        <v>45</v>
      </c>
      <c r="R4090" t="s">
        <v>18953</v>
      </c>
      <c r="S4090" t="s">
        <v>18954</v>
      </c>
      <c r="T4090" t="s">
        <v>17270</v>
      </c>
      <c r="U4090" t="s">
        <v>18955</v>
      </c>
    </row>
    <row r="4091" spans="1:21" x14ac:dyDescent="0.25">
      <c r="A4091" t="s">
        <v>18956</v>
      </c>
      <c r="B4091" t="s">
        <v>38</v>
      </c>
      <c r="C4091" t="s">
        <v>18957</v>
      </c>
      <c r="D4091">
        <f t="shared" si="100"/>
        <v>-8787</v>
      </c>
      <c r="E4091" t="s">
        <v>18958</v>
      </c>
      <c r="F4091" t="s">
        <v>14473</v>
      </c>
      <c r="G4091" t="s">
        <v>14474</v>
      </c>
      <c r="H4091">
        <v>-77.405048582664506</v>
      </c>
      <c r="I4091">
        <v>39.382329223355299</v>
      </c>
      <c r="J4091">
        <v>35</v>
      </c>
      <c r="K4091" t="s">
        <v>536</v>
      </c>
      <c r="L4091" t="s">
        <v>536</v>
      </c>
      <c r="M4091" t="s">
        <v>536</v>
      </c>
      <c r="N4091" t="s">
        <v>536</v>
      </c>
      <c r="O4091" t="s">
        <v>536</v>
      </c>
      <c r="P4091" t="s">
        <v>536</v>
      </c>
      <c r="Q4091" t="s">
        <v>1492</v>
      </c>
      <c r="R4091" t="s">
        <v>18957</v>
      </c>
      <c r="S4091" t="s">
        <v>18959</v>
      </c>
      <c r="T4091" t="s">
        <v>17286</v>
      </c>
      <c r="U4091" t="s">
        <v>18960</v>
      </c>
    </row>
    <row r="4092" spans="1:21" x14ac:dyDescent="0.25">
      <c r="A4092" t="s">
        <v>18961</v>
      </c>
      <c r="B4092" t="s">
        <v>38</v>
      </c>
      <c r="C4092" t="s">
        <v>18962</v>
      </c>
      <c r="D4092">
        <f>855-466-7467</f>
        <v>-7078</v>
      </c>
      <c r="E4092" t="s">
        <v>18963</v>
      </c>
      <c r="F4092" t="s">
        <v>14473</v>
      </c>
      <c r="G4092" t="s">
        <v>14474</v>
      </c>
      <c r="H4092">
        <v>-81.548500000000004</v>
      </c>
      <c r="I4092">
        <v>39.326999999999998</v>
      </c>
      <c r="J4092">
        <v>35</v>
      </c>
      <c r="K4092" t="s">
        <v>45</v>
      </c>
      <c r="L4092" t="s">
        <v>45</v>
      </c>
      <c r="M4092" t="s">
        <v>45</v>
      </c>
      <c r="N4092" t="s">
        <v>45</v>
      </c>
      <c r="O4092" t="s">
        <v>45</v>
      </c>
      <c r="P4092" t="s">
        <v>45</v>
      </c>
      <c r="Q4092" t="s">
        <v>1492</v>
      </c>
      <c r="R4092" t="s">
        <v>18962</v>
      </c>
      <c r="S4092" t="s">
        <v>18964</v>
      </c>
      <c r="T4092" t="s">
        <v>18965</v>
      </c>
      <c r="U4092" t="s">
        <v>18966</v>
      </c>
    </row>
    <row r="4093" spans="1:21" x14ac:dyDescent="0.25">
      <c r="A4093" t="s">
        <v>18967</v>
      </c>
      <c r="B4093" t="s">
        <v>38</v>
      </c>
      <c r="C4093" t="s">
        <v>18968</v>
      </c>
      <c r="D4093">
        <f t="shared" ref="D4093:D4120" si="101">1-855-466-7467</f>
        <v>-8787</v>
      </c>
      <c r="E4093" t="s">
        <v>18969</v>
      </c>
      <c r="F4093" t="s">
        <v>14473</v>
      </c>
      <c r="G4093" t="s">
        <v>14474</v>
      </c>
      <c r="H4093">
        <v>-76.933355730000002</v>
      </c>
      <c r="I4093">
        <v>40.222284000000002</v>
      </c>
      <c r="J4093">
        <v>35</v>
      </c>
      <c r="K4093" t="s">
        <v>536</v>
      </c>
      <c r="L4093" t="s">
        <v>536</v>
      </c>
      <c r="M4093" t="s">
        <v>536</v>
      </c>
      <c r="N4093" t="s">
        <v>536</v>
      </c>
      <c r="O4093" t="s">
        <v>536</v>
      </c>
      <c r="P4093" t="s">
        <v>536</v>
      </c>
      <c r="Q4093" t="s">
        <v>1034</v>
      </c>
      <c r="R4093" t="s">
        <v>18968</v>
      </c>
      <c r="S4093" t="s">
        <v>18970</v>
      </c>
      <c r="T4093" t="s">
        <v>17270</v>
      </c>
      <c r="U4093" t="s">
        <v>18971</v>
      </c>
    </row>
    <row r="4094" spans="1:21" x14ac:dyDescent="0.25">
      <c r="A4094" t="s">
        <v>18972</v>
      </c>
      <c r="B4094" t="s">
        <v>38</v>
      </c>
      <c r="C4094" t="s">
        <v>18973</v>
      </c>
      <c r="D4094">
        <f t="shared" si="101"/>
        <v>-8787</v>
      </c>
      <c r="E4094" t="s">
        <v>18974</v>
      </c>
      <c r="F4094" t="s">
        <v>14473</v>
      </c>
      <c r="G4094" t="s">
        <v>14474</v>
      </c>
      <c r="H4094">
        <v>-77.770631610450707</v>
      </c>
      <c r="I4094">
        <v>39.625065172872297</v>
      </c>
      <c r="J4094">
        <v>35</v>
      </c>
      <c r="K4094" t="s">
        <v>1501</v>
      </c>
      <c r="L4094" t="s">
        <v>1501</v>
      </c>
      <c r="M4094" t="s">
        <v>1501</v>
      </c>
      <c r="N4094" t="s">
        <v>1501</v>
      </c>
      <c r="O4094" t="s">
        <v>1501</v>
      </c>
      <c r="P4094" t="s">
        <v>1501</v>
      </c>
      <c r="Q4094" t="s">
        <v>1492</v>
      </c>
      <c r="R4094" t="s">
        <v>18973</v>
      </c>
      <c r="S4094" t="s">
        <v>18975</v>
      </c>
      <c r="T4094" t="s">
        <v>17286</v>
      </c>
      <c r="U4094" t="s">
        <v>18976</v>
      </c>
    </row>
    <row r="4095" spans="1:21" x14ac:dyDescent="0.25">
      <c r="A4095" t="s">
        <v>18977</v>
      </c>
      <c r="B4095" t="s">
        <v>38</v>
      </c>
      <c r="C4095" t="s">
        <v>18978</v>
      </c>
      <c r="D4095">
        <f t="shared" si="101"/>
        <v>-8787</v>
      </c>
      <c r="E4095" t="s">
        <v>17456</v>
      </c>
      <c r="F4095" t="s">
        <v>14473</v>
      </c>
      <c r="G4095" t="s">
        <v>14474</v>
      </c>
      <c r="H4095">
        <v>-118.08361600000001</v>
      </c>
      <c r="I4095">
        <v>34.036997</v>
      </c>
      <c r="J4095">
        <v>4</v>
      </c>
      <c r="K4095" t="s">
        <v>717</v>
      </c>
      <c r="L4095" t="s">
        <v>717</v>
      </c>
      <c r="M4095" t="s">
        <v>717</v>
      </c>
      <c r="N4095" t="s">
        <v>1035</v>
      </c>
      <c r="O4095" t="s">
        <v>1035</v>
      </c>
      <c r="P4095" t="s">
        <v>1035</v>
      </c>
      <c r="Q4095" t="s">
        <v>717</v>
      </c>
      <c r="R4095" t="s">
        <v>18978</v>
      </c>
      <c r="S4095" t="s">
        <v>18979</v>
      </c>
      <c r="T4095" t="s">
        <v>17372</v>
      </c>
      <c r="U4095" t="s">
        <v>18980</v>
      </c>
    </row>
    <row r="4096" spans="1:21" x14ac:dyDescent="0.25">
      <c r="A4096" t="s">
        <v>18981</v>
      </c>
      <c r="B4096" t="s">
        <v>22</v>
      </c>
      <c r="C4096" t="s">
        <v>18982</v>
      </c>
      <c r="D4096">
        <f t="shared" si="101"/>
        <v>-8787</v>
      </c>
      <c r="E4096" t="s">
        <v>18137</v>
      </c>
      <c r="F4096" t="s">
        <v>14473</v>
      </c>
      <c r="G4096" t="s">
        <v>14474</v>
      </c>
      <c r="H4096">
        <v>-112.224404512723</v>
      </c>
      <c r="I4096">
        <v>33.641904076371503</v>
      </c>
      <c r="J4096">
        <v>10</v>
      </c>
      <c r="K4096" t="s">
        <v>536</v>
      </c>
      <c r="L4096" t="s">
        <v>536</v>
      </c>
      <c r="M4096" t="s">
        <v>536</v>
      </c>
      <c r="N4096" t="s">
        <v>536</v>
      </c>
      <c r="O4096" t="s">
        <v>536</v>
      </c>
      <c r="P4096" t="s">
        <v>536</v>
      </c>
      <c r="Q4096" t="s">
        <v>1034</v>
      </c>
      <c r="R4096" t="s">
        <v>18982</v>
      </c>
      <c r="S4096" t="s">
        <v>18983</v>
      </c>
      <c r="T4096" t="s">
        <v>17792</v>
      </c>
      <c r="U4096" t="s">
        <v>18984</v>
      </c>
    </row>
    <row r="4097" spans="1:21" x14ac:dyDescent="0.25">
      <c r="A4097" t="s">
        <v>18985</v>
      </c>
      <c r="B4097" t="s">
        <v>38</v>
      </c>
      <c r="C4097" t="s">
        <v>18986</v>
      </c>
      <c r="D4097">
        <f t="shared" si="101"/>
        <v>-8787</v>
      </c>
      <c r="E4097" t="s">
        <v>18987</v>
      </c>
      <c r="F4097" t="s">
        <v>14473</v>
      </c>
      <c r="G4097" t="s">
        <v>14474</v>
      </c>
      <c r="H4097">
        <v>-86.165991000000005</v>
      </c>
      <c r="I4097">
        <v>32.358420000000002</v>
      </c>
      <c r="J4097">
        <v>20</v>
      </c>
      <c r="K4097" t="s">
        <v>717</v>
      </c>
      <c r="L4097" t="s">
        <v>717</v>
      </c>
      <c r="M4097" t="s">
        <v>717</v>
      </c>
      <c r="N4097" t="s">
        <v>717</v>
      </c>
      <c r="O4097" t="s">
        <v>717</v>
      </c>
      <c r="P4097" t="s">
        <v>717</v>
      </c>
      <c r="Q4097" t="s">
        <v>1492</v>
      </c>
      <c r="R4097" t="s">
        <v>18986</v>
      </c>
      <c r="S4097" t="s">
        <v>18988</v>
      </c>
      <c r="T4097" t="s">
        <v>18064</v>
      </c>
      <c r="U4097" t="s">
        <v>18989</v>
      </c>
    </row>
    <row r="4098" spans="1:21" x14ac:dyDescent="0.25">
      <c r="A4098" t="s">
        <v>18990</v>
      </c>
      <c r="B4098" t="s">
        <v>38</v>
      </c>
      <c r="C4098" t="s">
        <v>18991</v>
      </c>
      <c r="D4098">
        <f t="shared" si="101"/>
        <v>-8787</v>
      </c>
      <c r="E4098" t="s">
        <v>18992</v>
      </c>
      <c r="F4098" t="s">
        <v>14473</v>
      </c>
      <c r="G4098" t="s">
        <v>14474</v>
      </c>
      <c r="H4098">
        <v>-81.305075389999999</v>
      </c>
      <c r="I4098">
        <v>35.703121889999998</v>
      </c>
      <c r="J4098">
        <v>35</v>
      </c>
      <c r="K4098" t="s">
        <v>1035</v>
      </c>
      <c r="L4098" t="s">
        <v>1035</v>
      </c>
      <c r="M4098" t="s">
        <v>1035</v>
      </c>
      <c r="N4098" t="s">
        <v>1035</v>
      </c>
      <c r="O4098" t="s">
        <v>1035</v>
      </c>
      <c r="P4098" t="s">
        <v>1035</v>
      </c>
      <c r="Q4098" t="s">
        <v>1492</v>
      </c>
      <c r="R4098" t="s">
        <v>18991</v>
      </c>
      <c r="S4098" t="s">
        <v>18993</v>
      </c>
      <c r="T4098" t="s">
        <v>17775</v>
      </c>
      <c r="U4098" t="s">
        <v>18994</v>
      </c>
    </row>
    <row r="4099" spans="1:21" x14ac:dyDescent="0.25">
      <c r="A4099" t="s">
        <v>18995</v>
      </c>
      <c r="B4099" t="s">
        <v>38</v>
      </c>
      <c r="C4099" t="s">
        <v>18996</v>
      </c>
      <c r="D4099">
        <f t="shared" si="101"/>
        <v>-8787</v>
      </c>
      <c r="E4099" t="s">
        <v>18997</v>
      </c>
      <c r="F4099" t="s">
        <v>14473</v>
      </c>
      <c r="G4099" t="s">
        <v>14474</v>
      </c>
      <c r="H4099">
        <v>-76.958328065997904</v>
      </c>
      <c r="I4099">
        <v>38.968634422961202</v>
      </c>
      <c r="J4099">
        <v>35</v>
      </c>
      <c r="K4099" t="s">
        <v>536</v>
      </c>
      <c r="L4099" t="s">
        <v>536</v>
      </c>
      <c r="M4099" t="s">
        <v>536</v>
      </c>
      <c r="N4099" t="s">
        <v>536</v>
      </c>
      <c r="O4099" t="s">
        <v>536</v>
      </c>
      <c r="P4099" t="s">
        <v>536</v>
      </c>
      <c r="Q4099" t="s">
        <v>1492</v>
      </c>
      <c r="R4099" t="s">
        <v>18996</v>
      </c>
      <c r="S4099" t="s">
        <v>18998</v>
      </c>
      <c r="T4099" t="s">
        <v>17286</v>
      </c>
      <c r="U4099" t="s">
        <v>18999</v>
      </c>
    </row>
    <row r="4100" spans="1:21" x14ac:dyDescent="0.25">
      <c r="A4100" t="s">
        <v>19000</v>
      </c>
      <c r="B4100" t="s">
        <v>32</v>
      </c>
      <c r="C4100" t="s">
        <v>19001</v>
      </c>
      <c r="D4100">
        <f t="shared" si="101"/>
        <v>-8787</v>
      </c>
      <c r="E4100" t="s">
        <v>17274</v>
      </c>
      <c r="F4100" t="s">
        <v>14473</v>
      </c>
      <c r="G4100" t="s">
        <v>14474</v>
      </c>
      <c r="H4100">
        <v>-73.978021909999995</v>
      </c>
      <c r="I4100">
        <v>40.757026160000002</v>
      </c>
      <c r="J4100">
        <v>35</v>
      </c>
      <c r="K4100" t="s">
        <v>536</v>
      </c>
      <c r="L4100" t="s">
        <v>536</v>
      </c>
      <c r="M4100" t="s">
        <v>536</v>
      </c>
      <c r="N4100" t="s">
        <v>536</v>
      </c>
      <c r="O4100" t="s">
        <v>536</v>
      </c>
      <c r="P4100" t="s">
        <v>536</v>
      </c>
      <c r="Q4100" t="s">
        <v>1035</v>
      </c>
      <c r="R4100" t="s">
        <v>19001</v>
      </c>
      <c r="S4100" t="s">
        <v>19002</v>
      </c>
      <c r="T4100" t="s">
        <v>17165</v>
      </c>
      <c r="U4100" t="s">
        <v>19003</v>
      </c>
    </row>
    <row r="4101" spans="1:21" x14ac:dyDescent="0.25">
      <c r="A4101" t="s">
        <v>19004</v>
      </c>
      <c r="B4101" t="s">
        <v>38</v>
      </c>
      <c r="C4101" t="s">
        <v>19005</v>
      </c>
      <c r="D4101">
        <f t="shared" si="101"/>
        <v>-8787</v>
      </c>
      <c r="E4101" t="s">
        <v>19006</v>
      </c>
      <c r="F4101" t="s">
        <v>14473</v>
      </c>
      <c r="G4101" t="s">
        <v>14474</v>
      </c>
      <c r="H4101">
        <v>-81.243657769999999</v>
      </c>
      <c r="I4101">
        <v>32.136328249999998</v>
      </c>
      <c r="J4101">
        <v>35</v>
      </c>
      <c r="K4101" t="s">
        <v>717</v>
      </c>
      <c r="L4101" t="s">
        <v>717</v>
      </c>
      <c r="M4101" t="s">
        <v>717</v>
      </c>
      <c r="N4101" t="s">
        <v>717</v>
      </c>
      <c r="O4101" t="s">
        <v>717</v>
      </c>
      <c r="P4101" t="s">
        <v>717</v>
      </c>
      <c r="Q4101" t="s">
        <v>1492</v>
      </c>
      <c r="R4101" t="s">
        <v>19005</v>
      </c>
      <c r="S4101" t="s">
        <v>19007</v>
      </c>
      <c r="T4101" t="s">
        <v>9074</v>
      </c>
      <c r="U4101" t="s">
        <v>19008</v>
      </c>
    </row>
    <row r="4102" spans="1:21" x14ac:dyDescent="0.25">
      <c r="A4102" t="s">
        <v>19009</v>
      </c>
      <c r="B4102" t="s">
        <v>22</v>
      </c>
      <c r="C4102" t="s">
        <v>19010</v>
      </c>
      <c r="D4102">
        <f t="shared" si="101"/>
        <v>-8787</v>
      </c>
      <c r="E4102" t="s">
        <v>19011</v>
      </c>
      <c r="F4102" t="s">
        <v>14473</v>
      </c>
      <c r="G4102" t="s">
        <v>14474</v>
      </c>
      <c r="H4102">
        <v>-118.1401699</v>
      </c>
      <c r="I4102">
        <v>33.849732469999999</v>
      </c>
      <c r="J4102">
        <v>4</v>
      </c>
      <c r="K4102" t="s">
        <v>717</v>
      </c>
      <c r="L4102" t="s">
        <v>717</v>
      </c>
      <c r="M4102" t="s">
        <v>717</v>
      </c>
      <c r="N4102" t="s">
        <v>717</v>
      </c>
      <c r="O4102" t="s">
        <v>1035</v>
      </c>
      <c r="P4102" t="s">
        <v>1035</v>
      </c>
      <c r="Q4102" t="s">
        <v>1034</v>
      </c>
      <c r="R4102" t="s">
        <v>19010</v>
      </c>
      <c r="S4102" t="s">
        <v>19012</v>
      </c>
      <c r="T4102" t="s">
        <v>17372</v>
      </c>
      <c r="U4102" t="s">
        <v>19013</v>
      </c>
    </row>
    <row r="4103" spans="1:21" x14ac:dyDescent="0.25">
      <c r="A4103" t="s">
        <v>19014</v>
      </c>
      <c r="B4103" t="s">
        <v>22</v>
      </c>
      <c r="C4103" t="s">
        <v>19015</v>
      </c>
      <c r="D4103">
        <f t="shared" si="101"/>
        <v>-8787</v>
      </c>
      <c r="E4103" t="s">
        <v>19016</v>
      </c>
      <c r="F4103" t="s">
        <v>14473</v>
      </c>
      <c r="G4103" t="s">
        <v>14474</v>
      </c>
      <c r="H4103">
        <v>-149.86629429999999</v>
      </c>
      <c r="I4103">
        <v>61.142252990000003</v>
      </c>
      <c r="J4103">
        <v>3</v>
      </c>
      <c r="K4103" t="s">
        <v>536</v>
      </c>
      <c r="L4103" t="s">
        <v>536</v>
      </c>
      <c r="M4103" t="s">
        <v>536</v>
      </c>
      <c r="N4103" t="s">
        <v>536</v>
      </c>
      <c r="O4103" t="s">
        <v>536</v>
      </c>
      <c r="P4103" t="s">
        <v>536</v>
      </c>
      <c r="Q4103" t="s">
        <v>17207</v>
      </c>
      <c r="R4103" t="s">
        <v>19015</v>
      </c>
      <c r="S4103" t="s">
        <v>19017</v>
      </c>
      <c r="T4103" t="s">
        <v>19018</v>
      </c>
      <c r="U4103" t="s">
        <v>19019</v>
      </c>
    </row>
    <row r="4104" spans="1:21" x14ac:dyDescent="0.25">
      <c r="A4104" t="s">
        <v>19020</v>
      </c>
      <c r="B4104" t="s">
        <v>22</v>
      </c>
      <c r="C4104" t="s">
        <v>19021</v>
      </c>
      <c r="D4104">
        <f t="shared" si="101"/>
        <v>-8787</v>
      </c>
      <c r="E4104" t="s">
        <v>17560</v>
      </c>
      <c r="F4104" t="s">
        <v>14473</v>
      </c>
      <c r="G4104" t="s">
        <v>14474</v>
      </c>
      <c r="H4104">
        <v>-115.33486379999999</v>
      </c>
      <c r="I4104">
        <v>36.1496371</v>
      </c>
      <c r="J4104">
        <v>4</v>
      </c>
      <c r="K4104" t="s">
        <v>717</v>
      </c>
      <c r="L4104" t="s">
        <v>717</v>
      </c>
      <c r="M4104" t="s">
        <v>717</v>
      </c>
      <c r="N4104" t="s">
        <v>717</v>
      </c>
      <c r="O4104" t="s">
        <v>1035</v>
      </c>
      <c r="P4104" t="s">
        <v>1035</v>
      </c>
      <c r="Q4104" t="s">
        <v>717</v>
      </c>
      <c r="R4104" t="s">
        <v>19021</v>
      </c>
      <c r="S4104" t="s">
        <v>19022</v>
      </c>
      <c r="T4104" t="s">
        <v>17562</v>
      </c>
      <c r="U4104" t="s">
        <v>19023</v>
      </c>
    </row>
    <row r="4105" spans="1:21" x14ac:dyDescent="0.25">
      <c r="A4105" t="s">
        <v>19024</v>
      </c>
      <c r="B4105" t="s">
        <v>22</v>
      </c>
      <c r="C4105" t="s">
        <v>19025</v>
      </c>
      <c r="D4105">
        <f t="shared" si="101"/>
        <v>-8787</v>
      </c>
      <c r="E4105" t="s">
        <v>19026</v>
      </c>
      <c r="F4105" t="s">
        <v>14473</v>
      </c>
      <c r="G4105" t="s">
        <v>14474</v>
      </c>
      <c r="H4105">
        <v>-118.119437</v>
      </c>
      <c r="I4105">
        <v>33.935644000000003</v>
      </c>
      <c r="J4105">
        <v>4</v>
      </c>
      <c r="K4105" t="s">
        <v>717</v>
      </c>
      <c r="L4105" t="s">
        <v>717</v>
      </c>
      <c r="M4105" t="s">
        <v>717</v>
      </c>
      <c r="N4105" t="s">
        <v>717</v>
      </c>
      <c r="O4105" t="s">
        <v>1035</v>
      </c>
      <c r="P4105" t="s">
        <v>1035</v>
      </c>
      <c r="Q4105" t="s">
        <v>1034</v>
      </c>
      <c r="R4105" t="s">
        <v>19025</v>
      </c>
      <c r="S4105" t="s">
        <v>19027</v>
      </c>
      <c r="T4105" t="s">
        <v>17372</v>
      </c>
      <c r="U4105" t="s">
        <v>19028</v>
      </c>
    </row>
    <row r="4106" spans="1:21" x14ac:dyDescent="0.25">
      <c r="A4106" t="s">
        <v>19029</v>
      </c>
      <c r="B4106" t="s">
        <v>38</v>
      </c>
      <c r="C4106" t="s">
        <v>19030</v>
      </c>
      <c r="D4106">
        <f t="shared" si="101"/>
        <v>-8787</v>
      </c>
      <c r="E4106" t="s">
        <v>19031</v>
      </c>
      <c r="F4106" t="s">
        <v>14473</v>
      </c>
      <c r="G4106" t="s">
        <v>14474</v>
      </c>
      <c r="H4106">
        <v>-93.436996179999994</v>
      </c>
      <c r="I4106">
        <v>45.092216700000002</v>
      </c>
      <c r="J4106">
        <v>20</v>
      </c>
      <c r="K4106" t="s">
        <v>1035</v>
      </c>
      <c r="L4106" t="s">
        <v>1035</v>
      </c>
      <c r="M4106" t="s">
        <v>1035</v>
      </c>
      <c r="N4106" t="s">
        <v>1035</v>
      </c>
      <c r="O4106" t="s">
        <v>1035</v>
      </c>
      <c r="P4106" t="s">
        <v>1035</v>
      </c>
      <c r="Q4106" t="s">
        <v>1034</v>
      </c>
      <c r="R4106" t="s">
        <v>19030</v>
      </c>
      <c r="S4106" t="s">
        <v>19032</v>
      </c>
      <c r="T4106" t="s">
        <v>17769</v>
      </c>
      <c r="U4106" t="s">
        <v>19033</v>
      </c>
    </row>
    <row r="4107" spans="1:21" x14ac:dyDescent="0.25">
      <c r="A4107" t="s">
        <v>19034</v>
      </c>
      <c r="B4107" t="s">
        <v>38</v>
      </c>
      <c r="C4107" t="s">
        <v>19035</v>
      </c>
      <c r="D4107">
        <f t="shared" si="101"/>
        <v>-8787</v>
      </c>
      <c r="E4107" t="s">
        <v>19036</v>
      </c>
      <c r="F4107" t="s">
        <v>14473</v>
      </c>
      <c r="G4107" t="s">
        <v>14474</v>
      </c>
      <c r="H4107">
        <v>-97.397912812543197</v>
      </c>
      <c r="I4107">
        <v>32.677835748934498</v>
      </c>
      <c r="J4107">
        <v>20</v>
      </c>
      <c r="K4107" t="s">
        <v>717</v>
      </c>
      <c r="L4107" t="s">
        <v>717</v>
      </c>
      <c r="M4107" t="s">
        <v>1035</v>
      </c>
      <c r="N4107" t="s">
        <v>1035</v>
      </c>
      <c r="O4107" t="s">
        <v>1035</v>
      </c>
      <c r="P4107" t="s">
        <v>1035</v>
      </c>
      <c r="Q4107" t="s">
        <v>1492</v>
      </c>
      <c r="R4107" t="s">
        <v>19035</v>
      </c>
      <c r="S4107" t="s">
        <v>19037</v>
      </c>
      <c r="T4107" t="s">
        <v>17781</v>
      </c>
      <c r="U4107" t="s">
        <v>19038</v>
      </c>
    </row>
    <row r="4108" spans="1:21" x14ac:dyDescent="0.25">
      <c r="A4108" t="s">
        <v>19039</v>
      </c>
      <c r="B4108" t="s">
        <v>38</v>
      </c>
      <c r="C4108" t="s">
        <v>19040</v>
      </c>
      <c r="D4108">
        <f t="shared" si="101"/>
        <v>-8787</v>
      </c>
      <c r="E4108" t="s">
        <v>19041</v>
      </c>
      <c r="F4108" t="s">
        <v>14473</v>
      </c>
      <c r="G4108" t="s">
        <v>14474</v>
      </c>
      <c r="H4108">
        <v>-83.972284000000002</v>
      </c>
      <c r="I4108">
        <v>43.475983999999997</v>
      </c>
      <c r="J4108">
        <v>35</v>
      </c>
      <c r="K4108" t="s">
        <v>717</v>
      </c>
      <c r="L4108" t="s">
        <v>717</v>
      </c>
      <c r="M4108" t="s">
        <v>717</v>
      </c>
      <c r="N4108" t="s">
        <v>717</v>
      </c>
      <c r="O4108" t="s">
        <v>717</v>
      </c>
      <c r="P4108" t="s">
        <v>717</v>
      </c>
      <c r="Q4108" t="s">
        <v>564</v>
      </c>
      <c r="R4108" t="s">
        <v>19040</v>
      </c>
      <c r="S4108" t="s">
        <v>19042</v>
      </c>
      <c r="T4108" t="s">
        <v>17546</v>
      </c>
      <c r="U4108" t="s">
        <v>19043</v>
      </c>
    </row>
    <row r="4109" spans="1:21" x14ac:dyDescent="0.25">
      <c r="A4109" t="s">
        <v>19044</v>
      </c>
      <c r="B4109" t="s">
        <v>38</v>
      </c>
      <c r="C4109" t="s">
        <v>19045</v>
      </c>
      <c r="D4109">
        <f t="shared" si="101"/>
        <v>-8787</v>
      </c>
      <c r="E4109" t="s">
        <v>7897</v>
      </c>
      <c r="F4109" t="s">
        <v>14473</v>
      </c>
      <c r="G4109" t="s">
        <v>14474</v>
      </c>
      <c r="H4109">
        <v>-83.715952309479903</v>
      </c>
      <c r="I4109">
        <v>32.927227157869403</v>
      </c>
      <c r="J4109">
        <v>35</v>
      </c>
      <c r="K4109" t="s">
        <v>717</v>
      </c>
      <c r="L4109" t="s">
        <v>717</v>
      </c>
      <c r="M4109" t="s">
        <v>717</v>
      </c>
      <c r="N4109" t="s">
        <v>717</v>
      </c>
      <c r="O4109" t="s">
        <v>717</v>
      </c>
      <c r="P4109" t="s">
        <v>717</v>
      </c>
      <c r="Q4109" t="s">
        <v>1492</v>
      </c>
      <c r="R4109" t="s">
        <v>19045</v>
      </c>
      <c r="S4109" t="s">
        <v>19046</v>
      </c>
      <c r="T4109" t="s">
        <v>9074</v>
      </c>
      <c r="U4109" t="s">
        <v>19047</v>
      </c>
    </row>
    <row r="4110" spans="1:21" x14ac:dyDescent="0.25">
      <c r="A4110" t="s">
        <v>19048</v>
      </c>
      <c r="B4110" t="s">
        <v>22</v>
      </c>
      <c r="C4110" t="s">
        <v>19049</v>
      </c>
      <c r="D4110">
        <f t="shared" si="101"/>
        <v>-8787</v>
      </c>
      <c r="E4110" t="s">
        <v>19050</v>
      </c>
      <c r="F4110" t="s">
        <v>14473</v>
      </c>
      <c r="G4110" t="s">
        <v>14474</v>
      </c>
      <c r="H4110">
        <v>-97.943180490000003</v>
      </c>
      <c r="I4110">
        <v>30.30973066</v>
      </c>
      <c r="J4110">
        <v>20</v>
      </c>
      <c r="K4110" t="s">
        <v>717</v>
      </c>
      <c r="L4110" t="s">
        <v>717</v>
      </c>
      <c r="M4110" t="s">
        <v>717</v>
      </c>
      <c r="N4110" t="s">
        <v>717</v>
      </c>
      <c r="O4110" t="s">
        <v>717</v>
      </c>
      <c r="P4110" t="s">
        <v>717</v>
      </c>
      <c r="Q4110" t="s">
        <v>1492</v>
      </c>
      <c r="R4110" t="s">
        <v>19049</v>
      </c>
      <c r="S4110" t="s">
        <v>19051</v>
      </c>
      <c r="T4110" t="s">
        <v>17781</v>
      </c>
      <c r="U4110" t="s">
        <v>19052</v>
      </c>
    </row>
    <row r="4111" spans="1:21" x14ac:dyDescent="0.25">
      <c r="A4111" t="s">
        <v>19053</v>
      </c>
      <c r="B4111" t="s">
        <v>38</v>
      </c>
      <c r="C4111" t="s">
        <v>19054</v>
      </c>
      <c r="D4111">
        <f t="shared" si="101"/>
        <v>-8787</v>
      </c>
      <c r="E4111" t="s">
        <v>19055</v>
      </c>
      <c r="F4111" t="s">
        <v>14473</v>
      </c>
      <c r="G4111" t="s">
        <v>14474</v>
      </c>
      <c r="H4111">
        <v>-73.8084872085943</v>
      </c>
      <c r="I4111">
        <v>41.3286355350631</v>
      </c>
      <c r="J4111">
        <v>35</v>
      </c>
      <c r="K4111" t="s">
        <v>717</v>
      </c>
      <c r="L4111" t="s">
        <v>717</v>
      </c>
      <c r="M4111" t="s">
        <v>717</v>
      </c>
      <c r="N4111" t="s">
        <v>717</v>
      </c>
      <c r="O4111" t="s">
        <v>717</v>
      </c>
      <c r="P4111" t="s">
        <v>717</v>
      </c>
      <c r="Q4111" t="s">
        <v>1034</v>
      </c>
      <c r="R4111" t="s">
        <v>19054</v>
      </c>
      <c r="S4111" t="s">
        <v>19056</v>
      </c>
      <c r="T4111" t="s">
        <v>17165</v>
      </c>
      <c r="U4111" t="s">
        <v>19057</v>
      </c>
    </row>
    <row r="4112" spans="1:21" x14ac:dyDescent="0.25">
      <c r="A4112" t="s">
        <v>19058</v>
      </c>
      <c r="B4112" t="s">
        <v>22</v>
      </c>
      <c r="C4112" t="s">
        <v>19059</v>
      </c>
      <c r="D4112">
        <f t="shared" si="101"/>
        <v>-8787</v>
      </c>
      <c r="E4112" t="s">
        <v>19060</v>
      </c>
      <c r="F4112" t="s">
        <v>14473</v>
      </c>
      <c r="G4112" t="s">
        <v>14474</v>
      </c>
      <c r="H4112">
        <v>-119.031694</v>
      </c>
      <c r="I4112">
        <v>35.337954000000003</v>
      </c>
      <c r="J4112">
        <v>4</v>
      </c>
      <c r="K4112" t="s">
        <v>1035</v>
      </c>
      <c r="L4112" t="s">
        <v>1035</v>
      </c>
      <c r="M4112" t="s">
        <v>1035</v>
      </c>
      <c r="N4112" t="s">
        <v>1035</v>
      </c>
      <c r="O4112" t="s">
        <v>1035</v>
      </c>
      <c r="P4112" t="s">
        <v>1035</v>
      </c>
      <c r="Q4112" t="s">
        <v>717</v>
      </c>
      <c r="R4112" t="s">
        <v>19059</v>
      </c>
      <c r="S4112" t="s">
        <v>19061</v>
      </c>
      <c r="T4112" t="s">
        <v>17372</v>
      </c>
      <c r="U4112" t="s">
        <v>19062</v>
      </c>
    </row>
    <row r="4113" spans="1:21" x14ac:dyDescent="0.25">
      <c r="A4113" t="s">
        <v>19063</v>
      </c>
      <c r="B4113" t="s">
        <v>22</v>
      </c>
      <c r="C4113" t="s">
        <v>19064</v>
      </c>
      <c r="D4113">
        <f t="shared" si="101"/>
        <v>-8787</v>
      </c>
      <c r="E4113" t="s">
        <v>18929</v>
      </c>
      <c r="F4113" t="s">
        <v>14473</v>
      </c>
      <c r="G4113" t="s">
        <v>14474</v>
      </c>
      <c r="H4113">
        <v>-80.320521963605898</v>
      </c>
      <c r="I4113">
        <v>26.1515231348816</v>
      </c>
      <c r="J4113">
        <v>35</v>
      </c>
      <c r="K4113" t="s">
        <v>717</v>
      </c>
      <c r="L4113" t="s">
        <v>717</v>
      </c>
      <c r="M4113" t="s">
        <v>717</v>
      </c>
      <c r="N4113" t="s">
        <v>717</v>
      </c>
      <c r="O4113" t="s">
        <v>717</v>
      </c>
      <c r="P4113" t="s">
        <v>717</v>
      </c>
      <c r="Q4113" t="s">
        <v>717</v>
      </c>
      <c r="R4113" t="s">
        <v>19064</v>
      </c>
      <c r="S4113" t="s">
        <v>19065</v>
      </c>
      <c r="T4113" t="s">
        <v>17724</v>
      </c>
      <c r="U4113" t="s">
        <v>19066</v>
      </c>
    </row>
    <row r="4114" spans="1:21" x14ac:dyDescent="0.25">
      <c r="A4114" t="s">
        <v>19067</v>
      </c>
      <c r="B4114" t="s">
        <v>38</v>
      </c>
      <c r="C4114" t="s">
        <v>19068</v>
      </c>
      <c r="D4114">
        <f t="shared" si="101"/>
        <v>-8787</v>
      </c>
      <c r="E4114" t="s">
        <v>19069</v>
      </c>
      <c r="F4114" t="s">
        <v>14473</v>
      </c>
      <c r="G4114" t="s">
        <v>14474</v>
      </c>
      <c r="H4114">
        <v>-97.716525099999998</v>
      </c>
      <c r="I4114">
        <v>31.0934138</v>
      </c>
      <c r="J4114">
        <v>20</v>
      </c>
      <c r="K4114" t="s">
        <v>45</v>
      </c>
      <c r="L4114" t="s">
        <v>45</v>
      </c>
      <c r="M4114" t="s">
        <v>45</v>
      </c>
      <c r="N4114" t="s">
        <v>45</v>
      </c>
      <c r="O4114" t="s">
        <v>45</v>
      </c>
      <c r="P4114" t="s">
        <v>45</v>
      </c>
      <c r="Q4114" t="s">
        <v>1492</v>
      </c>
      <c r="R4114" t="s">
        <v>19068</v>
      </c>
      <c r="S4114" t="s">
        <v>19070</v>
      </c>
      <c r="T4114" t="s">
        <v>17781</v>
      </c>
      <c r="U4114" t="s">
        <v>19071</v>
      </c>
    </row>
    <row r="4115" spans="1:21" x14ac:dyDescent="0.25">
      <c r="A4115" t="s">
        <v>19072</v>
      </c>
      <c r="B4115" t="s">
        <v>38</v>
      </c>
      <c r="C4115" t="s">
        <v>19073</v>
      </c>
      <c r="D4115">
        <f t="shared" si="101"/>
        <v>-8787</v>
      </c>
      <c r="E4115" t="s">
        <v>18679</v>
      </c>
      <c r="F4115" t="s">
        <v>14473</v>
      </c>
      <c r="G4115" t="s">
        <v>14474</v>
      </c>
      <c r="H4115">
        <v>-81.100840000000005</v>
      </c>
      <c r="I4115">
        <v>29.213521700000001</v>
      </c>
      <c r="J4115">
        <v>35</v>
      </c>
      <c r="K4115" t="s">
        <v>45</v>
      </c>
      <c r="L4115" t="s">
        <v>45</v>
      </c>
      <c r="M4115" t="s">
        <v>45</v>
      </c>
      <c r="N4115" t="s">
        <v>45</v>
      </c>
      <c r="O4115" t="s">
        <v>536</v>
      </c>
      <c r="P4115" t="s">
        <v>536</v>
      </c>
      <c r="Q4115" t="s">
        <v>45</v>
      </c>
      <c r="R4115" t="s">
        <v>19073</v>
      </c>
      <c r="S4115" t="s">
        <v>19074</v>
      </c>
      <c r="T4115" t="s">
        <v>17724</v>
      </c>
      <c r="U4115" t="s">
        <v>19075</v>
      </c>
    </row>
    <row r="4116" spans="1:21" x14ac:dyDescent="0.25">
      <c r="A4116" t="s">
        <v>19076</v>
      </c>
      <c r="B4116" t="s">
        <v>22</v>
      </c>
      <c r="C4116" t="s">
        <v>19077</v>
      </c>
      <c r="D4116">
        <f t="shared" si="101"/>
        <v>-8787</v>
      </c>
      <c r="E4116" t="s">
        <v>19078</v>
      </c>
      <c r="F4116" t="s">
        <v>14473</v>
      </c>
      <c r="G4116" t="s">
        <v>14474</v>
      </c>
      <c r="H4116">
        <v>-122.057780309853</v>
      </c>
      <c r="I4116">
        <v>37.896090700671003</v>
      </c>
      <c r="J4116">
        <v>4</v>
      </c>
      <c r="K4116" t="s">
        <v>1035</v>
      </c>
      <c r="L4116" t="s">
        <v>1035</v>
      </c>
      <c r="M4116" t="s">
        <v>1035</v>
      </c>
      <c r="N4116" t="s">
        <v>1035</v>
      </c>
      <c r="O4116" t="s">
        <v>536</v>
      </c>
      <c r="P4116" t="s">
        <v>536</v>
      </c>
      <c r="Q4116" t="s">
        <v>1034</v>
      </c>
      <c r="R4116" t="s">
        <v>19077</v>
      </c>
      <c r="S4116" t="s">
        <v>19079</v>
      </c>
      <c r="T4116" t="s">
        <v>17372</v>
      </c>
      <c r="U4116" t="s">
        <v>19080</v>
      </c>
    </row>
    <row r="4117" spans="1:21" x14ac:dyDescent="0.25">
      <c r="A4117" t="s">
        <v>19081</v>
      </c>
      <c r="B4117" t="s">
        <v>38</v>
      </c>
      <c r="C4117" t="s">
        <v>19082</v>
      </c>
      <c r="D4117">
        <f t="shared" si="101"/>
        <v>-8787</v>
      </c>
      <c r="E4117" t="s">
        <v>19083</v>
      </c>
      <c r="F4117" t="s">
        <v>14473</v>
      </c>
      <c r="G4117" t="s">
        <v>14474</v>
      </c>
      <c r="H4117">
        <v>-88.701883269999996</v>
      </c>
      <c r="I4117">
        <v>34.308461739999998</v>
      </c>
      <c r="J4117">
        <v>20</v>
      </c>
      <c r="K4117" t="s">
        <v>717</v>
      </c>
      <c r="L4117" t="s">
        <v>717</v>
      </c>
      <c r="M4117" t="s">
        <v>717</v>
      </c>
      <c r="N4117" t="s">
        <v>717</v>
      </c>
      <c r="O4117" t="s">
        <v>1035</v>
      </c>
      <c r="P4117" t="s">
        <v>1035</v>
      </c>
      <c r="Q4117" t="s">
        <v>1492</v>
      </c>
      <c r="R4117" t="s">
        <v>19082</v>
      </c>
      <c r="S4117" t="s">
        <v>19084</v>
      </c>
      <c r="T4117" t="s">
        <v>18528</v>
      </c>
      <c r="U4117" t="s">
        <v>19085</v>
      </c>
    </row>
    <row r="4118" spans="1:21" x14ac:dyDescent="0.25">
      <c r="A4118" t="s">
        <v>19086</v>
      </c>
      <c r="B4118" t="s">
        <v>38</v>
      </c>
      <c r="C4118" t="s">
        <v>19087</v>
      </c>
      <c r="D4118">
        <f t="shared" si="101"/>
        <v>-8787</v>
      </c>
      <c r="E4118" t="s">
        <v>19088</v>
      </c>
      <c r="F4118" t="s">
        <v>14473</v>
      </c>
      <c r="G4118" t="s">
        <v>14474</v>
      </c>
      <c r="H4118">
        <v>-72.807525480985603</v>
      </c>
      <c r="I4118">
        <v>41.550919439971402</v>
      </c>
      <c r="J4118">
        <v>35</v>
      </c>
      <c r="K4118" t="s">
        <v>717</v>
      </c>
      <c r="L4118" t="s">
        <v>717</v>
      </c>
      <c r="M4118" t="s">
        <v>717</v>
      </c>
      <c r="N4118" t="s">
        <v>717</v>
      </c>
      <c r="O4118" t="s">
        <v>717</v>
      </c>
      <c r="P4118" t="s">
        <v>717</v>
      </c>
      <c r="Q4118" t="s">
        <v>1034</v>
      </c>
      <c r="R4118" t="s">
        <v>19087</v>
      </c>
      <c r="S4118" t="s">
        <v>19089</v>
      </c>
      <c r="T4118" t="s">
        <v>17336</v>
      </c>
      <c r="U4118" t="s">
        <v>19090</v>
      </c>
    </row>
    <row r="4119" spans="1:21" x14ac:dyDescent="0.25">
      <c r="A4119" t="s">
        <v>19091</v>
      </c>
      <c r="B4119" t="s">
        <v>38</v>
      </c>
      <c r="C4119" t="s">
        <v>19092</v>
      </c>
      <c r="D4119">
        <f t="shared" si="101"/>
        <v>-8787</v>
      </c>
      <c r="E4119" t="s">
        <v>19093</v>
      </c>
      <c r="F4119" t="s">
        <v>14473</v>
      </c>
      <c r="G4119" t="s">
        <v>14474</v>
      </c>
      <c r="H4119">
        <v>-84.002198704448105</v>
      </c>
      <c r="I4119">
        <v>33.898407553147301</v>
      </c>
      <c r="J4119">
        <v>35</v>
      </c>
      <c r="K4119" t="s">
        <v>717</v>
      </c>
      <c r="L4119" t="s">
        <v>717</v>
      </c>
      <c r="M4119" t="s">
        <v>717</v>
      </c>
      <c r="N4119" t="s">
        <v>717</v>
      </c>
      <c r="O4119" t="s">
        <v>717</v>
      </c>
      <c r="P4119" t="s">
        <v>717</v>
      </c>
      <c r="Q4119" t="s">
        <v>1492</v>
      </c>
      <c r="R4119" t="s">
        <v>19092</v>
      </c>
      <c r="S4119" t="s">
        <v>19094</v>
      </c>
      <c r="T4119" t="s">
        <v>9074</v>
      </c>
      <c r="U4119" t="s">
        <v>19095</v>
      </c>
    </row>
    <row r="4120" spans="1:21" x14ac:dyDescent="0.25">
      <c r="A4120" t="s">
        <v>19096</v>
      </c>
      <c r="B4120" t="s">
        <v>38</v>
      </c>
      <c r="C4120" t="s">
        <v>19097</v>
      </c>
      <c r="D4120">
        <f t="shared" si="101"/>
        <v>-8787</v>
      </c>
      <c r="E4120" t="s">
        <v>19098</v>
      </c>
      <c r="F4120" t="s">
        <v>14473</v>
      </c>
      <c r="G4120" t="s">
        <v>14474</v>
      </c>
      <c r="H4120">
        <v>-74.964653389792204</v>
      </c>
      <c r="I4120">
        <v>39.9432447706224</v>
      </c>
      <c r="J4120">
        <v>35</v>
      </c>
      <c r="K4120" t="s">
        <v>717</v>
      </c>
      <c r="L4120" t="s">
        <v>717</v>
      </c>
      <c r="M4120" t="s">
        <v>717</v>
      </c>
      <c r="N4120" t="s">
        <v>717</v>
      </c>
      <c r="O4120" t="s">
        <v>717</v>
      </c>
      <c r="P4120" t="s">
        <v>717</v>
      </c>
      <c r="Q4120" t="s">
        <v>1034</v>
      </c>
      <c r="R4120" t="s">
        <v>19097</v>
      </c>
      <c r="S4120" t="s">
        <v>19099</v>
      </c>
      <c r="T4120" t="s">
        <v>17159</v>
      </c>
      <c r="U4120" t="s">
        <v>19100</v>
      </c>
    </row>
    <row r="4121" spans="1:21" x14ac:dyDescent="0.25">
      <c r="A4121" t="s">
        <v>19101</v>
      </c>
      <c r="B4121" t="s">
        <v>38</v>
      </c>
      <c r="C4121" t="s">
        <v>19102</v>
      </c>
      <c r="D4121">
        <f>1-8554667467</f>
        <v>-8554667466</v>
      </c>
      <c r="E4121" t="s">
        <v>18473</v>
      </c>
      <c r="F4121" t="s">
        <v>14473</v>
      </c>
      <c r="G4121" t="s">
        <v>14474</v>
      </c>
      <c r="H4121">
        <v>-98.621003999999999</v>
      </c>
      <c r="I4121">
        <v>29.469017000000001</v>
      </c>
      <c r="J4121">
        <v>20</v>
      </c>
      <c r="K4121" t="s">
        <v>1035</v>
      </c>
      <c r="L4121" t="s">
        <v>1035</v>
      </c>
      <c r="M4121" t="s">
        <v>1035</v>
      </c>
      <c r="N4121" t="s">
        <v>1035</v>
      </c>
      <c r="O4121" t="s">
        <v>536</v>
      </c>
      <c r="P4121" t="s">
        <v>536</v>
      </c>
      <c r="Q4121" t="s">
        <v>1492</v>
      </c>
      <c r="R4121" t="s">
        <v>19102</v>
      </c>
      <c r="S4121" t="s">
        <v>19103</v>
      </c>
      <c r="T4121" t="s">
        <v>17781</v>
      </c>
      <c r="U4121" t="s">
        <v>19104</v>
      </c>
    </row>
    <row r="4122" spans="1:21" x14ac:dyDescent="0.25">
      <c r="A4122" t="s">
        <v>19105</v>
      </c>
      <c r="B4122" t="s">
        <v>22</v>
      </c>
      <c r="C4122" t="s">
        <v>19106</v>
      </c>
      <c r="D4122">
        <f t="shared" ref="D4122:D4153" si="102">1-855-466-7467</f>
        <v>-8787</v>
      </c>
      <c r="E4122" t="s">
        <v>17928</v>
      </c>
      <c r="F4122" t="s">
        <v>14473</v>
      </c>
      <c r="G4122" t="s">
        <v>14474</v>
      </c>
      <c r="H4122">
        <v>-80.131963749999997</v>
      </c>
      <c r="I4122">
        <v>25.777949549999999</v>
      </c>
      <c r="J4122">
        <v>35</v>
      </c>
      <c r="K4122" t="s">
        <v>717</v>
      </c>
      <c r="L4122" t="s">
        <v>717</v>
      </c>
      <c r="M4122" t="s">
        <v>717</v>
      </c>
      <c r="N4122" t="s">
        <v>717</v>
      </c>
      <c r="O4122" t="s">
        <v>1501</v>
      </c>
      <c r="P4122" t="s">
        <v>1501</v>
      </c>
      <c r="Q4122" t="s">
        <v>1501</v>
      </c>
      <c r="R4122" t="s">
        <v>19106</v>
      </c>
      <c r="S4122" t="s">
        <v>19107</v>
      </c>
      <c r="T4122" t="s">
        <v>17724</v>
      </c>
      <c r="U4122" t="s">
        <v>19108</v>
      </c>
    </row>
    <row r="4123" spans="1:21" x14ac:dyDescent="0.25">
      <c r="A4123" t="s">
        <v>19109</v>
      </c>
      <c r="B4123" t="s">
        <v>38</v>
      </c>
      <c r="C4123" t="s">
        <v>19110</v>
      </c>
      <c r="D4123">
        <f t="shared" si="102"/>
        <v>-8787</v>
      </c>
      <c r="E4123" t="s">
        <v>17855</v>
      </c>
      <c r="F4123" t="s">
        <v>14473</v>
      </c>
      <c r="G4123" t="s">
        <v>14474</v>
      </c>
      <c r="H4123">
        <v>-76.467668000000003</v>
      </c>
      <c r="I4123">
        <v>39.375217999999997</v>
      </c>
      <c r="J4123">
        <v>35</v>
      </c>
      <c r="K4123" t="s">
        <v>717</v>
      </c>
      <c r="L4123" t="s">
        <v>717</v>
      </c>
      <c r="M4123" t="s">
        <v>717</v>
      </c>
      <c r="N4123" t="s">
        <v>717</v>
      </c>
      <c r="O4123" t="s">
        <v>1035</v>
      </c>
      <c r="P4123" t="s">
        <v>1035</v>
      </c>
      <c r="Q4123" t="s">
        <v>1034</v>
      </c>
      <c r="R4123" t="s">
        <v>19110</v>
      </c>
      <c r="S4123" t="s">
        <v>19111</v>
      </c>
      <c r="T4123" t="s">
        <v>17286</v>
      </c>
      <c r="U4123" t="s">
        <v>19112</v>
      </c>
    </row>
    <row r="4124" spans="1:21" x14ac:dyDescent="0.25">
      <c r="A4124" t="s">
        <v>19113</v>
      </c>
      <c r="B4124" t="s">
        <v>22</v>
      </c>
      <c r="C4124" t="s">
        <v>19114</v>
      </c>
      <c r="D4124">
        <f t="shared" si="102"/>
        <v>-8787</v>
      </c>
      <c r="E4124" t="s">
        <v>17982</v>
      </c>
      <c r="F4124" t="s">
        <v>14473</v>
      </c>
      <c r="G4124" t="s">
        <v>14474</v>
      </c>
      <c r="H4124">
        <v>-94.409092999999999</v>
      </c>
      <c r="I4124">
        <v>38.929479000000001</v>
      </c>
      <c r="J4124">
        <v>20</v>
      </c>
      <c r="K4124" t="s">
        <v>717</v>
      </c>
      <c r="L4124" t="s">
        <v>717</v>
      </c>
      <c r="M4124" t="s">
        <v>717</v>
      </c>
      <c r="N4124" t="s">
        <v>717</v>
      </c>
      <c r="O4124" t="s">
        <v>717</v>
      </c>
      <c r="P4124" t="s">
        <v>717</v>
      </c>
      <c r="Q4124" t="s">
        <v>1492</v>
      </c>
      <c r="R4124" t="s">
        <v>19114</v>
      </c>
      <c r="S4124" t="s">
        <v>19115</v>
      </c>
      <c r="T4124" t="s">
        <v>17393</v>
      </c>
      <c r="U4124" t="s">
        <v>19116</v>
      </c>
    </row>
    <row r="4125" spans="1:21" x14ac:dyDescent="0.25">
      <c r="A4125" t="s">
        <v>19117</v>
      </c>
      <c r="B4125" t="s">
        <v>38</v>
      </c>
      <c r="C4125" t="s">
        <v>19118</v>
      </c>
      <c r="D4125">
        <f t="shared" si="102"/>
        <v>-8787</v>
      </c>
      <c r="E4125" t="s">
        <v>19036</v>
      </c>
      <c r="F4125" t="s">
        <v>14473</v>
      </c>
      <c r="G4125" t="s">
        <v>14474</v>
      </c>
      <c r="H4125">
        <v>-97.280858640000005</v>
      </c>
      <c r="I4125">
        <v>33.021053780000003</v>
      </c>
      <c r="J4125">
        <v>20</v>
      </c>
      <c r="K4125" t="s">
        <v>45</v>
      </c>
      <c r="L4125" t="s">
        <v>45</v>
      </c>
      <c r="M4125" t="s">
        <v>45</v>
      </c>
      <c r="N4125" t="s">
        <v>45</v>
      </c>
      <c r="O4125" t="s">
        <v>536</v>
      </c>
      <c r="P4125" t="s">
        <v>536</v>
      </c>
      <c r="Q4125" t="s">
        <v>717</v>
      </c>
      <c r="R4125" t="s">
        <v>19118</v>
      </c>
      <c r="S4125" t="s">
        <v>19119</v>
      </c>
      <c r="T4125" t="s">
        <v>17781</v>
      </c>
      <c r="U4125" t="s">
        <v>19120</v>
      </c>
    </row>
    <row r="4126" spans="1:21" x14ac:dyDescent="0.25">
      <c r="A4126" t="s">
        <v>19121</v>
      </c>
      <c r="B4126" t="s">
        <v>38</v>
      </c>
      <c r="C4126" t="s">
        <v>19122</v>
      </c>
      <c r="D4126">
        <f t="shared" si="102"/>
        <v>-8787</v>
      </c>
      <c r="E4126" t="s">
        <v>18039</v>
      </c>
      <c r="F4126" t="s">
        <v>14473</v>
      </c>
      <c r="G4126" t="s">
        <v>14474</v>
      </c>
      <c r="H4126">
        <v>-84.080916000000002</v>
      </c>
      <c r="I4126">
        <v>33.981720000000003</v>
      </c>
      <c r="J4126">
        <v>35</v>
      </c>
      <c r="K4126" t="s">
        <v>717</v>
      </c>
      <c r="L4126" t="s">
        <v>717</v>
      </c>
      <c r="M4126" t="s">
        <v>717</v>
      </c>
      <c r="N4126" t="s">
        <v>717</v>
      </c>
      <c r="O4126" t="s">
        <v>717</v>
      </c>
      <c r="P4126" t="s">
        <v>717</v>
      </c>
      <c r="Q4126" t="s">
        <v>1492</v>
      </c>
      <c r="R4126" t="s">
        <v>19122</v>
      </c>
      <c r="S4126" t="s">
        <v>19123</v>
      </c>
      <c r="T4126" t="s">
        <v>9074</v>
      </c>
      <c r="U4126" t="s">
        <v>19124</v>
      </c>
    </row>
    <row r="4127" spans="1:21" x14ac:dyDescent="0.25">
      <c r="A4127" t="s">
        <v>19125</v>
      </c>
      <c r="B4127" t="s">
        <v>38</v>
      </c>
      <c r="C4127" t="s">
        <v>19126</v>
      </c>
      <c r="D4127">
        <f t="shared" si="102"/>
        <v>-8787</v>
      </c>
      <c r="E4127" t="s">
        <v>19127</v>
      </c>
      <c r="F4127" t="s">
        <v>14473</v>
      </c>
      <c r="G4127" t="s">
        <v>14474</v>
      </c>
      <c r="H4127">
        <v>-84.351998390000006</v>
      </c>
      <c r="I4127">
        <v>33.575264390000001</v>
      </c>
      <c r="J4127">
        <v>35</v>
      </c>
      <c r="K4127" t="s">
        <v>717</v>
      </c>
      <c r="L4127" t="s">
        <v>717</v>
      </c>
      <c r="M4127" t="s">
        <v>717</v>
      </c>
      <c r="N4127" t="s">
        <v>717</v>
      </c>
      <c r="O4127" t="s">
        <v>717</v>
      </c>
      <c r="P4127" t="s">
        <v>717</v>
      </c>
      <c r="Q4127" t="s">
        <v>1492</v>
      </c>
      <c r="R4127" t="s">
        <v>19126</v>
      </c>
      <c r="S4127" t="s">
        <v>19128</v>
      </c>
      <c r="T4127" t="s">
        <v>9074</v>
      </c>
      <c r="U4127" t="s">
        <v>19129</v>
      </c>
    </row>
    <row r="4128" spans="1:21" x14ac:dyDescent="0.25">
      <c r="A4128" t="s">
        <v>19130</v>
      </c>
      <c r="B4128" t="s">
        <v>22</v>
      </c>
      <c r="C4128" t="s">
        <v>19131</v>
      </c>
      <c r="D4128">
        <f t="shared" si="102"/>
        <v>-8787</v>
      </c>
      <c r="E4128" t="s">
        <v>19132</v>
      </c>
      <c r="F4128" t="s">
        <v>14473</v>
      </c>
      <c r="G4128" t="s">
        <v>14474</v>
      </c>
      <c r="H4128">
        <v>-76.49684551</v>
      </c>
      <c r="I4128">
        <v>37.113904959999999</v>
      </c>
      <c r="J4128">
        <v>35</v>
      </c>
      <c r="K4128" t="s">
        <v>717</v>
      </c>
      <c r="L4128" t="s">
        <v>717</v>
      </c>
      <c r="M4128" t="s">
        <v>717</v>
      </c>
      <c r="N4128" t="s">
        <v>717</v>
      </c>
      <c r="O4128" t="s">
        <v>1035</v>
      </c>
      <c r="P4128" t="s">
        <v>1035</v>
      </c>
      <c r="Q4128" t="s">
        <v>1492</v>
      </c>
      <c r="R4128" t="s">
        <v>19131</v>
      </c>
      <c r="S4128" t="s">
        <v>19133</v>
      </c>
      <c r="T4128" t="s">
        <v>17202</v>
      </c>
      <c r="U4128" t="s">
        <v>19134</v>
      </c>
    </row>
    <row r="4129" spans="1:21" x14ac:dyDescent="0.25">
      <c r="A4129" t="s">
        <v>19135</v>
      </c>
      <c r="B4129" t="s">
        <v>38</v>
      </c>
      <c r="C4129" t="s">
        <v>19136</v>
      </c>
      <c r="D4129">
        <f t="shared" si="102"/>
        <v>-8787</v>
      </c>
      <c r="E4129" t="s">
        <v>8154</v>
      </c>
      <c r="F4129" t="s">
        <v>14473</v>
      </c>
      <c r="G4129" t="s">
        <v>14474</v>
      </c>
      <c r="H4129">
        <v>-76.675713437580299</v>
      </c>
      <c r="I4129">
        <v>39.9889174464871</v>
      </c>
      <c r="J4129">
        <v>35</v>
      </c>
      <c r="K4129" t="s">
        <v>45</v>
      </c>
      <c r="L4129" t="s">
        <v>45</v>
      </c>
      <c r="M4129" t="s">
        <v>45</v>
      </c>
      <c r="N4129" t="s">
        <v>45</v>
      </c>
      <c r="O4129" t="s">
        <v>45</v>
      </c>
      <c r="P4129" t="s">
        <v>45</v>
      </c>
      <c r="Q4129" t="s">
        <v>564</v>
      </c>
      <c r="R4129" t="s">
        <v>19136</v>
      </c>
      <c r="S4129" t="s">
        <v>19137</v>
      </c>
      <c r="T4129" t="s">
        <v>17270</v>
      </c>
      <c r="U4129" t="s">
        <v>19138</v>
      </c>
    </row>
    <row r="4130" spans="1:21" x14ac:dyDescent="0.25">
      <c r="A4130" t="s">
        <v>19139</v>
      </c>
      <c r="B4130" t="s">
        <v>22</v>
      </c>
      <c r="C4130" t="s">
        <v>19140</v>
      </c>
      <c r="D4130">
        <f t="shared" si="102"/>
        <v>-8787</v>
      </c>
      <c r="E4130" t="s">
        <v>19141</v>
      </c>
      <c r="F4130" t="s">
        <v>14473</v>
      </c>
      <c r="G4130" t="s">
        <v>14474</v>
      </c>
      <c r="H4130">
        <v>-80.257529700000006</v>
      </c>
      <c r="I4130">
        <v>26.116871</v>
      </c>
      <c r="J4130">
        <v>35</v>
      </c>
      <c r="K4130" t="s">
        <v>717</v>
      </c>
      <c r="L4130" t="s">
        <v>717</v>
      </c>
      <c r="M4130" t="s">
        <v>717</v>
      </c>
      <c r="N4130" t="s">
        <v>717</v>
      </c>
      <c r="O4130" t="s">
        <v>536</v>
      </c>
      <c r="P4130" t="s">
        <v>536</v>
      </c>
      <c r="Q4130" t="s">
        <v>717</v>
      </c>
      <c r="R4130" t="s">
        <v>19140</v>
      </c>
      <c r="S4130" t="s">
        <v>19142</v>
      </c>
      <c r="T4130" t="s">
        <v>17724</v>
      </c>
      <c r="U4130" t="s">
        <v>19143</v>
      </c>
    </row>
    <row r="4131" spans="1:21" x14ac:dyDescent="0.25">
      <c r="A4131" t="s">
        <v>19144</v>
      </c>
      <c r="B4131" t="s">
        <v>38</v>
      </c>
      <c r="C4131" t="s">
        <v>19145</v>
      </c>
      <c r="D4131">
        <f t="shared" si="102"/>
        <v>-8787</v>
      </c>
      <c r="E4131" t="s">
        <v>1252</v>
      </c>
      <c r="F4131" t="s">
        <v>14473</v>
      </c>
      <c r="G4131" t="s">
        <v>14474</v>
      </c>
      <c r="H4131">
        <v>-122.584546253119</v>
      </c>
      <c r="I4131">
        <v>45.658146258571698</v>
      </c>
      <c r="J4131">
        <v>4</v>
      </c>
      <c r="K4131" t="s">
        <v>717</v>
      </c>
      <c r="L4131" t="s">
        <v>717</v>
      </c>
      <c r="M4131" t="s">
        <v>717</v>
      </c>
      <c r="N4131" t="s">
        <v>717</v>
      </c>
      <c r="O4131" t="s">
        <v>1035</v>
      </c>
      <c r="P4131" t="s">
        <v>1035</v>
      </c>
      <c r="Q4131" t="s">
        <v>17207</v>
      </c>
      <c r="R4131" t="s">
        <v>19145</v>
      </c>
      <c r="S4131" t="s">
        <v>19146</v>
      </c>
      <c r="T4131" t="s">
        <v>17620</v>
      </c>
      <c r="U4131" t="s">
        <v>19147</v>
      </c>
    </row>
    <row r="4132" spans="1:21" x14ac:dyDescent="0.25">
      <c r="A4132" t="s">
        <v>19148</v>
      </c>
      <c r="B4132" t="s">
        <v>38</v>
      </c>
      <c r="C4132" t="s">
        <v>19149</v>
      </c>
      <c r="D4132">
        <f t="shared" si="102"/>
        <v>-8787</v>
      </c>
      <c r="E4132" t="s">
        <v>19150</v>
      </c>
      <c r="F4132" t="s">
        <v>14473</v>
      </c>
      <c r="G4132" t="s">
        <v>14474</v>
      </c>
      <c r="H4132">
        <v>-81.995216999999997</v>
      </c>
      <c r="I4132">
        <v>34.939743</v>
      </c>
      <c r="J4132">
        <v>35</v>
      </c>
      <c r="K4132" t="s">
        <v>1035</v>
      </c>
      <c r="L4132" t="s">
        <v>1035</v>
      </c>
      <c r="M4132" t="s">
        <v>1035</v>
      </c>
      <c r="N4132" t="s">
        <v>1035</v>
      </c>
      <c r="O4132" t="s">
        <v>1035</v>
      </c>
      <c r="P4132" t="s">
        <v>1035</v>
      </c>
      <c r="Q4132" t="s">
        <v>1492</v>
      </c>
      <c r="R4132" t="s">
        <v>19149</v>
      </c>
      <c r="S4132" t="s">
        <v>19151</v>
      </c>
      <c r="T4132" t="s">
        <v>18147</v>
      </c>
      <c r="U4132" t="s">
        <v>19152</v>
      </c>
    </row>
    <row r="4133" spans="1:21" x14ac:dyDescent="0.25">
      <c r="A4133" t="s">
        <v>19153</v>
      </c>
      <c r="B4133" t="s">
        <v>38</v>
      </c>
      <c r="C4133" t="s">
        <v>19154</v>
      </c>
      <c r="D4133">
        <f t="shared" si="102"/>
        <v>-8787</v>
      </c>
      <c r="E4133" t="s">
        <v>19155</v>
      </c>
      <c r="F4133" t="s">
        <v>14473</v>
      </c>
      <c r="G4133" t="s">
        <v>14474</v>
      </c>
      <c r="H4133">
        <v>-88.121214190000003</v>
      </c>
      <c r="I4133">
        <v>30.673016570000001</v>
      </c>
      <c r="J4133">
        <v>20</v>
      </c>
      <c r="K4133" t="s">
        <v>717</v>
      </c>
      <c r="L4133" t="s">
        <v>717</v>
      </c>
      <c r="M4133" t="s">
        <v>717</v>
      </c>
      <c r="N4133" t="s">
        <v>717</v>
      </c>
      <c r="O4133" t="s">
        <v>717</v>
      </c>
      <c r="P4133" t="s">
        <v>717</v>
      </c>
      <c r="Q4133" t="s">
        <v>1492</v>
      </c>
      <c r="R4133" t="s">
        <v>19154</v>
      </c>
      <c r="S4133" t="s">
        <v>19156</v>
      </c>
      <c r="T4133" t="s">
        <v>18064</v>
      </c>
      <c r="U4133" t="s">
        <v>19157</v>
      </c>
    </row>
    <row r="4134" spans="1:21" x14ac:dyDescent="0.25">
      <c r="A4134" t="s">
        <v>19158</v>
      </c>
      <c r="B4134" t="s">
        <v>38</v>
      </c>
      <c r="C4134" t="s">
        <v>19159</v>
      </c>
      <c r="D4134">
        <f t="shared" si="102"/>
        <v>-8787</v>
      </c>
      <c r="E4134" t="s">
        <v>19160</v>
      </c>
      <c r="F4134" t="s">
        <v>14473</v>
      </c>
      <c r="G4134" t="s">
        <v>14474</v>
      </c>
      <c r="H4134">
        <v>-81.977789119999997</v>
      </c>
      <c r="I4134">
        <v>28.09179417</v>
      </c>
      <c r="J4134">
        <v>35</v>
      </c>
      <c r="K4134" t="s">
        <v>1035</v>
      </c>
      <c r="L4134" t="s">
        <v>1035</v>
      </c>
      <c r="M4134" t="s">
        <v>1035</v>
      </c>
      <c r="N4134" t="s">
        <v>1035</v>
      </c>
      <c r="O4134" t="s">
        <v>1035</v>
      </c>
      <c r="P4134" t="s">
        <v>1035</v>
      </c>
      <c r="Q4134" t="s">
        <v>1492</v>
      </c>
      <c r="R4134" t="s">
        <v>19159</v>
      </c>
      <c r="S4134" t="s">
        <v>19161</v>
      </c>
      <c r="T4134" t="s">
        <v>17724</v>
      </c>
      <c r="U4134" t="s">
        <v>19162</v>
      </c>
    </row>
    <row r="4135" spans="1:21" x14ac:dyDescent="0.25">
      <c r="A4135" t="s">
        <v>19163</v>
      </c>
      <c r="B4135" t="s">
        <v>38</v>
      </c>
      <c r="C4135" t="s">
        <v>19164</v>
      </c>
      <c r="D4135">
        <f t="shared" si="102"/>
        <v>-8787</v>
      </c>
      <c r="E4135" t="s">
        <v>17174</v>
      </c>
      <c r="F4135" t="s">
        <v>14473</v>
      </c>
      <c r="G4135" t="s">
        <v>14474</v>
      </c>
      <c r="H4135">
        <v>-73.816666600000005</v>
      </c>
      <c r="I4135">
        <v>42.709655390000002</v>
      </c>
      <c r="J4135">
        <v>35</v>
      </c>
      <c r="K4135" t="s">
        <v>717</v>
      </c>
      <c r="L4135" t="s">
        <v>717</v>
      </c>
      <c r="M4135" t="s">
        <v>717</v>
      </c>
      <c r="N4135" t="s">
        <v>717</v>
      </c>
      <c r="O4135" t="s">
        <v>717</v>
      </c>
      <c r="P4135" t="s">
        <v>717</v>
      </c>
      <c r="Q4135" t="s">
        <v>1034</v>
      </c>
      <c r="R4135" t="s">
        <v>19164</v>
      </c>
      <c r="S4135" t="s">
        <v>19165</v>
      </c>
      <c r="T4135" t="s">
        <v>17165</v>
      </c>
      <c r="U4135" t="s">
        <v>19166</v>
      </c>
    </row>
    <row r="4136" spans="1:21" x14ac:dyDescent="0.25">
      <c r="A4136" t="s">
        <v>19167</v>
      </c>
      <c r="B4136" t="s">
        <v>38</v>
      </c>
      <c r="C4136" t="s">
        <v>19168</v>
      </c>
      <c r="D4136">
        <f t="shared" si="102"/>
        <v>-8787</v>
      </c>
      <c r="E4136" t="s">
        <v>8671</v>
      </c>
      <c r="F4136" t="s">
        <v>14473</v>
      </c>
      <c r="G4136" t="s">
        <v>14474</v>
      </c>
      <c r="H4136">
        <v>-75.566121170000002</v>
      </c>
      <c r="I4136">
        <v>38.398399120000001</v>
      </c>
      <c r="J4136">
        <v>35</v>
      </c>
      <c r="K4136" t="s">
        <v>717</v>
      </c>
      <c r="L4136" t="s">
        <v>717</v>
      </c>
      <c r="M4136" t="s">
        <v>717</v>
      </c>
      <c r="N4136" t="s">
        <v>717</v>
      </c>
      <c r="O4136" t="s">
        <v>1035</v>
      </c>
      <c r="P4136" t="s">
        <v>1035</v>
      </c>
      <c r="Q4136" t="s">
        <v>1492</v>
      </c>
      <c r="R4136" t="s">
        <v>19168</v>
      </c>
      <c r="S4136" t="s">
        <v>19169</v>
      </c>
      <c r="T4136" t="s">
        <v>17286</v>
      </c>
      <c r="U4136" t="s">
        <v>19170</v>
      </c>
    </row>
    <row r="4137" spans="1:21" x14ac:dyDescent="0.25">
      <c r="A4137" t="s">
        <v>19171</v>
      </c>
      <c r="B4137" t="s">
        <v>38</v>
      </c>
      <c r="C4137" t="s">
        <v>19172</v>
      </c>
      <c r="D4137">
        <f t="shared" si="102"/>
        <v>-8787</v>
      </c>
      <c r="E4137" t="s">
        <v>19173</v>
      </c>
      <c r="F4137" t="s">
        <v>14473</v>
      </c>
      <c r="G4137" t="s">
        <v>14474</v>
      </c>
      <c r="H4137">
        <v>-86.359052809999994</v>
      </c>
      <c r="I4137">
        <v>39.71159823</v>
      </c>
      <c r="J4137">
        <v>35</v>
      </c>
      <c r="K4137" t="s">
        <v>45</v>
      </c>
      <c r="L4137" t="s">
        <v>45</v>
      </c>
      <c r="M4137" t="s">
        <v>45</v>
      </c>
      <c r="N4137" t="s">
        <v>45</v>
      </c>
      <c r="O4137" t="s">
        <v>45</v>
      </c>
      <c r="P4137" t="s">
        <v>45</v>
      </c>
      <c r="Q4137" t="s">
        <v>1492</v>
      </c>
      <c r="R4137" t="s">
        <v>19172</v>
      </c>
      <c r="S4137" t="s">
        <v>19174</v>
      </c>
      <c r="T4137" t="s">
        <v>17366</v>
      </c>
      <c r="U4137" t="s">
        <v>19175</v>
      </c>
    </row>
    <row r="4138" spans="1:21" x14ac:dyDescent="0.25">
      <c r="A4138" t="s">
        <v>19176</v>
      </c>
      <c r="B4138" t="s">
        <v>22</v>
      </c>
      <c r="C4138" t="s">
        <v>19177</v>
      </c>
      <c r="D4138">
        <f t="shared" si="102"/>
        <v>-8787</v>
      </c>
      <c r="E4138" t="s">
        <v>19178</v>
      </c>
      <c r="F4138" t="s">
        <v>14473</v>
      </c>
      <c r="G4138" t="s">
        <v>14474</v>
      </c>
      <c r="H4138">
        <v>-97.373231610000005</v>
      </c>
      <c r="I4138">
        <v>27.71162855</v>
      </c>
      <c r="J4138">
        <v>20</v>
      </c>
      <c r="K4138" t="s">
        <v>536</v>
      </c>
      <c r="L4138" t="s">
        <v>536</v>
      </c>
      <c r="M4138" t="s">
        <v>536</v>
      </c>
      <c r="N4138" t="s">
        <v>536</v>
      </c>
      <c r="O4138" t="s">
        <v>536</v>
      </c>
      <c r="P4138" t="s">
        <v>536</v>
      </c>
      <c r="Q4138" t="s">
        <v>1034</v>
      </c>
      <c r="R4138" t="s">
        <v>19177</v>
      </c>
      <c r="S4138" t="s">
        <v>19179</v>
      </c>
      <c r="T4138" t="s">
        <v>17781</v>
      </c>
      <c r="U4138" t="s">
        <v>19180</v>
      </c>
    </row>
    <row r="4139" spans="1:21" x14ac:dyDescent="0.25">
      <c r="A4139" t="s">
        <v>19181</v>
      </c>
      <c r="B4139" t="s">
        <v>38</v>
      </c>
      <c r="C4139" t="s">
        <v>19182</v>
      </c>
      <c r="D4139">
        <f t="shared" si="102"/>
        <v>-8787</v>
      </c>
      <c r="E4139" t="s">
        <v>19183</v>
      </c>
      <c r="F4139" t="s">
        <v>14473</v>
      </c>
      <c r="G4139" t="s">
        <v>14474</v>
      </c>
      <c r="H4139">
        <v>-92.059067490000004</v>
      </c>
      <c r="I4139">
        <v>32.498116690000003</v>
      </c>
      <c r="J4139">
        <v>20</v>
      </c>
      <c r="K4139" t="s">
        <v>717</v>
      </c>
      <c r="L4139" t="s">
        <v>717</v>
      </c>
      <c r="M4139" t="s">
        <v>717</v>
      </c>
      <c r="N4139" t="s">
        <v>717</v>
      </c>
      <c r="O4139" t="s">
        <v>717</v>
      </c>
      <c r="P4139" t="s">
        <v>717</v>
      </c>
      <c r="Q4139" t="s">
        <v>1492</v>
      </c>
      <c r="R4139" t="s">
        <v>19182</v>
      </c>
      <c r="S4139" t="s">
        <v>19184</v>
      </c>
      <c r="T4139" t="s">
        <v>18262</v>
      </c>
      <c r="U4139" t="s">
        <v>19185</v>
      </c>
    </row>
    <row r="4140" spans="1:21" x14ac:dyDescent="0.25">
      <c r="A4140" t="s">
        <v>19186</v>
      </c>
      <c r="B4140" t="s">
        <v>22</v>
      </c>
      <c r="C4140" t="s">
        <v>19187</v>
      </c>
      <c r="D4140">
        <f t="shared" si="102"/>
        <v>-8787</v>
      </c>
      <c r="E4140" t="s">
        <v>19188</v>
      </c>
      <c r="F4140" t="s">
        <v>14473</v>
      </c>
      <c r="G4140" t="s">
        <v>14474</v>
      </c>
      <c r="H4140">
        <v>-100.7848126</v>
      </c>
      <c r="I4140">
        <v>46.796653849999998</v>
      </c>
      <c r="J4140">
        <v>20</v>
      </c>
      <c r="K4140" t="s">
        <v>717</v>
      </c>
      <c r="L4140" t="s">
        <v>717</v>
      </c>
      <c r="M4140" t="s">
        <v>717</v>
      </c>
      <c r="N4140" t="s">
        <v>1011</v>
      </c>
      <c r="O4140" t="s">
        <v>1011</v>
      </c>
      <c r="P4140" t="s">
        <v>717</v>
      </c>
      <c r="Q4140" t="s">
        <v>1492</v>
      </c>
      <c r="R4140" t="s">
        <v>19187</v>
      </c>
      <c r="S4140" t="s">
        <v>19189</v>
      </c>
      <c r="T4140" t="s">
        <v>19190</v>
      </c>
      <c r="U4140" t="s">
        <v>19191</v>
      </c>
    </row>
    <row r="4141" spans="1:21" x14ac:dyDescent="0.25">
      <c r="A4141" t="s">
        <v>19192</v>
      </c>
      <c r="B4141" t="s">
        <v>38</v>
      </c>
      <c r="C4141" t="s">
        <v>19193</v>
      </c>
      <c r="D4141">
        <f t="shared" si="102"/>
        <v>-8787</v>
      </c>
      <c r="E4141" t="s">
        <v>17629</v>
      </c>
      <c r="F4141" t="s">
        <v>14473</v>
      </c>
      <c r="G4141" t="s">
        <v>14474</v>
      </c>
      <c r="H4141">
        <v>-84.095537960000001</v>
      </c>
      <c r="I4141">
        <v>33.698703459999997</v>
      </c>
      <c r="J4141">
        <v>35</v>
      </c>
      <c r="K4141" t="s">
        <v>717</v>
      </c>
      <c r="L4141" t="s">
        <v>717</v>
      </c>
      <c r="M4141" t="s">
        <v>717</v>
      </c>
      <c r="N4141" t="s">
        <v>717</v>
      </c>
      <c r="O4141" t="s">
        <v>717</v>
      </c>
      <c r="P4141" t="s">
        <v>717</v>
      </c>
      <c r="Q4141" t="s">
        <v>1492</v>
      </c>
      <c r="R4141" t="s">
        <v>19193</v>
      </c>
      <c r="S4141" t="s">
        <v>19194</v>
      </c>
      <c r="T4141" t="s">
        <v>9074</v>
      </c>
      <c r="U4141" t="s">
        <v>19195</v>
      </c>
    </row>
    <row r="4142" spans="1:21" x14ac:dyDescent="0.25">
      <c r="A4142" t="s">
        <v>19196</v>
      </c>
      <c r="B4142" t="s">
        <v>38</v>
      </c>
      <c r="C4142" t="s">
        <v>19197</v>
      </c>
      <c r="D4142">
        <f t="shared" si="102"/>
        <v>-8787</v>
      </c>
      <c r="E4142" t="s">
        <v>18944</v>
      </c>
      <c r="F4142" t="s">
        <v>14473</v>
      </c>
      <c r="G4142" t="s">
        <v>14474</v>
      </c>
      <c r="H4142">
        <v>-99.511112358268093</v>
      </c>
      <c r="I4142">
        <v>27.501710837732301</v>
      </c>
      <c r="J4142">
        <v>20</v>
      </c>
      <c r="K4142" t="s">
        <v>1035</v>
      </c>
      <c r="L4142" t="s">
        <v>1035</v>
      </c>
      <c r="M4142" t="s">
        <v>1035</v>
      </c>
      <c r="N4142" t="s">
        <v>1035</v>
      </c>
      <c r="O4142" t="s">
        <v>1035</v>
      </c>
      <c r="P4142" t="s">
        <v>1035</v>
      </c>
      <c r="Q4142" t="s">
        <v>717</v>
      </c>
      <c r="R4142" t="s">
        <v>19197</v>
      </c>
      <c r="S4142" t="s">
        <v>19198</v>
      </c>
      <c r="T4142" t="s">
        <v>17781</v>
      </c>
      <c r="U4142" t="s">
        <v>19199</v>
      </c>
    </row>
    <row r="4143" spans="1:21" x14ac:dyDescent="0.25">
      <c r="A4143" t="s">
        <v>19200</v>
      </c>
      <c r="B4143" t="s">
        <v>38</v>
      </c>
      <c r="C4143" t="s">
        <v>19201</v>
      </c>
      <c r="D4143">
        <f t="shared" si="102"/>
        <v>-8787</v>
      </c>
      <c r="E4143" t="s">
        <v>19202</v>
      </c>
      <c r="F4143" t="s">
        <v>14473</v>
      </c>
      <c r="G4143" t="s">
        <v>14474</v>
      </c>
      <c r="H4143">
        <v>-94.751145080000001</v>
      </c>
      <c r="I4143">
        <v>32.539563430000001</v>
      </c>
      <c r="J4143">
        <v>20</v>
      </c>
      <c r="K4143" t="s">
        <v>536</v>
      </c>
      <c r="L4143" t="s">
        <v>536</v>
      </c>
      <c r="M4143" t="s">
        <v>536</v>
      </c>
      <c r="N4143" t="s">
        <v>536</v>
      </c>
      <c r="O4143" t="s">
        <v>536</v>
      </c>
      <c r="P4143" t="s">
        <v>536</v>
      </c>
      <c r="Q4143" t="s">
        <v>1492</v>
      </c>
      <c r="R4143" t="s">
        <v>19201</v>
      </c>
      <c r="S4143" t="s">
        <v>19203</v>
      </c>
      <c r="T4143" t="s">
        <v>17781</v>
      </c>
      <c r="U4143" t="s">
        <v>19204</v>
      </c>
    </row>
    <row r="4144" spans="1:21" x14ac:dyDescent="0.25">
      <c r="A4144" t="s">
        <v>19205</v>
      </c>
      <c r="B4144" t="s">
        <v>38</v>
      </c>
      <c r="C4144" t="s">
        <v>19206</v>
      </c>
      <c r="D4144">
        <f t="shared" si="102"/>
        <v>-8787</v>
      </c>
      <c r="E4144" t="s">
        <v>19207</v>
      </c>
      <c r="F4144" t="s">
        <v>14473</v>
      </c>
      <c r="G4144" t="s">
        <v>14474</v>
      </c>
      <c r="H4144">
        <v>-122.297726</v>
      </c>
      <c r="I4144">
        <v>47.157620110000003</v>
      </c>
      <c r="J4144">
        <v>4</v>
      </c>
      <c r="K4144" t="s">
        <v>536</v>
      </c>
      <c r="L4144" t="s">
        <v>536</v>
      </c>
      <c r="M4144" t="s">
        <v>536</v>
      </c>
      <c r="N4144" t="s">
        <v>536</v>
      </c>
      <c r="O4144" t="s">
        <v>536</v>
      </c>
      <c r="P4144" t="s">
        <v>536</v>
      </c>
      <c r="Q4144" t="s">
        <v>1034</v>
      </c>
      <c r="R4144" t="s">
        <v>19206</v>
      </c>
      <c r="S4144" t="s">
        <v>19208</v>
      </c>
      <c r="T4144" t="s">
        <v>17620</v>
      </c>
      <c r="U4144" t="s">
        <v>19209</v>
      </c>
    </row>
    <row r="4145" spans="1:21" x14ac:dyDescent="0.25">
      <c r="A4145" t="s">
        <v>19210</v>
      </c>
      <c r="B4145" t="s">
        <v>38</v>
      </c>
      <c r="C4145" t="s">
        <v>19211</v>
      </c>
      <c r="D4145">
        <f t="shared" si="102"/>
        <v>-8787</v>
      </c>
      <c r="E4145" t="s">
        <v>1515</v>
      </c>
      <c r="F4145" t="s">
        <v>14473</v>
      </c>
      <c r="G4145" t="s">
        <v>14474</v>
      </c>
      <c r="H4145">
        <v>-70.991381689999997</v>
      </c>
      <c r="I4145">
        <v>41.641691850000001</v>
      </c>
      <c r="J4145">
        <v>35</v>
      </c>
      <c r="K4145" t="s">
        <v>536</v>
      </c>
      <c r="L4145" t="s">
        <v>536</v>
      </c>
      <c r="M4145" t="s">
        <v>536</v>
      </c>
      <c r="N4145" t="s">
        <v>536</v>
      </c>
      <c r="O4145" t="s">
        <v>536</v>
      </c>
      <c r="P4145" t="s">
        <v>536</v>
      </c>
      <c r="Q4145" t="s">
        <v>1034</v>
      </c>
      <c r="R4145" t="s">
        <v>19211</v>
      </c>
      <c r="S4145" t="s">
        <v>19212</v>
      </c>
      <c r="T4145" t="s">
        <v>17181</v>
      </c>
      <c r="U4145" t="s">
        <v>19213</v>
      </c>
    </row>
    <row r="4146" spans="1:21" x14ac:dyDescent="0.25">
      <c r="A4146" t="s">
        <v>19214</v>
      </c>
      <c r="B4146" t="s">
        <v>38</v>
      </c>
      <c r="C4146" t="s">
        <v>19215</v>
      </c>
      <c r="D4146">
        <f t="shared" si="102"/>
        <v>-8787</v>
      </c>
      <c r="E4146" t="s">
        <v>19216</v>
      </c>
      <c r="F4146" t="s">
        <v>14473</v>
      </c>
      <c r="G4146" t="s">
        <v>14474</v>
      </c>
      <c r="H4146">
        <v>-75.844307810000004</v>
      </c>
      <c r="I4146">
        <v>41.24642601</v>
      </c>
      <c r="J4146">
        <v>35</v>
      </c>
      <c r="K4146" t="s">
        <v>717</v>
      </c>
      <c r="L4146" t="s">
        <v>717</v>
      </c>
      <c r="M4146" t="s">
        <v>717</v>
      </c>
      <c r="N4146" t="s">
        <v>717</v>
      </c>
      <c r="O4146" t="s">
        <v>717</v>
      </c>
      <c r="P4146" t="s">
        <v>717</v>
      </c>
      <c r="Q4146" t="s">
        <v>1034</v>
      </c>
      <c r="R4146" t="s">
        <v>19215</v>
      </c>
      <c r="S4146" t="s">
        <v>19217</v>
      </c>
      <c r="T4146" t="s">
        <v>17270</v>
      </c>
      <c r="U4146" t="s">
        <v>19218</v>
      </c>
    </row>
    <row r="4147" spans="1:21" x14ac:dyDescent="0.25">
      <c r="A4147" t="s">
        <v>19219</v>
      </c>
      <c r="B4147" t="s">
        <v>22</v>
      </c>
      <c r="C4147" t="s">
        <v>19220</v>
      </c>
      <c r="D4147">
        <f t="shared" si="102"/>
        <v>-8787</v>
      </c>
      <c r="E4147" t="s">
        <v>17257</v>
      </c>
      <c r="F4147" t="s">
        <v>14473</v>
      </c>
      <c r="G4147" t="s">
        <v>14474</v>
      </c>
      <c r="H4147">
        <v>-77.830889519999999</v>
      </c>
      <c r="I4147">
        <v>34.242513199999998</v>
      </c>
      <c r="J4147">
        <v>35</v>
      </c>
      <c r="K4147" t="s">
        <v>45</v>
      </c>
      <c r="L4147" t="s">
        <v>45</v>
      </c>
      <c r="M4147" t="s">
        <v>45</v>
      </c>
      <c r="N4147" t="s">
        <v>45</v>
      </c>
      <c r="O4147" t="s">
        <v>45</v>
      </c>
      <c r="P4147" t="s">
        <v>45</v>
      </c>
      <c r="Q4147" t="s">
        <v>1492</v>
      </c>
      <c r="R4147" t="s">
        <v>19220</v>
      </c>
      <c r="S4147" t="s">
        <v>19221</v>
      </c>
      <c r="T4147" t="s">
        <v>17775</v>
      </c>
      <c r="U4147" t="s">
        <v>19222</v>
      </c>
    </row>
    <row r="4148" spans="1:21" x14ac:dyDescent="0.25">
      <c r="A4148" t="s">
        <v>19223</v>
      </c>
      <c r="B4148" t="s">
        <v>38</v>
      </c>
      <c r="C4148" t="s">
        <v>19224</v>
      </c>
      <c r="D4148">
        <f t="shared" si="102"/>
        <v>-8787</v>
      </c>
      <c r="E4148" t="s">
        <v>19225</v>
      </c>
      <c r="F4148" t="s">
        <v>14473</v>
      </c>
      <c r="G4148" t="s">
        <v>14474</v>
      </c>
      <c r="H4148">
        <v>-80.820396779999996</v>
      </c>
      <c r="I4148">
        <v>32.239139729999998</v>
      </c>
      <c r="J4148">
        <v>35</v>
      </c>
      <c r="K4148" t="s">
        <v>45</v>
      </c>
      <c r="L4148" t="s">
        <v>45</v>
      </c>
      <c r="M4148" t="s">
        <v>45</v>
      </c>
      <c r="N4148" t="s">
        <v>45</v>
      </c>
      <c r="O4148" t="s">
        <v>45</v>
      </c>
      <c r="P4148" t="s">
        <v>45</v>
      </c>
      <c r="Q4148" t="s">
        <v>717</v>
      </c>
      <c r="R4148" t="s">
        <v>19224</v>
      </c>
      <c r="S4148" t="s">
        <v>19226</v>
      </c>
      <c r="T4148" t="s">
        <v>18147</v>
      </c>
      <c r="U4148" t="s">
        <v>19227</v>
      </c>
    </row>
    <row r="4149" spans="1:21" x14ac:dyDescent="0.25">
      <c r="A4149" t="s">
        <v>19228</v>
      </c>
      <c r="B4149" t="s">
        <v>38</v>
      </c>
      <c r="C4149" t="s">
        <v>19229</v>
      </c>
      <c r="D4149">
        <f t="shared" si="102"/>
        <v>-8787</v>
      </c>
      <c r="E4149" t="s">
        <v>19230</v>
      </c>
      <c r="F4149" t="s">
        <v>14473</v>
      </c>
      <c r="G4149" t="s">
        <v>14474</v>
      </c>
      <c r="H4149">
        <v>-101.925449</v>
      </c>
      <c r="I4149">
        <v>33.539372</v>
      </c>
      <c r="J4149">
        <v>20</v>
      </c>
      <c r="K4149" t="s">
        <v>717</v>
      </c>
      <c r="L4149" t="s">
        <v>717</v>
      </c>
      <c r="M4149" t="s">
        <v>717</v>
      </c>
      <c r="N4149" t="s">
        <v>717</v>
      </c>
      <c r="O4149" t="s">
        <v>1035</v>
      </c>
      <c r="P4149" t="s">
        <v>1035</v>
      </c>
      <c r="Q4149" t="s">
        <v>1492</v>
      </c>
      <c r="R4149" t="s">
        <v>19229</v>
      </c>
      <c r="S4149" t="s">
        <v>19231</v>
      </c>
      <c r="T4149" t="s">
        <v>17781</v>
      </c>
      <c r="U4149" t="s">
        <v>19232</v>
      </c>
    </row>
    <row r="4150" spans="1:21" x14ac:dyDescent="0.25">
      <c r="A4150" t="s">
        <v>19233</v>
      </c>
      <c r="B4150" t="s">
        <v>22</v>
      </c>
      <c r="C4150" t="s">
        <v>19234</v>
      </c>
      <c r="D4150">
        <f t="shared" si="102"/>
        <v>-8787</v>
      </c>
      <c r="E4150" t="s">
        <v>19235</v>
      </c>
      <c r="F4150" t="s">
        <v>14473</v>
      </c>
      <c r="G4150" t="s">
        <v>14474</v>
      </c>
      <c r="H4150">
        <v>-106.0148217</v>
      </c>
      <c r="I4150">
        <v>35.63617816</v>
      </c>
      <c r="J4150">
        <v>10</v>
      </c>
      <c r="K4150" t="s">
        <v>717</v>
      </c>
      <c r="L4150" t="s">
        <v>717</v>
      </c>
      <c r="M4150" t="s">
        <v>717</v>
      </c>
      <c r="N4150" t="s">
        <v>717</v>
      </c>
      <c r="O4150" t="s">
        <v>717</v>
      </c>
      <c r="P4150" t="s">
        <v>717</v>
      </c>
      <c r="Q4150" t="s">
        <v>1492</v>
      </c>
      <c r="R4150" t="s">
        <v>19234</v>
      </c>
      <c r="S4150" t="s">
        <v>19236</v>
      </c>
      <c r="T4150" t="s">
        <v>18366</v>
      </c>
      <c r="U4150" t="s">
        <v>19237</v>
      </c>
    </row>
    <row r="4151" spans="1:21" x14ac:dyDescent="0.25">
      <c r="A4151" t="s">
        <v>19238</v>
      </c>
      <c r="B4151" t="s">
        <v>38</v>
      </c>
      <c r="C4151" t="s">
        <v>19239</v>
      </c>
      <c r="D4151">
        <f t="shared" si="102"/>
        <v>-8787</v>
      </c>
      <c r="E4151" t="s">
        <v>8014</v>
      </c>
      <c r="F4151" t="s">
        <v>14473</v>
      </c>
      <c r="G4151" t="s">
        <v>14474</v>
      </c>
      <c r="H4151">
        <v>-86.595637499999995</v>
      </c>
      <c r="I4151">
        <v>33.548946149999999</v>
      </c>
      <c r="J4151">
        <v>20</v>
      </c>
      <c r="K4151" t="s">
        <v>717</v>
      </c>
      <c r="L4151" t="s">
        <v>717</v>
      </c>
      <c r="M4151" t="s">
        <v>717</v>
      </c>
      <c r="N4151" t="s">
        <v>717</v>
      </c>
      <c r="O4151" t="s">
        <v>717</v>
      </c>
      <c r="P4151" t="s">
        <v>717</v>
      </c>
      <c r="Q4151" t="s">
        <v>1492</v>
      </c>
      <c r="R4151" t="s">
        <v>19239</v>
      </c>
      <c r="S4151" t="s">
        <v>19240</v>
      </c>
      <c r="T4151" t="s">
        <v>18064</v>
      </c>
      <c r="U4151" t="s">
        <v>19241</v>
      </c>
    </row>
    <row r="4152" spans="1:21" x14ac:dyDescent="0.25">
      <c r="A4152" t="s">
        <v>19242</v>
      </c>
      <c r="B4152" t="s">
        <v>38</v>
      </c>
      <c r="C4152" t="s">
        <v>19243</v>
      </c>
      <c r="D4152">
        <f t="shared" si="102"/>
        <v>-8787</v>
      </c>
      <c r="E4152" t="s">
        <v>19244</v>
      </c>
      <c r="F4152" t="s">
        <v>14473</v>
      </c>
      <c r="G4152" t="s">
        <v>14474</v>
      </c>
      <c r="H4152">
        <v>-93.953785330000002</v>
      </c>
      <c r="I4152">
        <v>44.172842879999997</v>
      </c>
      <c r="J4152">
        <v>20</v>
      </c>
      <c r="K4152" t="s">
        <v>45</v>
      </c>
      <c r="L4152" t="s">
        <v>45</v>
      </c>
      <c r="M4152" t="s">
        <v>45</v>
      </c>
      <c r="N4152" t="s">
        <v>45</v>
      </c>
      <c r="O4152" t="s">
        <v>45</v>
      </c>
      <c r="P4152" t="s">
        <v>45</v>
      </c>
      <c r="Q4152" t="s">
        <v>1034</v>
      </c>
      <c r="R4152" t="s">
        <v>19243</v>
      </c>
      <c r="S4152" t="s">
        <v>19245</v>
      </c>
      <c r="T4152" t="s">
        <v>17769</v>
      </c>
      <c r="U4152" t="s">
        <v>19246</v>
      </c>
    </row>
    <row r="4153" spans="1:21" x14ac:dyDescent="0.25">
      <c r="A4153" t="s">
        <v>19247</v>
      </c>
      <c r="B4153" t="s">
        <v>22</v>
      </c>
      <c r="C4153" t="s">
        <v>19248</v>
      </c>
      <c r="D4153">
        <f t="shared" si="102"/>
        <v>-8787</v>
      </c>
      <c r="E4153" t="s">
        <v>19249</v>
      </c>
      <c r="F4153" t="s">
        <v>14473</v>
      </c>
      <c r="G4153" t="s">
        <v>14474</v>
      </c>
      <c r="H4153">
        <v>-97.129451000000003</v>
      </c>
      <c r="I4153">
        <v>32.681345090000001</v>
      </c>
      <c r="J4153">
        <v>20</v>
      </c>
      <c r="K4153" t="s">
        <v>1035</v>
      </c>
      <c r="L4153" t="s">
        <v>1035</v>
      </c>
      <c r="M4153" t="s">
        <v>1035</v>
      </c>
      <c r="N4153" t="s">
        <v>1035</v>
      </c>
      <c r="O4153" t="s">
        <v>1035</v>
      </c>
      <c r="P4153" t="s">
        <v>1035</v>
      </c>
      <c r="Q4153" t="s">
        <v>1492</v>
      </c>
      <c r="R4153" t="s">
        <v>19248</v>
      </c>
      <c r="S4153" t="s">
        <v>19250</v>
      </c>
      <c r="T4153" t="s">
        <v>17781</v>
      </c>
      <c r="U4153" t="s">
        <v>19251</v>
      </c>
    </row>
    <row r="4154" spans="1:21" x14ac:dyDescent="0.25">
      <c r="A4154" t="s">
        <v>19252</v>
      </c>
      <c r="B4154" t="s">
        <v>22</v>
      </c>
      <c r="C4154" t="s">
        <v>19253</v>
      </c>
      <c r="D4154">
        <f>855-466-7467</f>
        <v>-7078</v>
      </c>
      <c r="E4154" t="s">
        <v>17279</v>
      </c>
      <c r="F4154" t="s">
        <v>14473</v>
      </c>
      <c r="G4154" t="s">
        <v>14474</v>
      </c>
      <c r="H4154">
        <v>-75.165221500000001</v>
      </c>
      <c r="I4154">
        <v>39.9525839</v>
      </c>
      <c r="J4154">
        <v>35</v>
      </c>
      <c r="K4154" t="s">
        <v>717</v>
      </c>
      <c r="L4154" t="s">
        <v>717</v>
      </c>
      <c r="M4154" t="s">
        <v>717</v>
      </c>
      <c r="N4154" t="s">
        <v>717</v>
      </c>
      <c r="O4154" t="s">
        <v>717</v>
      </c>
      <c r="P4154" t="s">
        <v>717</v>
      </c>
      <c r="Q4154" t="s">
        <v>1034</v>
      </c>
      <c r="R4154" t="s">
        <v>19253</v>
      </c>
      <c r="S4154" t="s">
        <v>19254</v>
      </c>
      <c r="T4154" t="s">
        <v>17270</v>
      </c>
      <c r="U4154" t="s">
        <v>19255</v>
      </c>
    </row>
    <row r="4155" spans="1:21" x14ac:dyDescent="0.25">
      <c r="A4155" t="s">
        <v>19256</v>
      </c>
      <c r="B4155" t="s">
        <v>38</v>
      </c>
      <c r="C4155" t="s">
        <v>19257</v>
      </c>
      <c r="D4155">
        <f t="shared" ref="D4155:D4165" si="103">1-855-466-7467</f>
        <v>-8787</v>
      </c>
      <c r="E4155" t="s">
        <v>19258</v>
      </c>
      <c r="F4155" t="s">
        <v>14473</v>
      </c>
      <c r="G4155" t="s">
        <v>14474</v>
      </c>
      <c r="H4155">
        <v>-95.301062400000006</v>
      </c>
      <c r="I4155">
        <v>32.351260099999998</v>
      </c>
      <c r="J4155">
        <v>20</v>
      </c>
      <c r="K4155" t="s">
        <v>536</v>
      </c>
      <c r="L4155" t="s">
        <v>536</v>
      </c>
      <c r="M4155" t="s">
        <v>536</v>
      </c>
      <c r="N4155" t="s">
        <v>536</v>
      </c>
      <c r="O4155" t="s">
        <v>536</v>
      </c>
      <c r="P4155" t="s">
        <v>536</v>
      </c>
      <c r="Q4155" t="s">
        <v>717</v>
      </c>
      <c r="R4155" t="s">
        <v>19257</v>
      </c>
      <c r="S4155" t="s">
        <v>19259</v>
      </c>
      <c r="T4155" t="s">
        <v>17781</v>
      </c>
      <c r="U4155" t="s">
        <v>19260</v>
      </c>
    </row>
    <row r="4156" spans="1:21" x14ac:dyDescent="0.25">
      <c r="A4156" t="s">
        <v>19261</v>
      </c>
      <c r="B4156" t="s">
        <v>22</v>
      </c>
      <c r="C4156" t="s">
        <v>19262</v>
      </c>
      <c r="D4156">
        <f t="shared" si="103"/>
        <v>-8787</v>
      </c>
      <c r="E4156" t="s">
        <v>19263</v>
      </c>
      <c r="F4156" t="s">
        <v>14473</v>
      </c>
      <c r="G4156" t="s">
        <v>14474</v>
      </c>
      <c r="H4156">
        <v>-83.768026000000006</v>
      </c>
      <c r="I4156">
        <v>42.981105999999997</v>
      </c>
      <c r="J4156">
        <v>35</v>
      </c>
      <c r="K4156" t="s">
        <v>1035</v>
      </c>
      <c r="L4156" t="s">
        <v>1035</v>
      </c>
      <c r="M4156" t="s">
        <v>1035</v>
      </c>
      <c r="N4156" t="s">
        <v>1035</v>
      </c>
      <c r="O4156" t="s">
        <v>1035</v>
      </c>
      <c r="P4156" t="s">
        <v>1035</v>
      </c>
      <c r="Q4156" t="s">
        <v>1492</v>
      </c>
      <c r="R4156" t="s">
        <v>19262</v>
      </c>
      <c r="S4156" t="s">
        <v>19264</v>
      </c>
      <c r="T4156" t="s">
        <v>17546</v>
      </c>
      <c r="U4156" t="s">
        <v>19265</v>
      </c>
    </row>
    <row r="4157" spans="1:21" x14ac:dyDescent="0.25">
      <c r="A4157" t="s">
        <v>19266</v>
      </c>
      <c r="B4157" t="s">
        <v>38</v>
      </c>
      <c r="C4157" t="s">
        <v>19267</v>
      </c>
      <c r="D4157">
        <f t="shared" si="103"/>
        <v>-8787</v>
      </c>
      <c r="E4157" t="s">
        <v>19268</v>
      </c>
      <c r="F4157" t="s">
        <v>14473</v>
      </c>
      <c r="G4157" t="s">
        <v>14474</v>
      </c>
      <c r="H4157">
        <v>-83.600753569999995</v>
      </c>
      <c r="I4157">
        <v>39.620896020000004</v>
      </c>
      <c r="J4157">
        <v>35</v>
      </c>
      <c r="K4157" t="s">
        <v>1035</v>
      </c>
      <c r="L4157" t="s">
        <v>1035</v>
      </c>
      <c r="M4157" t="s">
        <v>1035</v>
      </c>
      <c r="N4157" t="s">
        <v>1035</v>
      </c>
      <c r="O4157" t="s">
        <v>1035</v>
      </c>
      <c r="P4157" t="s">
        <v>1035</v>
      </c>
      <c r="Q4157" t="s">
        <v>717</v>
      </c>
      <c r="R4157" t="s">
        <v>19267</v>
      </c>
      <c r="S4157" t="s">
        <v>19269</v>
      </c>
      <c r="T4157" t="s">
        <v>17419</v>
      </c>
      <c r="U4157" t="s">
        <v>19270</v>
      </c>
    </row>
    <row r="4158" spans="1:21" x14ac:dyDescent="0.25">
      <c r="A4158" t="s">
        <v>19271</v>
      </c>
      <c r="B4158" t="s">
        <v>38</v>
      </c>
      <c r="C4158" t="s">
        <v>19272</v>
      </c>
      <c r="D4158">
        <f t="shared" si="103"/>
        <v>-8787</v>
      </c>
      <c r="E4158" t="s">
        <v>17423</v>
      </c>
      <c r="F4158" t="s">
        <v>14473</v>
      </c>
      <c r="G4158" t="s">
        <v>14474</v>
      </c>
      <c r="H4158">
        <v>-89.304922000000005</v>
      </c>
      <c r="I4158">
        <v>43.12547</v>
      </c>
      <c r="J4158">
        <v>20</v>
      </c>
      <c r="K4158" t="s">
        <v>717</v>
      </c>
      <c r="L4158" t="s">
        <v>717</v>
      </c>
      <c r="M4158" t="s">
        <v>717</v>
      </c>
      <c r="N4158" t="s">
        <v>717</v>
      </c>
      <c r="O4158" t="s">
        <v>1035</v>
      </c>
      <c r="P4158" t="s">
        <v>1035</v>
      </c>
      <c r="Q4158" t="s">
        <v>1034</v>
      </c>
      <c r="R4158" t="s">
        <v>19272</v>
      </c>
      <c r="S4158" t="s">
        <v>19273</v>
      </c>
      <c r="T4158" t="s">
        <v>17409</v>
      </c>
      <c r="U4158" t="s">
        <v>19274</v>
      </c>
    </row>
    <row r="4159" spans="1:21" x14ac:dyDescent="0.25">
      <c r="A4159" t="s">
        <v>19275</v>
      </c>
      <c r="B4159" t="s">
        <v>38</v>
      </c>
      <c r="C4159" t="s">
        <v>19276</v>
      </c>
      <c r="D4159">
        <f t="shared" si="103"/>
        <v>-8787</v>
      </c>
      <c r="E4159" t="s">
        <v>19277</v>
      </c>
      <c r="F4159" t="s">
        <v>14473</v>
      </c>
      <c r="G4159" t="s">
        <v>14474</v>
      </c>
      <c r="H4159">
        <v>-83.998893629999998</v>
      </c>
      <c r="I4159">
        <v>42.622577730000003</v>
      </c>
      <c r="J4159">
        <v>35</v>
      </c>
      <c r="K4159" t="s">
        <v>45</v>
      </c>
      <c r="L4159" t="s">
        <v>45</v>
      </c>
      <c r="M4159" t="s">
        <v>45</v>
      </c>
      <c r="N4159" t="s">
        <v>45</v>
      </c>
      <c r="O4159" t="s">
        <v>45</v>
      </c>
      <c r="P4159" t="s">
        <v>45</v>
      </c>
      <c r="Q4159" t="s">
        <v>717</v>
      </c>
      <c r="R4159" t="s">
        <v>19276</v>
      </c>
      <c r="S4159" t="s">
        <v>19278</v>
      </c>
      <c r="T4159" t="s">
        <v>17546</v>
      </c>
      <c r="U4159" t="s">
        <v>19279</v>
      </c>
    </row>
    <row r="4160" spans="1:21" x14ac:dyDescent="0.25">
      <c r="A4160" t="s">
        <v>19280</v>
      </c>
      <c r="B4160" t="s">
        <v>38</v>
      </c>
      <c r="C4160" t="s">
        <v>19281</v>
      </c>
      <c r="D4160">
        <f t="shared" si="103"/>
        <v>-8787</v>
      </c>
      <c r="E4160" t="s">
        <v>17311</v>
      </c>
      <c r="F4160" t="s">
        <v>14473</v>
      </c>
      <c r="G4160" t="s">
        <v>14474</v>
      </c>
      <c r="H4160">
        <v>-87.737776999999994</v>
      </c>
      <c r="I4160">
        <v>41.756157999999999</v>
      </c>
      <c r="J4160">
        <v>20</v>
      </c>
      <c r="K4160" t="s">
        <v>717</v>
      </c>
      <c r="L4160" t="s">
        <v>717</v>
      </c>
      <c r="M4160" t="s">
        <v>717</v>
      </c>
      <c r="N4160" t="s">
        <v>717</v>
      </c>
      <c r="O4160" t="s">
        <v>717</v>
      </c>
      <c r="P4160" t="s">
        <v>717</v>
      </c>
      <c r="Q4160" t="s">
        <v>1289</v>
      </c>
      <c r="R4160" t="s">
        <v>19281</v>
      </c>
      <c r="S4160" t="s">
        <v>19282</v>
      </c>
      <c r="T4160" t="s">
        <v>17313</v>
      </c>
      <c r="U4160" t="s">
        <v>19283</v>
      </c>
    </row>
    <row r="4161" spans="1:21" x14ac:dyDescent="0.25">
      <c r="A4161" t="s">
        <v>19284</v>
      </c>
      <c r="B4161" t="s">
        <v>38</v>
      </c>
      <c r="C4161" t="s">
        <v>19285</v>
      </c>
      <c r="D4161">
        <f t="shared" si="103"/>
        <v>-8787</v>
      </c>
      <c r="E4161" t="s">
        <v>19286</v>
      </c>
      <c r="F4161" t="s">
        <v>14473</v>
      </c>
      <c r="G4161" t="s">
        <v>14474</v>
      </c>
      <c r="H4161">
        <v>-79.762562500000001</v>
      </c>
      <c r="I4161">
        <v>34.195433100000002</v>
      </c>
      <c r="J4161">
        <v>35</v>
      </c>
      <c r="K4161" t="s">
        <v>717</v>
      </c>
      <c r="L4161" t="s">
        <v>717</v>
      </c>
      <c r="M4161" t="s">
        <v>717</v>
      </c>
      <c r="N4161" t="s">
        <v>717</v>
      </c>
      <c r="O4161" t="s">
        <v>717</v>
      </c>
      <c r="P4161" t="s">
        <v>717</v>
      </c>
      <c r="Q4161" t="s">
        <v>717</v>
      </c>
      <c r="R4161" t="s">
        <v>19285</v>
      </c>
      <c r="S4161" t="s">
        <v>19287</v>
      </c>
      <c r="T4161" t="s">
        <v>18147</v>
      </c>
      <c r="U4161" t="s">
        <v>19288</v>
      </c>
    </row>
    <row r="4162" spans="1:21" x14ac:dyDescent="0.25">
      <c r="A4162" t="s">
        <v>19289</v>
      </c>
      <c r="B4162" t="s">
        <v>38</v>
      </c>
      <c r="C4162" t="s">
        <v>2544</v>
      </c>
      <c r="D4162">
        <f t="shared" si="103"/>
        <v>-8787</v>
      </c>
      <c r="E4162" t="s">
        <v>19290</v>
      </c>
      <c r="F4162" t="s">
        <v>14473</v>
      </c>
      <c r="G4162" t="s">
        <v>14474</v>
      </c>
      <c r="H4162">
        <v>-122.936155</v>
      </c>
      <c r="I4162">
        <v>47.041992</v>
      </c>
      <c r="J4162">
        <v>4</v>
      </c>
      <c r="K4162" t="s">
        <v>535</v>
      </c>
      <c r="L4162" t="s">
        <v>535</v>
      </c>
      <c r="M4162" t="s">
        <v>535</v>
      </c>
      <c r="N4162" t="s">
        <v>535</v>
      </c>
      <c r="O4162" t="s">
        <v>535</v>
      </c>
      <c r="P4162" t="s">
        <v>535</v>
      </c>
      <c r="Q4162" t="s">
        <v>1492</v>
      </c>
      <c r="R4162" t="s">
        <v>2544</v>
      </c>
      <c r="S4162" t="s">
        <v>19291</v>
      </c>
      <c r="T4162" t="s">
        <v>17620</v>
      </c>
      <c r="U4162" t="s">
        <v>19292</v>
      </c>
    </row>
    <row r="4163" spans="1:21" x14ac:dyDescent="0.25">
      <c r="A4163" t="s">
        <v>19293</v>
      </c>
      <c r="B4163" t="s">
        <v>22</v>
      </c>
      <c r="C4163" t="s">
        <v>19294</v>
      </c>
      <c r="D4163">
        <f t="shared" si="103"/>
        <v>-8787</v>
      </c>
      <c r="E4163" t="s">
        <v>19295</v>
      </c>
      <c r="F4163" t="s">
        <v>14473</v>
      </c>
      <c r="G4163" t="s">
        <v>14474</v>
      </c>
      <c r="H4163">
        <v>-70.334346999999994</v>
      </c>
      <c r="I4163">
        <v>43.633133999999998</v>
      </c>
      <c r="J4163">
        <v>35</v>
      </c>
      <c r="K4163" t="s">
        <v>535</v>
      </c>
      <c r="L4163" t="s">
        <v>535</v>
      </c>
      <c r="M4163" t="s">
        <v>535</v>
      </c>
      <c r="N4163" t="s">
        <v>535</v>
      </c>
      <c r="O4163" t="s">
        <v>535</v>
      </c>
      <c r="P4163" t="s">
        <v>535</v>
      </c>
      <c r="Q4163" t="s">
        <v>1034</v>
      </c>
      <c r="R4163" t="s">
        <v>19294</v>
      </c>
      <c r="S4163" t="s">
        <v>19296</v>
      </c>
      <c r="T4163" t="s">
        <v>19297</v>
      </c>
      <c r="U4163" t="s">
        <v>19298</v>
      </c>
    </row>
    <row r="4164" spans="1:21" x14ac:dyDescent="0.25">
      <c r="A4164" t="s">
        <v>19299</v>
      </c>
      <c r="B4164" t="s">
        <v>38</v>
      </c>
      <c r="C4164" t="s">
        <v>19300</v>
      </c>
      <c r="D4164">
        <f t="shared" si="103"/>
        <v>-8787</v>
      </c>
      <c r="E4164" t="s">
        <v>19301</v>
      </c>
      <c r="F4164" t="s">
        <v>14473</v>
      </c>
      <c r="G4164" t="s">
        <v>14474</v>
      </c>
      <c r="H4164">
        <v>-97.743060799999895</v>
      </c>
      <c r="I4164">
        <v>30.267153</v>
      </c>
      <c r="J4164">
        <v>20</v>
      </c>
      <c r="K4164" t="s">
        <v>1035</v>
      </c>
      <c r="L4164" t="s">
        <v>1035</v>
      </c>
      <c r="M4164" t="s">
        <v>1035</v>
      </c>
      <c r="N4164" t="s">
        <v>1035</v>
      </c>
      <c r="O4164" t="s">
        <v>536</v>
      </c>
      <c r="P4164" t="s">
        <v>536</v>
      </c>
      <c r="Q4164" t="s">
        <v>1492</v>
      </c>
      <c r="R4164" t="s">
        <v>19300</v>
      </c>
      <c r="S4164" t="s">
        <v>19302</v>
      </c>
      <c r="T4164" t="s">
        <v>17781</v>
      </c>
      <c r="U4164" t="s">
        <v>19303</v>
      </c>
    </row>
    <row r="4165" spans="1:21" x14ac:dyDescent="0.25">
      <c r="A4165" t="s">
        <v>19304</v>
      </c>
      <c r="B4165" t="s">
        <v>22</v>
      </c>
      <c r="C4165" t="s">
        <v>19305</v>
      </c>
      <c r="D4165">
        <f t="shared" si="103"/>
        <v>-8787</v>
      </c>
      <c r="E4165" t="s">
        <v>19306</v>
      </c>
      <c r="F4165" t="s">
        <v>14473</v>
      </c>
      <c r="G4165" t="s">
        <v>14474</v>
      </c>
      <c r="H4165">
        <v>-116.5471106</v>
      </c>
      <c r="I4165">
        <v>33.823426140000002</v>
      </c>
      <c r="J4165">
        <v>4</v>
      </c>
      <c r="K4165" t="s">
        <v>717</v>
      </c>
      <c r="L4165" t="s">
        <v>717</v>
      </c>
      <c r="M4165" t="s">
        <v>717</v>
      </c>
      <c r="N4165" t="s">
        <v>717</v>
      </c>
      <c r="O4165" t="s">
        <v>717</v>
      </c>
      <c r="P4165" t="s">
        <v>717</v>
      </c>
      <c r="Q4165" t="s">
        <v>1034</v>
      </c>
      <c r="R4165" t="s">
        <v>19305</v>
      </c>
      <c r="S4165" t="s">
        <v>19307</v>
      </c>
      <c r="T4165" t="s">
        <v>17372</v>
      </c>
      <c r="U4165" t="s">
        <v>19308</v>
      </c>
    </row>
    <row r="4166" spans="1:21" x14ac:dyDescent="0.25">
      <c r="A4166" t="s">
        <v>19309</v>
      </c>
      <c r="B4166" t="s">
        <v>22</v>
      </c>
      <c r="C4166" t="s">
        <v>19310</v>
      </c>
      <c r="D4166">
        <f>1-8554667467</f>
        <v>-8554667466</v>
      </c>
      <c r="E4166" t="s">
        <v>8919</v>
      </c>
      <c r="F4166" t="s">
        <v>14473</v>
      </c>
      <c r="G4166" t="s">
        <v>14474</v>
      </c>
      <c r="H4166">
        <v>-78.943342999999999</v>
      </c>
      <c r="I4166">
        <v>35.90504</v>
      </c>
      <c r="J4166">
        <v>35</v>
      </c>
      <c r="K4166" t="s">
        <v>1035</v>
      </c>
      <c r="L4166" t="s">
        <v>1035</v>
      </c>
      <c r="M4166" t="s">
        <v>1035</v>
      </c>
      <c r="N4166" t="s">
        <v>1035</v>
      </c>
      <c r="O4166" t="s">
        <v>1035</v>
      </c>
      <c r="P4166" t="s">
        <v>1035</v>
      </c>
      <c r="Q4166" t="s">
        <v>17207</v>
      </c>
      <c r="R4166" t="s">
        <v>19310</v>
      </c>
      <c r="S4166" t="s">
        <v>19311</v>
      </c>
      <c r="T4166" t="s">
        <v>17775</v>
      </c>
      <c r="U4166" t="s">
        <v>19312</v>
      </c>
    </row>
    <row r="4167" spans="1:21" x14ac:dyDescent="0.25">
      <c r="A4167" t="s">
        <v>19313</v>
      </c>
      <c r="B4167" t="s">
        <v>38</v>
      </c>
      <c r="C4167" t="s">
        <v>19314</v>
      </c>
      <c r="D4167">
        <f t="shared" ref="D4167:D4183" si="104">1-855-466-7467</f>
        <v>-8787</v>
      </c>
      <c r="E4167" t="s">
        <v>18120</v>
      </c>
      <c r="F4167" t="s">
        <v>14473</v>
      </c>
      <c r="G4167" t="s">
        <v>14474</v>
      </c>
      <c r="H4167">
        <v>-117.4093737</v>
      </c>
      <c r="I4167">
        <v>47.703006469999998</v>
      </c>
      <c r="J4167">
        <v>4</v>
      </c>
      <c r="K4167" t="s">
        <v>1035</v>
      </c>
      <c r="L4167" t="s">
        <v>1035</v>
      </c>
      <c r="M4167" t="s">
        <v>1035</v>
      </c>
      <c r="N4167" t="s">
        <v>1035</v>
      </c>
      <c r="O4167" t="s">
        <v>1035</v>
      </c>
      <c r="P4167" t="s">
        <v>1035</v>
      </c>
      <c r="Q4167" t="s">
        <v>1034</v>
      </c>
      <c r="R4167" t="s">
        <v>19314</v>
      </c>
      <c r="S4167" t="s">
        <v>19315</v>
      </c>
      <c r="T4167" t="s">
        <v>17620</v>
      </c>
      <c r="U4167" t="s">
        <v>19316</v>
      </c>
    </row>
    <row r="4168" spans="1:21" x14ac:dyDescent="0.25">
      <c r="A4168" t="s">
        <v>19317</v>
      </c>
      <c r="B4168" t="s">
        <v>22</v>
      </c>
      <c r="C4168" t="s">
        <v>19318</v>
      </c>
      <c r="D4168">
        <f t="shared" si="104"/>
        <v>-8787</v>
      </c>
      <c r="E4168" t="s">
        <v>19319</v>
      </c>
      <c r="F4168" t="s">
        <v>14473</v>
      </c>
      <c r="G4168" t="s">
        <v>14474</v>
      </c>
      <c r="H4168">
        <v>-118.34928240000001</v>
      </c>
      <c r="I4168">
        <v>33.832930439999998</v>
      </c>
      <c r="J4168">
        <v>4</v>
      </c>
      <c r="K4168" t="s">
        <v>717</v>
      </c>
      <c r="L4168" t="s">
        <v>717</v>
      </c>
      <c r="M4168" t="s">
        <v>717</v>
      </c>
      <c r="N4168" t="s">
        <v>717</v>
      </c>
      <c r="O4168" t="s">
        <v>45</v>
      </c>
      <c r="P4168" t="s">
        <v>536</v>
      </c>
      <c r="Q4168" t="s">
        <v>717</v>
      </c>
      <c r="R4168" t="s">
        <v>19318</v>
      </c>
      <c r="S4168" t="s">
        <v>19320</v>
      </c>
      <c r="T4168" t="s">
        <v>17372</v>
      </c>
      <c r="U4168" t="s">
        <v>19321</v>
      </c>
    </row>
    <row r="4169" spans="1:21" x14ac:dyDescent="0.25">
      <c r="A4169" t="s">
        <v>19322</v>
      </c>
      <c r="B4169" t="s">
        <v>32</v>
      </c>
      <c r="C4169" t="s">
        <v>19323</v>
      </c>
      <c r="D4169">
        <f t="shared" si="104"/>
        <v>-8787</v>
      </c>
      <c r="E4169" t="s">
        <v>17274</v>
      </c>
      <c r="F4169" t="s">
        <v>14473</v>
      </c>
      <c r="G4169" t="s">
        <v>14474</v>
      </c>
      <c r="H4169">
        <v>-73.988290800000001</v>
      </c>
      <c r="I4169">
        <v>40.749799099999997</v>
      </c>
      <c r="J4169">
        <v>35</v>
      </c>
      <c r="K4169" t="s">
        <v>3543</v>
      </c>
      <c r="L4169" t="s">
        <v>3543</v>
      </c>
      <c r="M4169" t="s">
        <v>3543</v>
      </c>
      <c r="N4169" t="s">
        <v>3543</v>
      </c>
      <c r="O4169" t="s">
        <v>12293</v>
      </c>
      <c r="P4169" t="s">
        <v>12293</v>
      </c>
      <c r="Q4169" t="s">
        <v>27</v>
      </c>
      <c r="R4169" t="s">
        <v>19323</v>
      </c>
      <c r="S4169" t="s">
        <v>19324</v>
      </c>
      <c r="T4169" t="s">
        <v>17165</v>
      </c>
      <c r="U4169" t="s">
        <v>19325</v>
      </c>
    </row>
    <row r="4170" spans="1:21" x14ac:dyDescent="0.25">
      <c r="A4170" t="s">
        <v>19326</v>
      </c>
      <c r="B4170" t="s">
        <v>22</v>
      </c>
      <c r="C4170" t="s">
        <v>19327</v>
      </c>
      <c r="D4170">
        <f t="shared" si="104"/>
        <v>-8787</v>
      </c>
      <c r="E4170" t="s">
        <v>19328</v>
      </c>
      <c r="F4170" t="s">
        <v>14473</v>
      </c>
      <c r="G4170" t="s">
        <v>14474</v>
      </c>
      <c r="H4170">
        <v>-85.158860000000004</v>
      </c>
      <c r="I4170">
        <v>35.034557999999997</v>
      </c>
      <c r="J4170">
        <v>35</v>
      </c>
      <c r="K4170" t="s">
        <v>717</v>
      </c>
      <c r="L4170" t="s">
        <v>717</v>
      </c>
      <c r="M4170" t="s">
        <v>717</v>
      </c>
      <c r="N4170" t="s">
        <v>717</v>
      </c>
      <c r="O4170" t="s">
        <v>717</v>
      </c>
      <c r="P4170" t="s">
        <v>717</v>
      </c>
      <c r="Q4170" t="s">
        <v>1492</v>
      </c>
      <c r="R4170" t="s">
        <v>19327</v>
      </c>
      <c r="S4170" t="s">
        <v>19329</v>
      </c>
      <c r="T4170" t="s">
        <v>18316</v>
      </c>
      <c r="U4170" t="s">
        <v>19330</v>
      </c>
    </row>
    <row r="4171" spans="1:21" x14ac:dyDescent="0.25">
      <c r="A4171" t="s">
        <v>19331</v>
      </c>
      <c r="B4171" t="s">
        <v>38</v>
      </c>
      <c r="C4171" t="s">
        <v>19332</v>
      </c>
      <c r="D4171">
        <f t="shared" si="104"/>
        <v>-8787</v>
      </c>
      <c r="E4171" t="s">
        <v>17687</v>
      </c>
      <c r="F4171" t="s">
        <v>14473</v>
      </c>
      <c r="G4171" t="s">
        <v>14474</v>
      </c>
      <c r="H4171">
        <v>-104.8922386</v>
      </c>
      <c r="I4171">
        <v>39.783171369999998</v>
      </c>
      <c r="J4171">
        <v>10</v>
      </c>
      <c r="K4171" t="s">
        <v>45</v>
      </c>
      <c r="L4171" t="s">
        <v>45</v>
      </c>
      <c r="M4171" t="s">
        <v>45</v>
      </c>
      <c r="N4171" t="s">
        <v>45</v>
      </c>
      <c r="O4171" t="s">
        <v>45</v>
      </c>
      <c r="P4171" t="s">
        <v>45</v>
      </c>
      <c r="Q4171" t="s">
        <v>1492</v>
      </c>
      <c r="R4171" t="s">
        <v>19332</v>
      </c>
      <c r="S4171" t="s">
        <v>19333</v>
      </c>
      <c r="T4171" t="s">
        <v>17689</v>
      </c>
      <c r="U4171" t="s">
        <v>19334</v>
      </c>
    </row>
    <row r="4172" spans="1:21" x14ac:dyDescent="0.25">
      <c r="A4172" t="s">
        <v>19335</v>
      </c>
      <c r="B4172" t="s">
        <v>38</v>
      </c>
      <c r="C4172" t="s">
        <v>19336</v>
      </c>
      <c r="D4172">
        <f t="shared" si="104"/>
        <v>-8787</v>
      </c>
      <c r="E4172" t="s">
        <v>17451</v>
      </c>
      <c r="F4172" t="s">
        <v>14473</v>
      </c>
      <c r="G4172" t="s">
        <v>14474</v>
      </c>
      <c r="H4172">
        <v>-80.159311099999996</v>
      </c>
      <c r="I4172">
        <v>40.454451800000001</v>
      </c>
      <c r="J4172">
        <v>35</v>
      </c>
      <c r="K4172" t="s">
        <v>717</v>
      </c>
      <c r="L4172" t="s">
        <v>717</v>
      </c>
      <c r="M4172" t="s">
        <v>717</v>
      </c>
      <c r="N4172" t="s">
        <v>717</v>
      </c>
      <c r="O4172" t="s">
        <v>717</v>
      </c>
      <c r="P4172" t="s">
        <v>717</v>
      </c>
      <c r="Q4172" t="s">
        <v>1034</v>
      </c>
      <c r="R4172" t="s">
        <v>19336</v>
      </c>
      <c r="S4172" t="s">
        <v>19337</v>
      </c>
      <c r="T4172" t="s">
        <v>17270</v>
      </c>
      <c r="U4172" t="s">
        <v>19338</v>
      </c>
    </row>
    <row r="4173" spans="1:21" x14ac:dyDescent="0.25">
      <c r="A4173" t="s">
        <v>19339</v>
      </c>
      <c r="B4173" t="s">
        <v>38</v>
      </c>
      <c r="C4173" t="s">
        <v>18525</v>
      </c>
      <c r="D4173">
        <f t="shared" si="104"/>
        <v>-8787</v>
      </c>
      <c r="E4173" t="s">
        <v>19340</v>
      </c>
      <c r="F4173" t="s">
        <v>14473</v>
      </c>
      <c r="G4173" t="s">
        <v>14474</v>
      </c>
      <c r="H4173">
        <v>-94.47457369</v>
      </c>
      <c r="I4173">
        <v>37.090934650000001</v>
      </c>
      <c r="J4173">
        <v>20</v>
      </c>
      <c r="K4173" t="s">
        <v>45</v>
      </c>
      <c r="L4173" t="s">
        <v>45</v>
      </c>
      <c r="M4173" t="s">
        <v>45</v>
      </c>
      <c r="N4173" t="s">
        <v>45</v>
      </c>
      <c r="O4173" t="s">
        <v>45</v>
      </c>
      <c r="P4173" t="s">
        <v>45</v>
      </c>
      <c r="Q4173" t="s">
        <v>1492</v>
      </c>
      <c r="R4173" t="s">
        <v>18525</v>
      </c>
      <c r="S4173" t="s">
        <v>19341</v>
      </c>
      <c r="T4173" t="s">
        <v>17393</v>
      </c>
      <c r="U4173" t="s">
        <v>19342</v>
      </c>
    </row>
    <row r="4174" spans="1:21" x14ac:dyDescent="0.25">
      <c r="A4174" t="s">
        <v>19343</v>
      </c>
      <c r="B4174" t="s">
        <v>22</v>
      </c>
      <c r="C4174" t="s">
        <v>19344</v>
      </c>
      <c r="D4174">
        <f t="shared" si="104"/>
        <v>-8787</v>
      </c>
      <c r="E4174" t="s">
        <v>19345</v>
      </c>
      <c r="F4174" t="s">
        <v>14473</v>
      </c>
      <c r="G4174" t="s">
        <v>14474</v>
      </c>
      <c r="H4174">
        <v>-92.343091000000001</v>
      </c>
      <c r="I4174">
        <v>34.753373000000003</v>
      </c>
      <c r="J4174">
        <v>20</v>
      </c>
      <c r="K4174" t="s">
        <v>536</v>
      </c>
      <c r="L4174" t="s">
        <v>536</v>
      </c>
      <c r="M4174" t="s">
        <v>536</v>
      </c>
      <c r="N4174" t="s">
        <v>536</v>
      </c>
      <c r="O4174" t="s">
        <v>536</v>
      </c>
      <c r="P4174" t="s">
        <v>536</v>
      </c>
      <c r="Q4174" t="s">
        <v>1492</v>
      </c>
      <c r="R4174" t="s">
        <v>19344</v>
      </c>
      <c r="S4174" t="s">
        <v>19346</v>
      </c>
      <c r="T4174" t="s">
        <v>19347</v>
      </c>
      <c r="U4174" t="s">
        <v>19348</v>
      </c>
    </row>
    <row r="4175" spans="1:21" x14ac:dyDescent="0.25">
      <c r="A4175" t="s">
        <v>19349</v>
      </c>
      <c r="B4175" t="s">
        <v>38</v>
      </c>
      <c r="C4175" t="s">
        <v>19350</v>
      </c>
      <c r="D4175">
        <f t="shared" si="104"/>
        <v>-8787</v>
      </c>
      <c r="E4175" t="s">
        <v>19345</v>
      </c>
      <c r="F4175" t="s">
        <v>14473</v>
      </c>
      <c r="G4175" t="s">
        <v>14474</v>
      </c>
      <c r="H4175">
        <v>-92.409496149999995</v>
      </c>
      <c r="I4175">
        <v>34.662196819999998</v>
      </c>
      <c r="J4175">
        <v>20</v>
      </c>
      <c r="K4175" t="s">
        <v>535</v>
      </c>
      <c r="L4175" t="s">
        <v>535</v>
      </c>
      <c r="M4175" t="s">
        <v>535</v>
      </c>
      <c r="N4175" t="s">
        <v>535</v>
      </c>
      <c r="O4175" t="s">
        <v>45</v>
      </c>
      <c r="P4175" t="s">
        <v>45</v>
      </c>
      <c r="Q4175" t="s">
        <v>1034</v>
      </c>
      <c r="R4175" t="s">
        <v>19350</v>
      </c>
      <c r="S4175" t="s">
        <v>19351</v>
      </c>
      <c r="T4175" t="s">
        <v>19347</v>
      </c>
      <c r="U4175" t="s">
        <v>19352</v>
      </c>
    </row>
    <row r="4176" spans="1:21" x14ac:dyDescent="0.25">
      <c r="A4176" t="s">
        <v>19353</v>
      </c>
      <c r="B4176" t="s">
        <v>38</v>
      </c>
      <c r="C4176" t="s">
        <v>19354</v>
      </c>
      <c r="D4176">
        <f t="shared" si="104"/>
        <v>-8787</v>
      </c>
      <c r="E4176" t="s">
        <v>19355</v>
      </c>
      <c r="F4176" t="s">
        <v>14473</v>
      </c>
      <c r="G4176" t="s">
        <v>14474</v>
      </c>
      <c r="H4176">
        <v>-72.429417369999996</v>
      </c>
      <c r="I4176">
        <v>41.289182269999998</v>
      </c>
      <c r="J4176">
        <v>35</v>
      </c>
      <c r="K4176" t="s">
        <v>428</v>
      </c>
      <c r="L4176" t="s">
        <v>428</v>
      </c>
      <c r="M4176" t="s">
        <v>428</v>
      </c>
      <c r="N4176" t="s">
        <v>428</v>
      </c>
      <c r="O4176" t="s">
        <v>428</v>
      </c>
      <c r="P4176" t="s">
        <v>428</v>
      </c>
      <c r="Q4176" t="s">
        <v>428</v>
      </c>
      <c r="R4176" t="s">
        <v>19354</v>
      </c>
      <c r="S4176" t="s">
        <v>19356</v>
      </c>
      <c r="T4176" t="s">
        <v>17336</v>
      </c>
      <c r="U4176" t="s">
        <v>19357</v>
      </c>
    </row>
    <row r="4177" spans="1:21" x14ac:dyDescent="0.25">
      <c r="A4177" t="s">
        <v>19358</v>
      </c>
      <c r="B4177" t="s">
        <v>38</v>
      </c>
      <c r="C4177" t="s">
        <v>19359</v>
      </c>
      <c r="D4177">
        <f t="shared" si="104"/>
        <v>-8787</v>
      </c>
      <c r="E4177" t="s">
        <v>19360</v>
      </c>
      <c r="F4177" t="s">
        <v>14473</v>
      </c>
      <c r="G4177" t="s">
        <v>14474</v>
      </c>
      <c r="H4177">
        <v>-81.774699600000005</v>
      </c>
      <c r="I4177">
        <v>26.4349241</v>
      </c>
      <c r="J4177">
        <v>35</v>
      </c>
      <c r="K4177" t="s">
        <v>717</v>
      </c>
      <c r="L4177" t="s">
        <v>717</v>
      </c>
      <c r="M4177" t="s">
        <v>717</v>
      </c>
      <c r="N4177" t="s">
        <v>717</v>
      </c>
      <c r="O4177" t="s">
        <v>717</v>
      </c>
      <c r="P4177" t="s">
        <v>717</v>
      </c>
      <c r="Q4177" t="s">
        <v>1492</v>
      </c>
      <c r="R4177" t="s">
        <v>19359</v>
      </c>
      <c r="S4177" t="s">
        <v>19361</v>
      </c>
      <c r="T4177" t="s">
        <v>17724</v>
      </c>
      <c r="U4177" t="s">
        <v>19362</v>
      </c>
    </row>
    <row r="4178" spans="1:21" x14ac:dyDescent="0.25">
      <c r="A4178" t="s">
        <v>19363</v>
      </c>
      <c r="B4178" t="s">
        <v>22</v>
      </c>
      <c r="C4178" t="s">
        <v>19364</v>
      </c>
      <c r="D4178">
        <f t="shared" si="104"/>
        <v>-8787</v>
      </c>
      <c r="E4178" t="s">
        <v>19365</v>
      </c>
      <c r="F4178" t="s">
        <v>14473</v>
      </c>
      <c r="G4178" t="s">
        <v>14474</v>
      </c>
      <c r="H4178">
        <v>-98.235931989999997</v>
      </c>
      <c r="I4178">
        <v>26.18684992</v>
      </c>
      <c r="J4178">
        <v>20</v>
      </c>
      <c r="K4178" t="s">
        <v>1035</v>
      </c>
      <c r="L4178" t="s">
        <v>1035</v>
      </c>
      <c r="M4178" t="s">
        <v>1035</v>
      </c>
      <c r="N4178" t="s">
        <v>1035</v>
      </c>
      <c r="O4178" t="s">
        <v>536</v>
      </c>
      <c r="P4178" t="s">
        <v>536</v>
      </c>
      <c r="Q4178" t="s">
        <v>1492</v>
      </c>
      <c r="R4178" t="s">
        <v>19364</v>
      </c>
      <c r="S4178" t="s">
        <v>19366</v>
      </c>
      <c r="T4178" t="s">
        <v>17781</v>
      </c>
      <c r="U4178" t="s">
        <v>19367</v>
      </c>
    </row>
    <row r="4179" spans="1:21" x14ac:dyDescent="0.25">
      <c r="A4179" t="s">
        <v>19368</v>
      </c>
      <c r="B4179" t="s">
        <v>38</v>
      </c>
      <c r="C4179" t="s">
        <v>19369</v>
      </c>
      <c r="D4179">
        <f t="shared" si="104"/>
        <v>-8787</v>
      </c>
      <c r="E4179" t="s">
        <v>19370</v>
      </c>
      <c r="F4179" t="s">
        <v>14473</v>
      </c>
      <c r="G4179" t="s">
        <v>14474</v>
      </c>
      <c r="H4179">
        <v>-121.80548</v>
      </c>
      <c r="I4179">
        <v>39.728807000000003</v>
      </c>
      <c r="J4179">
        <v>4</v>
      </c>
      <c r="K4179" t="s">
        <v>717</v>
      </c>
      <c r="L4179" t="s">
        <v>717</v>
      </c>
      <c r="M4179" t="s">
        <v>717</v>
      </c>
      <c r="N4179" t="s">
        <v>717</v>
      </c>
      <c r="O4179" t="s">
        <v>717</v>
      </c>
      <c r="P4179" t="s">
        <v>717</v>
      </c>
      <c r="Q4179" t="s">
        <v>1034</v>
      </c>
      <c r="R4179" t="s">
        <v>19369</v>
      </c>
      <c r="S4179" t="s">
        <v>19371</v>
      </c>
      <c r="T4179" t="s">
        <v>17372</v>
      </c>
      <c r="U4179" t="s">
        <v>19372</v>
      </c>
    </row>
    <row r="4180" spans="1:21" x14ac:dyDescent="0.25">
      <c r="A4180" t="s">
        <v>19373</v>
      </c>
      <c r="B4180" t="s">
        <v>38</v>
      </c>
      <c r="C4180" t="s">
        <v>19374</v>
      </c>
      <c r="D4180">
        <f t="shared" si="104"/>
        <v>-8787</v>
      </c>
      <c r="E4180" t="s">
        <v>19375</v>
      </c>
      <c r="F4180" t="s">
        <v>14473</v>
      </c>
      <c r="G4180" t="s">
        <v>14474</v>
      </c>
      <c r="H4180">
        <v>-87.207480410000002</v>
      </c>
      <c r="I4180">
        <v>30.475353439999999</v>
      </c>
      <c r="J4180">
        <v>20</v>
      </c>
      <c r="K4180" t="s">
        <v>536</v>
      </c>
      <c r="L4180" t="s">
        <v>536</v>
      </c>
      <c r="M4180" t="s">
        <v>536</v>
      </c>
      <c r="N4180" t="s">
        <v>536</v>
      </c>
      <c r="O4180" t="s">
        <v>536</v>
      </c>
      <c r="P4180" t="s">
        <v>536</v>
      </c>
      <c r="Q4180" t="s">
        <v>1492</v>
      </c>
      <c r="R4180" t="s">
        <v>19374</v>
      </c>
      <c r="S4180" t="s">
        <v>19376</v>
      </c>
      <c r="T4180" t="s">
        <v>17724</v>
      </c>
      <c r="U4180" t="s">
        <v>19377</v>
      </c>
    </row>
    <row r="4181" spans="1:21" x14ac:dyDescent="0.25">
      <c r="A4181" t="s">
        <v>19378</v>
      </c>
      <c r="B4181" t="s">
        <v>22</v>
      </c>
      <c r="C4181" t="s">
        <v>19379</v>
      </c>
      <c r="D4181">
        <f t="shared" si="104"/>
        <v>-8787</v>
      </c>
      <c r="E4181" t="s">
        <v>19380</v>
      </c>
      <c r="F4181" t="s">
        <v>14473</v>
      </c>
      <c r="G4181" t="s">
        <v>14474</v>
      </c>
      <c r="H4181">
        <v>-97.247416999999999</v>
      </c>
      <c r="I4181">
        <v>37.682710999999998</v>
      </c>
      <c r="J4181">
        <v>20</v>
      </c>
      <c r="K4181" t="s">
        <v>1035</v>
      </c>
      <c r="L4181" t="s">
        <v>1035</v>
      </c>
      <c r="M4181" t="s">
        <v>1035</v>
      </c>
      <c r="N4181" t="s">
        <v>1035</v>
      </c>
      <c r="O4181" t="s">
        <v>1501</v>
      </c>
      <c r="P4181" t="s">
        <v>1501</v>
      </c>
      <c r="Q4181" t="s">
        <v>1492</v>
      </c>
      <c r="R4181" t="s">
        <v>19379</v>
      </c>
      <c r="S4181" t="s">
        <v>19381</v>
      </c>
      <c r="T4181" t="s">
        <v>18187</v>
      </c>
      <c r="U4181" t="s">
        <v>19382</v>
      </c>
    </row>
    <row r="4182" spans="1:21" x14ac:dyDescent="0.25">
      <c r="A4182" t="s">
        <v>19383</v>
      </c>
      <c r="B4182" t="s">
        <v>38</v>
      </c>
      <c r="C4182" t="s">
        <v>19384</v>
      </c>
      <c r="D4182">
        <f t="shared" si="104"/>
        <v>-8787</v>
      </c>
      <c r="E4182" t="s">
        <v>19385</v>
      </c>
      <c r="F4182" t="s">
        <v>14473</v>
      </c>
      <c r="G4182" t="s">
        <v>14474</v>
      </c>
      <c r="H4182">
        <v>-94.358073630000007</v>
      </c>
      <c r="I4182">
        <v>39.045333499999998</v>
      </c>
      <c r="J4182">
        <v>20</v>
      </c>
      <c r="K4182" t="s">
        <v>45</v>
      </c>
      <c r="L4182" t="s">
        <v>45</v>
      </c>
      <c r="M4182" t="s">
        <v>45</v>
      </c>
      <c r="N4182" t="s">
        <v>45</v>
      </c>
      <c r="O4182" t="s">
        <v>45</v>
      </c>
      <c r="P4182" t="s">
        <v>45</v>
      </c>
      <c r="Q4182" t="s">
        <v>1492</v>
      </c>
      <c r="R4182" t="s">
        <v>19384</v>
      </c>
      <c r="S4182" t="s">
        <v>19386</v>
      </c>
      <c r="T4182" t="s">
        <v>17393</v>
      </c>
      <c r="U4182" t="s">
        <v>19387</v>
      </c>
    </row>
    <row r="4183" spans="1:21" x14ac:dyDescent="0.25">
      <c r="A4183" t="s">
        <v>19388</v>
      </c>
      <c r="B4183" t="s">
        <v>22</v>
      </c>
      <c r="C4183" t="s">
        <v>19389</v>
      </c>
      <c r="D4183">
        <f t="shared" si="104"/>
        <v>-8787</v>
      </c>
      <c r="E4183" t="s">
        <v>19390</v>
      </c>
      <c r="F4183" t="s">
        <v>14473</v>
      </c>
      <c r="G4183" t="s">
        <v>14474</v>
      </c>
      <c r="H4183">
        <v>-84.563234787240006</v>
      </c>
      <c r="I4183">
        <v>34.018176171685496</v>
      </c>
      <c r="J4183">
        <v>35</v>
      </c>
      <c r="K4183" t="s">
        <v>717</v>
      </c>
      <c r="L4183" t="s">
        <v>717</v>
      </c>
      <c r="M4183" t="s">
        <v>717</v>
      </c>
      <c r="N4183" t="s">
        <v>717</v>
      </c>
      <c r="O4183" t="s">
        <v>717</v>
      </c>
      <c r="P4183" t="s">
        <v>717</v>
      </c>
      <c r="Q4183" t="s">
        <v>1492</v>
      </c>
      <c r="R4183" t="s">
        <v>19389</v>
      </c>
      <c r="S4183" t="s">
        <v>19391</v>
      </c>
      <c r="T4183" t="s">
        <v>9074</v>
      </c>
      <c r="U4183" t="s">
        <v>19392</v>
      </c>
    </row>
    <row r="4184" spans="1:21" x14ac:dyDescent="0.25">
      <c r="A4184" t="s">
        <v>19393</v>
      </c>
      <c r="B4184" t="s">
        <v>22</v>
      </c>
      <c r="C4184" t="s">
        <v>19394</v>
      </c>
      <c r="D4184">
        <f>1-8554667467</f>
        <v>-8554667466</v>
      </c>
      <c r="E4184" t="s">
        <v>17639</v>
      </c>
      <c r="F4184" t="s">
        <v>14473</v>
      </c>
      <c r="G4184" t="s">
        <v>14474</v>
      </c>
      <c r="H4184">
        <v>-117.210746</v>
      </c>
      <c r="I4184">
        <v>32.872011999999998</v>
      </c>
      <c r="J4184">
        <v>4</v>
      </c>
      <c r="K4184" t="s">
        <v>717</v>
      </c>
      <c r="L4184" t="s">
        <v>717</v>
      </c>
      <c r="M4184" t="s">
        <v>717</v>
      </c>
      <c r="N4184" t="s">
        <v>717</v>
      </c>
      <c r="O4184" t="s">
        <v>45</v>
      </c>
      <c r="P4184" t="s">
        <v>45</v>
      </c>
      <c r="Q4184" t="s">
        <v>717</v>
      </c>
      <c r="R4184" t="s">
        <v>19394</v>
      </c>
      <c r="S4184" t="s">
        <v>19395</v>
      </c>
      <c r="T4184" t="s">
        <v>17372</v>
      </c>
      <c r="U4184" t="s">
        <v>19396</v>
      </c>
    </row>
    <row r="4185" spans="1:21" x14ac:dyDescent="0.25">
      <c r="A4185" t="s">
        <v>19397</v>
      </c>
      <c r="B4185" t="s">
        <v>22</v>
      </c>
      <c r="C4185" t="s">
        <v>19398</v>
      </c>
      <c r="D4185">
        <f>1-8554667467</f>
        <v>-8554667466</v>
      </c>
      <c r="E4185" t="s">
        <v>19399</v>
      </c>
      <c r="F4185" t="s">
        <v>14473</v>
      </c>
      <c r="G4185" t="s">
        <v>14474</v>
      </c>
      <c r="H4185">
        <v>-89.790539015715197</v>
      </c>
      <c r="I4185">
        <v>35.201696620021501</v>
      </c>
      <c r="J4185">
        <v>20</v>
      </c>
      <c r="K4185" t="s">
        <v>717</v>
      </c>
      <c r="L4185" t="s">
        <v>717</v>
      </c>
      <c r="M4185" t="s">
        <v>717</v>
      </c>
      <c r="N4185" t="s">
        <v>717</v>
      </c>
      <c r="O4185" t="s">
        <v>717</v>
      </c>
      <c r="P4185" t="s">
        <v>717</v>
      </c>
      <c r="Q4185" t="s">
        <v>1492</v>
      </c>
      <c r="R4185" t="s">
        <v>19398</v>
      </c>
      <c r="S4185" t="s">
        <v>19400</v>
      </c>
      <c r="T4185" t="s">
        <v>18316</v>
      </c>
      <c r="U4185" t="s">
        <v>19401</v>
      </c>
    </row>
    <row r="4186" spans="1:21" x14ac:dyDescent="0.25">
      <c r="A4186" t="s">
        <v>19402</v>
      </c>
      <c r="B4186" t="s">
        <v>22</v>
      </c>
      <c r="C4186" t="s">
        <v>19403</v>
      </c>
      <c r="D4186">
        <f t="shared" ref="D4186:D4205" si="105">1-855-466-7467</f>
        <v>-8787</v>
      </c>
      <c r="E4186" t="s">
        <v>19404</v>
      </c>
      <c r="F4186" t="s">
        <v>14473</v>
      </c>
      <c r="G4186" t="s">
        <v>14474</v>
      </c>
      <c r="H4186">
        <v>-122.0807964</v>
      </c>
      <c r="I4186">
        <v>37.668820500000002</v>
      </c>
      <c r="J4186">
        <v>4</v>
      </c>
      <c r="K4186" t="s">
        <v>1035</v>
      </c>
      <c r="L4186" t="s">
        <v>1035</v>
      </c>
      <c r="M4186" t="s">
        <v>1035</v>
      </c>
      <c r="N4186" t="s">
        <v>1035</v>
      </c>
      <c r="O4186" t="s">
        <v>1035</v>
      </c>
      <c r="P4186" t="s">
        <v>1035</v>
      </c>
      <c r="Q4186" t="s">
        <v>717</v>
      </c>
      <c r="R4186" t="s">
        <v>19403</v>
      </c>
      <c r="S4186" t="s">
        <v>19405</v>
      </c>
      <c r="T4186" t="s">
        <v>17372</v>
      </c>
      <c r="U4186" t="s">
        <v>19406</v>
      </c>
    </row>
    <row r="4187" spans="1:21" x14ac:dyDescent="0.25">
      <c r="A4187" t="s">
        <v>19407</v>
      </c>
      <c r="B4187" t="s">
        <v>38</v>
      </c>
      <c r="C4187" t="s">
        <v>19408</v>
      </c>
      <c r="D4187">
        <f t="shared" si="105"/>
        <v>-8787</v>
      </c>
      <c r="E4187" t="s">
        <v>18187</v>
      </c>
      <c r="F4187" t="s">
        <v>14473</v>
      </c>
      <c r="G4187" t="s">
        <v>14474</v>
      </c>
      <c r="H4187">
        <v>-94.825837910000004</v>
      </c>
      <c r="I4187">
        <v>39.126082429999997</v>
      </c>
      <c r="J4187">
        <v>20</v>
      </c>
      <c r="K4187" t="s">
        <v>717</v>
      </c>
      <c r="L4187" t="s">
        <v>717</v>
      </c>
      <c r="M4187" t="s">
        <v>717</v>
      </c>
      <c r="N4187" t="s">
        <v>717</v>
      </c>
      <c r="O4187" t="s">
        <v>717</v>
      </c>
      <c r="P4187" t="s">
        <v>717</v>
      </c>
      <c r="Q4187" t="s">
        <v>1034</v>
      </c>
      <c r="R4187" t="s">
        <v>19408</v>
      </c>
      <c r="S4187" t="s">
        <v>19409</v>
      </c>
      <c r="T4187" t="s">
        <v>18187</v>
      </c>
      <c r="U4187" t="s">
        <v>19410</v>
      </c>
    </row>
    <row r="4188" spans="1:21" x14ac:dyDescent="0.25">
      <c r="A4188" t="s">
        <v>19411</v>
      </c>
      <c r="B4188" t="s">
        <v>22</v>
      </c>
      <c r="C4188" t="s">
        <v>19412</v>
      </c>
      <c r="D4188">
        <f t="shared" si="105"/>
        <v>-8787</v>
      </c>
      <c r="E4188" t="s">
        <v>17880</v>
      </c>
      <c r="F4188" t="s">
        <v>14473</v>
      </c>
      <c r="G4188" t="s">
        <v>14474</v>
      </c>
      <c r="H4188">
        <v>-117.33200100000001</v>
      </c>
      <c r="I4188">
        <v>33.178310000000003</v>
      </c>
      <c r="J4188">
        <v>4</v>
      </c>
      <c r="K4188" t="s">
        <v>1035</v>
      </c>
      <c r="L4188" t="s">
        <v>1035</v>
      </c>
      <c r="M4188" t="s">
        <v>1035</v>
      </c>
      <c r="N4188" t="s">
        <v>1035</v>
      </c>
      <c r="O4188" t="s">
        <v>1035</v>
      </c>
      <c r="P4188" t="s">
        <v>1035</v>
      </c>
      <c r="Q4188" t="s">
        <v>717</v>
      </c>
      <c r="R4188" t="s">
        <v>19412</v>
      </c>
      <c r="S4188" t="s">
        <v>19413</v>
      </c>
      <c r="T4188" t="s">
        <v>17372</v>
      </c>
      <c r="U4188" t="s">
        <v>19414</v>
      </c>
    </row>
    <row r="4189" spans="1:21" x14ac:dyDescent="0.25">
      <c r="A4189" t="s">
        <v>19415</v>
      </c>
      <c r="B4189" t="s">
        <v>38</v>
      </c>
      <c r="C4189" t="s">
        <v>19416</v>
      </c>
      <c r="D4189">
        <f t="shared" si="105"/>
        <v>-8787</v>
      </c>
      <c r="E4189" t="s">
        <v>18473</v>
      </c>
      <c r="F4189" t="s">
        <v>14473</v>
      </c>
      <c r="G4189" t="s">
        <v>14474</v>
      </c>
      <c r="H4189">
        <v>-98.349947090000001</v>
      </c>
      <c r="I4189">
        <v>29.596326009999999</v>
      </c>
      <c r="J4189">
        <v>20</v>
      </c>
      <c r="K4189" t="s">
        <v>536</v>
      </c>
      <c r="L4189" t="s">
        <v>536</v>
      </c>
      <c r="M4189" t="s">
        <v>536</v>
      </c>
      <c r="N4189" t="s">
        <v>536</v>
      </c>
      <c r="O4189" t="s">
        <v>536</v>
      </c>
      <c r="P4189" t="s">
        <v>536</v>
      </c>
      <c r="Q4189" t="s">
        <v>1492</v>
      </c>
      <c r="R4189" t="s">
        <v>19416</v>
      </c>
      <c r="S4189" t="s">
        <v>19417</v>
      </c>
      <c r="T4189" t="s">
        <v>17781</v>
      </c>
      <c r="U4189" t="s">
        <v>19418</v>
      </c>
    </row>
    <row r="4190" spans="1:21" x14ac:dyDescent="0.25">
      <c r="A4190" t="s">
        <v>19419</v>
      </c>
      <c r="B4190" t="s">
        <v>22</v>
      </c>
      <c r="C4190" t="s">
        <v>19420</v>
      </c>
      <c r="D4190">
        <f t="shared" si="105"/>
        <v>-8787</v>
      </c>
      <c r="E4190" t="s">
        <v>19421</v>
      </c>
      <c r="F4190" t="s">
        <v>14473</v>
      </c>
      <c r="G4190" t="s">
        <v>14474</v>
      </c>
      <c r="H4190">
        <v>-71.415882760000002</v>
      </c>
      <c r="I4190">
        <v>41.82611498</v>
      </c>
      <c r="J4190">
        <v>35</v>
      </c>
      <c r="K4190" t="s">
        <v>717</v>
      </c>
      <c r="L4190" t="s">
        <v>717</v>
      </c>
      <c r="M4190" t="s">
        <v>717</v>
      </c>
      <c r="N4190" t="s">
        <v>717</v>
      </c>
      <c r="O4190" t="s">
        <v>1035</v>
      </c>
      <c r="P4190" t="s">
        <v>1035</v>
      </c>
      <c r="Q4190" t="s">
        <v>1034</v>
      </c>
      <c r="R4190" t="s">
        <v>19420</v>
      </c>
      <c r="S4190" t="s">
        <v>19422</v>
      </c>
      <c r="T4190" t="s">
        <v>17718</v>
      </c>
      <c r="U4190" t="s">
        <v>19423</v>
      </c>
    </row>
    <row r="4191" spans="1:21" x14ac:dyDescent="0.25">
      <c r="A4191" t="s">
        <v>19424</v>
      </c>
      <c r="B4191" t="s">
        <v>22</v>
      </c>
      <c r="C4191" t="s">
        <v>19425</v>
      </c>
      <c r="D4191">
        <f t="shared" si="105"/>
        <v>-8787</v>
      </c>
      <c r="E4191" t="s">
        <v>19426</v>
      </c>
      <c r="F4191" t="s">
        <v>14473</v>
      </c>
      <c r="G4191" t="s">
        <v>14474</v>
      </c>
      <c r="H4191">
        <v>-83.470262000000005</v>
      </c>
      <c r="I4191">
        <v>42.492984999999997</v>
      </c>
      <c r="J4191">
        <v>35</v>
      </c>
      <c r="K4191" t="s">
        <v>717</v>
      </c>
      <c r="L4191" t="s">
        <v>717</v>
      </c>
      <c r="M4191" t="s">
        <v>717</v>
      </c>
      <c r="N4191" t="s">
        <v>717</v>
      </c>
      <c r="O4191" t="s">
        <v>1035</v>
      </c>
      <c r="P4191" t="s">
        <v>1035</v>
      </c>
      <c r="Q4191" t="s">
        <v>1034</v>
      </c>
      <c r="R4191" t="s">
        <v>19425</v>
      </c>
      <c r="S4191" t="s">
        <v>19427</v>
      </c>
      <c r="T4191" t="s">
        <v>17546</v>
      </c>
      <c r="U4191" t="s">
        <v>19428</v>
      </c>
    </row>
    <row r="4192" spans="1:21" x14ac:dyDescent="0.25">
      <c r="A4192" t="s">
        <v>19429</v>
      </c>
      <c r="B4192" t="s">
        <v>22</v>
      </c>
      <c r="C4192" t="s">
        <v>19430</v>
      </c>
      <c r="D4192">
        <f t="shared" si="105"/>
        <v>-8787</v>
      </c>
      <c r="E4192" t="s">
        <v>19431</v>
      </c>
      <c r="F4192" t="s">
        <v>14473</v>
      </c>
      <c r="G4192" t="s">
        <v>14474</v>
      </c>
      <c r="H4192">
        <v>-91.140319599999998</v>
      </c>
      <c r="I4192">
        <v>30.4582829</v>
      </c>
      <c r="J4192">
        <v>20</v>
      </c>
      <c r="K4192" t="s">
        <v>717</v>
      </c>
      <c r="L4192" t="s">
        <v>717</v>
      </c>
      <c r="M4192" t="s">
        <v>717</v>
      </c>
      <c r="N4192" t="s">
        <v>1035</v>
      </c>
      <c r="O4192" t="s">
        <v>1035</v>
      </c>
      <c r="P4192" t="s">
        <v>1035</v>
      </c>
      <c r="Q4192" t="s">
        <v>1492</v>
      </c>
      <c r="R4192" t="s">
        <v>19430</v>
      </c>
      <c r="S4192" t="s">
        <v>19432</v>
      </c>
      <c r="T4192" t="s">
        <v>18262</v>
      </c>
      <c r="U4192" t="s">
        <v>19433</v>
      </c>
    </row>
    <row r="4193" spans="1:21" x14ac:dyDescent="0.25">
      <c r="A4193" t="s">
        <v>19434</v>
      </c>
      <c r="B4193" t="s">
        <v>38</v>
      </c>
      <c r="C4193" t="s">
        <v>19435</v>
      </c>
      <c r="D4193">
        <f t="shared" si="105"/>
        <v>-8787</v>
      </c>
      <c r="E4193" t="s">
        <v>19436</v>
      </c>
      <c r="F4193" t="s">
        <v>14473</v>
      </c>
      <c r="G4193" t="s">
        <v>14474</v>
      </c>
      <c r="H4193">
        <v>-75.244912999999997</v>
      </c>
      <c r="I4193">
        <v>40.235933000000003</v>
      </c>
      <c r="J4193">
        <v>35</v>
      </c>
      <c r="K4193" t="s">
        <v>717</v>
      </c>
      <c r="L4193" t="s">
        <v>717</v>
      </c>
      <c r="M4193" t="s">
        <v>717</v>
      </c>
      <c r="N4193" t="s">
        <v>717</v>
      </c>
      <c r="O4193" t="s">
        <v>717</v>
      </c>
      <c r="P4193" t="s">
        <v>717</v>
      </c>
      <c r="Q4193" t="s">
        <v>1034</v>
      </c>
      <c r="R4193" t="s">
        <v>19435</v>
      </c>
      <c r="S4193" t="s">
        <v>19437</v>
      </c>
      <c r="T4193" t="s">
        <v>17270</v>
      </c>
      <c r="U4193" t="s">
        <v>19438</v>
      </c>
    </row>
    <row r="4194" spans="1:21" x14ac:dyDescent="0.25">
      <c r="A4194" t="s">
        <v>19439</v>
      </c>
      <c r="B4194" t="s">
        <v>38</v>
      </c>
      <c r="C4194" t="s">
        <v>19440</v>
      </c>
      <c r="D4194">
        <f t="shared" si="105"/>
        <v>-8787</v>
      </c>
      <c r="E4194" t="s">
        <v>19441</v>
      </c>
      <c r="F4194" t="s">
        <v>14473</v>
      </c>
      <c r="G4194" t="s">
        <v>14474</v>
      </c>
      <c r="H4194">
        <v>-77.395364700000002</v>
      </c>
      <c r="I4194">
        <v>37.253667</v>
      </c>
      <c r="J4194">
        <v>35</v>
      </c>
      <c r="K4194" t="s">
        <v>45</v>
      </c>
      <c r="L4194" t="s">
        <v>45</v>
      </c>
      <c r="M4194" t="s">
        <v>45</v>
      </c>
      <c r="N4194" t="s">
        <v>45</v>
      </c>
      <c r="O4194" t="s">
        <v>45</v>
      </c>
      <c r="P4194" t="s">
        <v>45</v>
      </c>
      <c r="Q4194" t="s">
        <v>1492</v>
      </c>
      <c r="R4194" t="s">
        <v>19440</v>
      </c>
      <c r="S4194" t="s">
        <v>19442</v>
      </c>
      <c r="T4194" t="s">
        <v>17202</v>
      </c>
      <c r="U4194" t="s">
        <v>19443</v>
      </c>
    </row>
    <row r="4195" spans="1:21" x14ac:dyDescent="0.25">
      <c r="A4195" t="s">
        <v>19444</v>
      </c>
      <c r="B4195" t="s">
        <v>38</v>
      </c>
      <c r="C4195" t="s">
        <v>19445</v>
      </c>
      <c r="D4195">
        <f t="shared" si="105"/>
        <v>-8787</v>
      </c>
      <c r="E4195" t="s">
        <v>19446</v>
      </c>
      <c r="F4195" t="s">
        <v>14473</v>
      </c>
      <c r="G4195" t="s">
        <v>14474</v>
      </c>
      <c r="H4195">
        <v>-89.978262999999998</v>
      </c>
      <c r="I4195">
        <v>38.596933</v>
      </c>
      <c r="J4195">
        <v>20</v>
      </c>
      <c r="K4195" t="s">
        <v>45</v>
      </c>
      <c r="L4195" t="s">
        <v>45</v>
      </c>
      <c r="M4195" t="s">
        <v>45</v>
      </c>
      <c r="N4195" t="s">
        <v>45</v>
      </c>
      <c r="O4195" t="s">
        <v>45</v>
      </c>
      <c r="P4195" t="s">
        <v>45</v>
      </c>
      <c r="Q4195" t="s">
        <v>1034</v>
      </c>
      <c r="R4195" t="s">
        <v>19445</v>
      </c>
      <c r="T4195" t="s">
        <v>17313</v>
      </c>
      <c r="U4195" t="s">
        <v>19447</v>
      </c>
    </row>
    <row r="4196" spans="1:21" x14ac:dyDescent="0.25">
      <c r="A4196" t="s">
        <v>19448</v>
      </c>
      <c r="B4196" t="s">
        <v>22</v>
      </c>
      <c r="C4196" t="s">
        <v>19449</v>
      </c>
      <c r="D4196">
        <f t="shared" si="105"/>
        <v>-8787</v>
      </c>
      <c r="E4196" t="s">
        <v>19450</v>
      </c>
      <c r="F4196" t="s">
        <v>14473</v>
      </c>
      <c r="G4196" t="s">
        <v>14474</v>
      </c>
      <c r="H4196">
        <v>-117.794694199999</v>
      </c>
      <c r="I4196">
        <v>33.6839473</v>
      </c>
      <c r="J4196">
        <v>4</v>
      </c>
      <c r="K4196" t="s">
        <v>536</v>
      </c>
      <c r="L4196" t="s">
        <v>536</v>
      </c>
      <c r="M4196" t="s">
        <v>536</v>
      </c>
      <c r="N4196" t="s">
        <v>536</v>
      </c>
      <c r="O4196" t="s">
        <v>27</v>
      </c>
      <c r="P4196" t="s">
        <v>536</v>
      </c>
      <c r="Q4196" t="s">
        <v>536</v>
      </c>
      <c r="R4196" t="s">
        <v>19449</v>
      </c>
      <c r="S4196" t="s">
        <v>19451</v>
      </c>
      <c r="T4196" t="s">
        <v>17372</v>
      </c>
      <c r="U4196" t="s">
        <v>19452</v>
      </c>
    </row>
    <row r="4197" spans="1:21" x14ac:dyDescent="0.25">
      <c r="A4197" t="s">
        <v>19453</v>
      </c>
      <c r="B4197" t="s">
        <v>22</v>
      </c>
      <c r="C4197" t="s">
        <v>19454</v>
      </c>
      <c r="D4197">
        <f t="shared" si="105"/>
        <v>-8787</v>
      </c>
      <c r="E4197" t="s">
        <v>19455</v>
      </c>
      <c r="F4197" t="s">
        <v>14473</v>
      </c>
      <c r="G4197" t="s">
        <v>14474</v>
      </c>
      <c r="H4197">
        <v>-118.31226100000001</v>
      </c>
      <c r="I4197">
        <v>34.183937999999998</v>
      </c>
      <c r="J4197">
        <v>4</v>
      </c>
      <c r="K4197" t="s">
        <v>717</v>
      </c>
      <c r="L4197" t="s">
        <v>717</v>
      </c>
      <c r="M4197" t="s">
        <v>717</v>
      </c>
      <c r="N4197" t="s">
        <v>717</v>
      </c>
      <c r="O4197" t="s">
        <v>717</v>
      </c>
      <c r="P4197" t="s">
        <v>717</v>
      </c>
      <c r="Q4197" t="s">
        <v>1492</v>
      </c>
      <c r="R4197" t="s">
        <v>19454</v>
      </c>
      <c r="S4197" t="s">
        <v>19456</v>
      </c>
      <c r="T4197" t="s">
        <v>17372</v>
      </c>
      <c r="U4197" t="s">
        <v>19457</v>
      </c>
    </row>
    <row r="4198" spans="1:21" x14ac:dyDescent="0.25">
      <c r="A4198" t="s">
        <v>19458</v>
      </c>
      <c r="B4198" t="s">
        <v>22</v>
      </c>
      <c r="C4198" t="s">
        <v>19459</v>
      </c>
      <c r="D4198">
        <f t="shared" si="105"/>
        <v>-8787</v>
      </c>
      <c r="E4198" t="s">
        <v>19460</v>
      </c>
      <c r="F4198" t="s">
        <v>14473</v>
      </c>
      <c r="G4198" t="s">
        <v>14474</v>
      </c>
      <c r="H4198">
        <v>-111.83897260000001</v>
      </c>
      <c r="I4198">
        <v>40.564978099999998</v>
      </c>
      <c r="J4198">
        <v>10</v>
      </c>
      <c r="K4198" t="s">
        <v>717</v>
      </c>
      <c r="L4198" t="s">
        <v>717</v>
      </c>
      <c r="M4198" t="s">
        <v>717</v>
      </c>
      <c r="N4198" t="s">
        <v>717</v>
      </c>
      <c r="O4198" t="s">
        <v>717</v>
      </c>
      <c r="P4198" t="s">
        <v>717</v>
      </c>
      <c r="Q4198" t="s">
        <v>1492</v>
      </c>
      <c r="R4198" t="s">
        <v>19459</v>
      </c>
      <c r="S4198" t="s">
        <v>19461</v>
      </c>
      <c r="T4198" t="s">
        <v>17924</v>
      </c>
      <c r="U4198" t="s">
        <v>19462</v>
      </c>
    </row>
    <row r="4199" spans="1:21" x14ac:dyDescent="0.25">
      <c r="A4199" t="s">
        <v>19463</v>
      </c>
      <c r="B4199" t="s">
        <v>38</v>
      </c>
      <c r="C4199" t="s">
        <v>19464</v>
      </c>
      <c r="D4199">
        <f t="shared" si="105"/>
        <v>-8787</v>
      </c>
      <c r="E4199" t="s">
        <v>19465</v>
      </c>
      <c r="F4199" t="s">
        <v>14473</v>
      </c>
      <c r="G4199" t="s">
        <v>14474</v>
      </c>
      <c r="H4199">
        <v>-90.629892199999901</v>
      </c>
      <c r="I4199">
        <v>38.787469899999998</v>
      </c>
      <c r="J4199">
        <v>20</v>
      </c>
      <c r="K4199" t="s">
        <v>717</v>
      </c>
      <c r="L4199" t="s">
        <v>717</v>
      </c>
      <c r="M4199" t="s">
        <v>717</v>
      </c>
      <c r="N4199" t="s">
        <v>717</v>
      </c>
      <c r="O4199" t="s">
        <v>717</v>
      </c>
      <c r="P4199" t="s">
        <v>717</v>
      </c>
      <c r="Q4199" t="s">
        <v>1034</v>
      </c>
      <c r="R4199" t="s">
        <v>19464</v>
      </c>
      <c r="S4199" t="s">
        <v>19466</v>
      </c>
      <c r="T4199" t="s">
        <v>17393</v>
      </c>
      <c r="U4199" t="s">
        <v>19467</v>
      </c>
    </row>
    <row r="4200" spans="1:21" x14ac:dyDescent="0.25">
      <c r="A4200" t="s">
        <v>19468</v>
      </c>
      <c r="B4200" t="s">
        <v>38</v>
      </c>
      <c r="C4200" t="s">
        <v>19469</v>
      </c>
      <c r="D4200">
        <f t="shared" si="105"/>
        <v>-8787</v>
      </c>
      <c r="E4200" t="s">
        <v>17428</v>
      </c>
      <c r="F4200" t="s">
        <v>14473</v>
      </c>
      <c r="G4200" t="s">
        <v>14474</v>
      </c>
      <c r="H4200">
        <v>-76.1980504</v>
      </c>
      <c r="I4200">
        <v>36.878563399999997</v>
      </c>
      <c r="J4200">
        <v>35</v>
      </c>
      <c r="K4200" t="s">
        <v>1035</v>
      </c>
      <c r="L4200" t="s">
        <v>1035</v>
      </c>
      <c r="M4200" t="s">
        <v>1035</v>
      </c>
      <c r="N4200" t="s">
        <v>1035</v>
      </c>
      <c r="O4200" t="s">
        <v>536</v>
      </c>
      <c r="P4200" t="s">
        <v>536</v>
      </c>
      <c r="Q4200" t="s">
        <v>535</v>
      </c>
      <c r="R4200" t="s">
        <v>19469</v>
      </c>
      <c r="S4200" t="s">
        <v>19470</v>
      </c>
      <c r="T4200" t="s">
        <v>17202</v>
      </c>
      <c r="U4200" t="s">
        <v>19471</v>
      </c>
    </row>
    <row r="4201" spans="1:21" x14ac:dyDescent="0.25">
      <c r="A4201" t="s">
        <v>19472</v>
      </c>
      <c r="B4201" t="s">
        <v>38</v>
      </c>
      <c r="C4201" t="s">
        <v>19473</v>
      </c>
      <c r="D4201">
        <f t="shared" si="105"/>
        <v>-8787</v>
      </c>
      <c r="E4201" t="s">
        <v>19474</v>
      </c>
      <c r="F4201" t="s">
        <v>14473</v>
      </c>
      <c r="G4201" t="s">
        <v>14474</v>
      </c>
      <c r="H4201">
        <v>-97.890014300000004</v>
      </c>
      <c r="I4201">
        <v>26.162935099999999</v>
      </c>
      <c r="J4201">
        <v>20</v>
      </c>
      <c r="K4201" t="s">
        <v>1035</v>
      </c>
      <c r="L4201" t="s">
        <v>1035</v>
      </c>
      <c r="M4201" t="s">
        <v>1035</v>
      </c>
      <c r="N4201" t="s">
        <v>1035</v>
      </c>
      <c r="O4201" t="s">
        <v>536</v>
      </c>
      <c r="P4201" t="s">
        <v>536</v>
      </c>
      <c r="Q4201" t="s">
        <v>717</v>
      </c>
      <c r="R4201" t="s">
        <v>19473</v>
      </c>
      <c r="S4201" t="s">
        <v>19475</v>
      </c>
      <c r="T4201" t="s">
        <v>17781</v>
      </c>
      <c r="U4201" t="s">
        <v>19476</v>
      </c>
    </row>
    <row r="4202" spans="1:21" x14ac:dyDescent="0.25">
      <c r="A4202" t="s">
        <v>19477</v>
      </c>
      <c r="B4202" t="s">
        <v>38</v>
      </c>
      <c r="C4202" t="s">
        <v>19478</v>
      </c>
      <c r="D4202">
        <f t="shared" si="105"/>
        <v>-8787</v>
      </c>
      <c r="E4202" t="s">
        <v>19479</v>
      </c>
      <c r="F4202" t="s">
        <v>14473</v>
      </c>
      <c r="G4202" t="s">
        <v>14474</v>
      </c>
      <c r="H4202">
        <v>-92.921897099999995</v>
      </c>
      <c r="I4202">
        <v>44.946799499999997</v>
      </c>
      <c r="J4202">
        <v>20</v>
      </c>
      <c r="K4202" t="s">
        <v>1035</v>
      </c>
      <c r="L4202" t="s">
        <v>1035</v>
      </c>
      <c r="M4202" t="s">
        <v>1035</v>
      </c>
      <c r="N4202" t="s">
        <v>1035</v>
      </c>
      <c r="O4202" t="s">
        <v>1035</v>
      </c>
      <c r="P4202" t="s">
        <v>1035</v>
      </c>
      <c r="Q4202" t="s">
        <v>1034</v>
      </c>
      <c r="R4202" t="s">
        <v>19478</v>
      </c>
      <c r="S4202" t="s">
        <v>19480</v>
      </c>
      <c r="T4202" t="s">
        <v>17769</v>
      </c>
      <c r="U4202" t="s">
        <v>19481</v>
      </c>
    </row>
    <row r="4203" spans="1:21" x14ac:dyDescent="0.25">
      <c r="A4203" t="s">
        <v>19482</v>
      </c>
      <c r="B4203" t="s">
        <v>38</v>
      </c>
      <c r="C4203" t="s">
        <v>19483</v>
      </c>
      <c r="D4203">
        <f t="shared" si="105"/>
        <v>-8787</v>
      </c>
      <c r="E4203" t="s">
        <v>19484</v>
      </c>
      <c r="F4203" t="s">
        <v>14473</v>
      </c>
      <c r="G4203" t="s">
        <v>14474</v>
      </c>
      <c r="H4203">
        <v>-96.660656000000003</v>
      </c>
      <c r="I4203">
        <v>33.133775999999997</v>
      </c>
      <c r="J4203">
        <v>20</v>
      </c>
      <c r="K4203" t="s">
        <v>536</v>
      </c>
      <c r="L4203" t="s">
        <v>536</v>
      </c>
      <c r="M4203" t="s">
        <v>536</v>
      </c>
      <c r="N4203" t="s">
        <v>536</v>
      </c>
      <c r="O4203" t="s">
        <v>536</v>
      </c>
      <c r="P4203" t="s">
        <v>536</v>
      </c>
      <c r="Q4203" t="s">
        <v>17207</v>
      </c>
      <c r="R4203" t="s">
        <v>19483</v>
      </c>
      <c r="S4203" t="s">
        <v>19485</v>
      </c>
      <c r="T4203" t="s">
        <v>17781</v>
      </c>
      <c r="U4203" t="s">
        <v>19486</v>
      </c>
    </row>
    <row r="4204" spans="1:21" x14ac:dyDescent="0.25">
      <c r="A4204" t="s">
        <v>19487</v>
      </c>
      <c r="B4204" t="s">
        <v>38</v>
      </c>
      <c r="C4204" t="s">
        <v>19488</v>
      </c>
      <c r="D4204">
        <f t="shared" si="105"/>
        <v>-8787</v>
      </c>
      <c r="E4204" t="s">
        <v>19489</v>
      </c>
      <c r="F4204" t="s">
        <v>14473</v>
      </c>
      <c r="G4204" t="s">
        <v>14474</v>
      </c>
      <c r="H4204">
        <v>-81.713627099999997</v>
      </c>
      <c r="I4204">
        <v>35.081623200000003</v>
      </c>
      <c r="J4204">
        <v>35</v>
      </c>
      <c r="K4204" t="s">
        <v>536</v>
      </c>
      <c r="L4204" t="s">
        <v>536</v>
      </c>
      <c r="M4204" t="s">
        <v>536</v>
      </c>
      <c r="N4204" t="s">
        <v>536</v>
      </c>
      <c r="O4204" t="s">
        <v>536</v>
      </c>
      <c r="P4204" t="s">
        <v>536</v>
      </c>
      <c r="Q4204" t="s">
        <v>1492</v>
      </c>
      <c r="R4204" t="s">
        <v>19488</v>
      </c>
      <c r="S4204" t="s">
        <v>19490</v>
      </c>
      <c r="T4204" t="s">
        <v>18147</v>
      </c>
      <c r="U4204" t="s">
        <v>19491</v>
      </c>
    </row>
    <row r="4205" spans="1:21" x14ac:dyDescent="0.25">
      <c r="A4205" t="s">
        <v>19492</v>
      </c>
      <c r="B4205" t="s">
        <v>38</v>
      </c>
      <c r="C4205" t="s">
        <v>19493</v>
      </c>
      <c r="D4205">
        <f t="shared" si="105"/>
        <v>-8787</v>
      </c>
      <c r="E4205" t="s">
        <v>19494</v>
      </c>
      <c r="F4205" t="s">
        <v>14473</v>
      </c>
      <c r="G4205" t="s">
        <v>14474</v>
      </c>
      <c r="H4205">
        <v>-117.297298</v>
      </c>
      <c r="I4205">
        <v>34.084606999999998</v>
      </c>
      <c r="J4205">
        <v>4</v>
      </c>
      <c r="K4205" t="s">
        <v>536</v>
      </c>
      <c r="L4205" t="s">
        <v>536</v>
      </c>
      <c r="M4205" t="s">
        <v>536</v>
      </c>
      <c r="N4205" t="s">
        <v>536</v>
      </c>
      <c r="O4205" t="s">
        <v>536</v>
      </c>
      <c r="P4205" t="s">
        <v>45</v>
      </c>
      <c r="Q4205" t="s">
        <v>717</v>
      </c>
      <c r="R4205" t="s">
        <v>19493</v>
      </c>
      <c r="S4205" t="s">
        <v>19495</v>
      </c>
      <c r="T4205" t="s">
        <v>17372</v>
      </c>
      <c r="U4205" t="s">
        <v>19496</v>
      </c>
    </row>
    <row r="4206" spans="1:21" x14ac:dyDescent="0.25">
      <c r="A4206" t="s">
        <v>19497</v>
      </c>
      <c r="B4206" t="s">
        <v>38</v>
      </c>
      <c r="C4206" t="s">
        <v>19498</v>
      </c>
      <c r="D4206">
        <f>1-8554667467</f>
        <v>-8554667466</v>
      </c>
      <c r="E4206" t="s">
        <v>827</v>
      </c>
      <c r="F4206" t="s">
        <v>14473</v>
      </c>
      <c r="G4206" t="s">
        <v>14474</v>
      </c>
      <c r="H4206">
        <v>-76.921377100000001</v>
      </c>
      <c r="I4206">
        <v>42.956186899999999</v>
      </c>
      <c r="J4206">
        <v>35</v>
      </c>
      <c r="K4206" t="s">
        <v>717</v>
      </c>
      <c r="L4206" t="s">
        <v>717</v>
      </c>
      <c r="M4206" t="s">
        <v>717</v>
      </c>
      <c r="N4206" t="s">
        <v>717</v>
      </c>
      <c r="O4206" t="s">
        <v>717</v>
      </c>
      <c r="P4206" t="s">
        <v>717</v>
      </c>
      <c r="Q4206" t="s">
        <v>1492</v>
      </c>
      <c r="R4206" t="s">
        <v>19498</v>
      </c>
      <c r="S4206" t="s">
        <v>19499</v>
      </c>
      <c r="T4206" t="s">
        <v>17165</v>
      </c>
      <c r="U4206" t="s">
        <v>19500</v>
      </c>
    </row>
    <row r="4207" spans="1:21" x14ac:dyDescent="0.25">
      <c r="A4207" t="s">
        <v>19501</v>
      </c>
      <c r="B4207" t="s">
        <v>22</v>
      </c>
      <c r="C4207" t="s">
        <v>19502</v>
      </c>
      <c r="D4207">
        <f>1-8554667467</f>
        <v>-8554667466</v>
      </c>
      <c r="E4207" t="s">
        <v>18464</v>
      </c>
      <c r="F4207" t="s">
        <v>14473</v>
      </c>
      <c r="G4207" t="s">
        <v>14474</v>
      </c>
      <c r="H4207">
        <v>-119.68156399999999</v>
      </c>
      <c r="I4207">
        <v>36.116202999999999</v>
      </c>
      <c r="J4207">
        <v>4</v>
      </c>
      <c r="K4207" t="s">
        <v>717</v>
      </c>
      <c r="L4207" t="s">
        <v>717</v>
      </c>
      <c r="M4207" t="s">
        <v>717</v>
      </c>
      <c r="N4207" t="s">
        <v>717</v>
      </c>
      <c r="O4207" t="s">
        <v>1035</v>
      </c>
      <c r="P4207" t="s">
        <v>1035</v>
      </c>
      <c r="Q4207" t="s">
        <v>1034</v>
      </c>
      <c r="R4207" t="s">
        <v>19502</v>
      </c>
      <c r="S4207" t="s">
        <v>19503</v>
      </c>
      <c r="T4207" t="s">
        <v>17372</v>
      </c>
      <c r="U4207" t="s">
        <v>19504</v>
      </c>
    </row>
    <row r="4208" spans="1:21" x14ac:dyDescent="0.25">
      <c r="A4208" t="s">
        <v>19505</v>
      </c>
      <c r="B4208" t="s">
        <v>38</v>
      </c>
      <c r="C4208" t="s">
        <v>19506</v>
      </c>
      <c r="D4208">
        <f>1-8554667467</f>
        <v>-8554667466</v>
      </c>
      <c r="E4208" t="s">
        <v>19507</v>
      </c>
      <c r="F4208" t="s">
        <v>14473</v>
      </c>
      <c r="G4208" t="s">
        <v>14474</v>
      </c>
      <c r="H4208">
        <v>-89.099257399999999</v>
      </c>
      <c r="I4208">
        <v>30.4290731</v>
      </c>
      <c r="J4208">
        <v>20</v>
      </c>
      <c r="K4208" t="s">
        <v>1035</v>
      </c>
      <c r="L4208" t="s">
        <v>1035</v>
      </c>
      <c r="M4208" t="s">
        <v>1035</v>
      </c>
      <c r="N4208" t="s">
        <v>1035</v>
      </c>
      <c r="O4208" t="s">
        <v>536</v>
      </c>
      <c r="P4208" t="s">
        <v>536</v>
      </c>
      <c r="Q4208" t="s">
        <v>1034</v>
      </c>
      <c r="R4208" t="s">
        <v>19506</v>
      </c>
      <c r="S4208" t="s">
        <v>19508</v>
      </c>
      <c r="T4208" t="s">
        <v>18528</v>
      </c>
      <c r="U4208" t="s">
        <v>19509</v>
      </c>
    </row>
    <row r="4209" spans="1:21" x14ac:dyDescent="0.25">
      <c r="A4209" t="s">
        <v>19510</v>
      </c>
      <c r="B4209" t="s">
        <v>38</v>
      </c>
      <c r="C4209" t="s">
        <v>19511</v>
      </c>
      <c r="D4209">
        <f>1-855-466-7467</f>
        <v>-8787</v>
      </c>
      <c r="E4209" t="s">
        <v>19399</v>
      </c>
      <c r="F4209" t="s">
        <v>14473</v>
      </c>
      <c r="G4209" t="s">
        <v>14474</v>
      </c>
      <c r="H4209">
        <v>-89.913349199999999</v>
      </c>
      <c r="I4209">
        <v>35.1172361</v>
      </c>
      <c r="J4209">
        <v>20</v>
      </c>
      <c r="K4209" t="s">
        <v>717</v>
      </c>
      <c r="L4209" t="s">
        <v>717</v>
      </c>
      <c r="M4209" t="s">
        <v>717</v>
      </c>
      <c r="N4209" t="s">
        <v>717</v>
      </c>
      <c r="O4209" t="s">
        <v>717</v>
      </c>
      <c r="P4209" t="s">
        <v>717</v>
      </c>
      <c r="Q4209" t="s">
        <v>17207</v>
      </c>
      <c r="R4209" t="s">
        <v>19511</v>
      </c>
      <c r="S4209" t="s">
        <v>19512</v>
      </c>
      <c r="T4209" t="s">
        <v>18316</v>
      </c>
      <c r="U4209" t="s">
        <v>19513</v>
      </c>
    </row>
    <row r="4210" spans="1:21" x14ac:dyDescent="0.25">
      <c r="A4210" t="s">
        <v>19514</v>
      </c>
      <c r="B4210" t="s">
        <v>38</v>
      </c>
      <c r="C4210" t="s">
        <v>19515</v>
      </c>
      <c r="D4210">
        <f>1-8554667467</f>
        <v>-8554667466</v>
      </c>
      <c r="E4210" t="s">
        <v>19516</v>
      </c>
      <c r="F4210" t="s">
        <v>14473</v>
      </c>
      <c r="G4210" t="s">
        <v>14474</v>
      </c>
      <c r="H4210">
        <v>-88.242457999999999</v>
      </c>
      <c r="I4210">
        <v>40.142468999999998</v>
      </c>
      <c r="J4210">
        <v>20</v>
      </c>
      <c r="K4210" t="s">
        <v>1035</v>
      </c>
      <c r="L4210" t="s">
        <v>1035</v>
      </c>
      <c r="M4210" t="s">
        <v>1035</v>
      </c>
      <c r="N4210" t="s">
        <v>1035</v>
      </c>
      <c r="O4210" t="s">
        <v>1035</v>
      </c>
      <c r="P4210" t="s">
        <v>1035</v>
      </c>
      <c r="Q4210" t="s">
        <v>1034</v>
      </c>
      <c r="R4210" t="s">
        <v>19515</v>
      </c>
      <c r="S4210" t="s">
        <v>19517</v>
      </c>
      <c r="T4210" t="s">
        <v>17313</v>
      </c>
      <c r="U4210" t="s">
        <v>19518</v>
      </c>
    </row>
    <row r="4211" spans="1:21" x14ac:dyDescent="0.25">
      <c r="A4211" t="s">
        <v>19519</v>
      </c>
      <c r="B4211" t="s">
        <v>38</v>
      </c>
      <c r="C4211" t="s">
        <v>19520</v>
      </c>
      <c r="D4211">
        <f>1-855-466-7467</f>
        <v>-8787</v>
      </c>
      <c r="E4211" t="s">
        <v>19521</v>
      </c>
      <c r="F4211" t="s">
        <v>14473</v>
      </c>
      <c r="G4211" t="s">
        <v>14474</v>
      </c>
      <c r="H4211">
        <v>-111.9791395</v>
      </c>
      <c r="I4211">
        <v>33.676716300000002</v>
      </c>
      <c r="J4211">
        <v>4</v>
      </c>
      <c r="K4211" t="s">
        <v>1501</v>
      </c>
      <c r="L4211" t="s">
        <v>1501</v>
      </c>
      <c r="M4211" t="s">
        <v>1501</v>
      </c>
      <c r="N4211" t="s">
        <v>1501</v>
      </c>
      <c r="O4211" t="s">
        <v>1501</v>
      </c>
      <c r="P4211" t="s">
        <v>1501</v>
      </c>
      <c r="Q4211" t="s">
        <v>1034</v>
      </c>
      <c r="R4211" t="s">
        <v>19520</v>
      </c>
      <c r="S4211" t="s">
        <v>19522</v>
      </c>
      <c r="T4211" t="s">
        <v>17792</v>
      </c>
      <c r="U4211" t="s">
        <v>19523</v>
      </c>
    </row>
    <row r="4212" spans="1:21" x14ac:dyDescent="0.25">
      <c r="A4212" t="s">
        <v>19524</v>
      </c>
      <c r="B4212" t="s">
        <v>22</v>
      </c>
      <c r="C4212" t="s">
        <v>19525</v>
      </c>
      <c r="D4212">
        <f>1-855-466-7467</f>
        <v>-8787</v>
      </c>
      <c r="E4212" t="s">
        <v>19526</v>
      </c>
      <c r="F4212" t="s">
        <v>14473</v>
      </c>
      <c r="G4212" t="s">
        <v>14474</v>
      </c>
      <c r="H4212">
        <v>-77.512919199999999</v>
      </c>
      <c r="I4212">
        <v>38.291610400000003</v>
      </c>
      <c r="J4212">
        <v>35</v>
      </c>
      <c r="K4212" t="s">
        <v>536</v>
      </c>
      <c r="L4212" t="s">
        <v>536</v>
      </c>
      <c r="M4212" t="s">
        <v>536</v>
      </c>
      <c r="N4212" t="s">
        <v>536</v>
      </c>
      <c r="O4212" t="s">
        <v>536</v>
      </c>
      <c r="P4212" t="s">
        <v>536</v>
      </c>
      <c r="Q4212" t="s">
        <v>1034</v>
      </c>
      <c r="R4212" t="s">
        <v>19525</v>
      </c>
      <c r="S4212" t="s">
        <v>19527</v>
      </c>
      <c r="T4212" t="s">
        <v>17202</v>
      </c>
      <c r="U4212" t="s">
        <v>19528</v>
      </c>
    </row>
    <row r="4213" spans="1:21" x14ac:dyDescent="0.25">
      <c r="A4213" t="s">
        <v>19529</v>
      </c>
      <c r="B4213" t="s">
        <v>38</v>
      </c>
      <c r="C4213" t="s">
        <v>19530</v>
      </c>
      <c r="D4213">
        <f>1-8554667467</f>
        <v>-8554667466</v>
      </c>
      <c r="E4213" t="s">
        <v>18413</v>
      </c>
      <c r="F4213" t="s">
        <v>14473</v>
      </c>
      <c r="G4213" t="s">
        <v>14474</v>
      </c>
      <c r="H4213">
        <v>-80.044319000000002</v>
      </c>
      <c r="I4213">
        <v>32.944606999999998</v>
      </c>
      <c r="J4213">
        <v>35</v>
      </c>
      <c r="K4213" t="s">
        <v>1035</v>
      </c>
      <c r="L4213" t="s">
        <v>1035</v>
      </c>
      <c r="M4213" t="s">
        <v>1035</v>
      </c>
      <c r="N4213" t="s">
        <v>1035</v>
      </c>
      <c r="O4213" t="s">
        <v>1035</v>
      </c>
      <c r="P4213" t="s">
        <v>1035</v>
      </c>
      <c r="Q4213" t="s">
        <v>1492</v>
      </c>
      <c r="R4213" t="s">
        <v>19530</v>
      </c>
      <c r="S4213" t="s">
        <v>19531</v>
      </c>
      <c r="T4213" t="s">
        <v>18147</v>
      </c>
      <c r="U4213" t="s">
        <v>19532</v>
      </c>
    </row>
    <row r="4214" spans="1:21" x14ac:dyDescent="0.25">
      <c r="A4214" t="s">
        <v>19533</v>
      </c>
      <c r="B4214" t="s">
        <v>38</v>
      </c>
      <c r="C4214" t="s">
        <v>19534</v>
      </c>
      <c r="D4214">
        <f>1-855-466-7467</f>
        <v>-8787</v>
      </c>
      <c r="E4214" t="s">
        <v>19535</v>
      </c>
      <c r="F4214" t="s">
        <v>14473</v>
      </c>
      <c r="G4214" t="s">
        <v>14474</v>
      </c>
      <c r="H4214">
        <v>-83.640684390496403</v>
      </c>
      <c r="I4214">
        <v>41.694625523666097</v>
      </c>
      <c r="J4214">
        <v>35</v>
      </c>
      <c r="K4214" t="s">
        <v>717</v>
      </c>
      <c r="L4214" t="s">
        <v>717</v>
      </c>
      <c r="M4214" t="s">
        <v>717</v>
      </c>
      <c r="N4214" t="s">
        <v>717</v>
      </c>
      <c r="O4214" t="s">
        <v>717</v>
      </c>
      <c r="P4214" t="s">
        <v>717</v>
      </c>
      <c r="Q4214" t="s">
        <v>1034</v>
      </c>
      <c r="R4214" t="s">
        <v>19534</v>
      </c>
      <c r="S4214" t="s">
        <v>19536</v>
      </c>
      <c r="T4214" t="s">
        <v>17419</v>
      </c>
      <c r="U4214" t="s">
        <v>19537</v>
      </c>
    </row>
    <row r="4215" spans="1:21" x14ac:dyDescent="0.25">
      <c r="A4215" t="s">
        <v>19538</v>
      </c>
      <c r="B4215" t="s">
        <v>38</v>
      </c>
      <c r="C4215" t="s">
        <v>19539</v>
      </c>
      <c r="D4215">
        <f>855-466-7467</f>
        <v>-7078</v>
      </c>
      <c r="E4215" t="s">
        <v>19540</v>
      </c>
      <c r="F4215" t="s">
        <v>14473</v>
      </c>
      <c r="G4215" t="s">
        <v>14474</v>
      </c>
      <c r="H4215">
        <v>-90.574616000000006</v>
      </c>
      <c r="I4215">
        <v>41.563761999999997</v>
      </c>
      <c r="J4215">
        <v>20</v>
      </c>
      <c r="K4215" t="s">
        <v>536</v>
      </c>
      <c r="L4215" t="s">
        <v>536</v>
      </c>
      <c r="M4215" t="s">
        <v>536</v>
      </c>
      <c r="N4215" t="s">
        <v>536</v>
      </c>
      <c r="O4215" t="s">
        <v>536</v>
      </c>
      <c r="P4215" t="s">
        <v>536</v>
      </c>
      <c r="Q4215" t="s">
        <v>1492</v>
      </c>
      <c r="R4215" t="s">
        <v>19539</v>
      </c>
      <c r="S4215" t="s">
        <v>19541</v>
      </c>
      <c r="T4215" t="s">
        <v>18793</v>
      </c>
      <c r="U4215" t="s">
        <v>19542</v>
      </c>
    </row>
    <row r="4216" spans="1:21" x14ac:dyDescent="0.25">
      <c r="A4216" t="s">
        <v>19543</v>
      </c>
      <c r="B4216" t="s">
        <v>38</v>
      </c>
      <c r="C4216" t="s">
        <v>19544</v>
      </c>
      <c r="D4216">
        <f t="shared" ref="D4216:D4221" si="106">1-855-466-7467</f>
        <v>-8787</v>
      </c>
      <c r="E4216" t="s">
        <v>19545</v>
      </c>
      <c r="F4216" t="s">
        <v>14473</v>
      </c>
      <c r="G4216" t="s">
        <v>14474</v>
      </c>
      <c r="H4216">
        <v>-78.978166700000003</v>
      </c>
      <c r="I4216">
        <v>43.098979800000002</v>
      </c>
      <c r="J4216">
        <v>35</v>
      </c>
      <c r="K4216" t="s">
        <v>536</v>
      </c>
      <c r="L4216" t="s">
        <v>536</v>
      </c>
      <c r="M4216" t="s">
        <v>536</v>
      </c>
      <c r="N4216" t="s">
        <v>536</v>
      </c>
      <c r="O4216" t="s">
        <v>536</v>
      </c>
      <c r="P4216" t="s">
        <v>536</v>
      </c>
      <c r="Q4216" t="s">
        <v>428</v>
      </c>
      <c r="R4216" t="s">
        <v>19544</v>
      </c>
      <c r="S4216" t="s">
        <v>19546</v>
      </c>
      <c r="T4216" t="s">
        <v>17165</v>
      </c>
      <c r="U4216" t="s">
        <v>19547</v>
      </c>
    </row>
    <row r="4217" spans="1:21" x14ac:dyDescent="0.25">
      <c r="A4217" t="s">
        <v>19548</v>
      </c>
      <c r="B4217" t="s">
        <v>38</v>
      </c>
      <c r="C4217" t="s">
        <v>19549</v>
      </c>
      <c r="D4217">
        <f t="shared" si="106"/>
        <v>-8787</v>
      </c>
      <c r="E4217" t="s">
        <v>19550</v>
      </c>
      <c r="F4217" t="s">
        <v>14473</v>
      </c>
      <c r="G4217" t="s">
        <v>14474</v>
      </c>
      <c r="H4217">
        <v>-85.593025999999995</v>
      </c>
      <c r="I4217">
        <v>42.219785000000002</v>
      </c>
      <c r="J4217">
        <v>35</v>
      </c>
      <c r="K4217" t="s">
        <v>717</v>
      </c>
      <c r="L4217" t="s">
        <v>717</v>
      </c>
      <c r="M4217" t="s">
        <v>717</v>
      </c>
      <c r="N4217" t="s">
        <v>717</v>
      </c>
      <c r="O4217" t="s">
        <v>1035</v>
      </c>
      <c r="P4217" t="s">
        <v>1035</v>
      </c>
      <c r="Q4217" t="s">
        <v>1492</v>
      </c>
      <c r="R4217" t="s">
        <v>19549</v>
      </c>
      <c r="S4217" t="s">
        <v>19551</v>
      </c>
      <c r="T4217" t="s">
        <v>17546</v>
      </c>
      <c r="U4217" t="s">
        <v>19552</v>
      </c>
    </row>
    <row r="4218" spans="1:21" x14ac:dyDescent="0.25">
      <c r="A4218" t="s">
        <v>19553</v>
      </c>
      <c r="B4218" t="s">
        <v>38</v>
      </c>
      <c r="C4218" t="s">
        <v>19554</v>
      </c>
      <c r="D4218">
        <f t="shared" si="106"/>
        <v>-8787</v>
      </c>
      <c r="E4218" t="s">
        <v>18717</v>
      </c>
      <c r="F4218" t="s">
        <v>14473</v>
      </c>
      <c r="G4218" t="s">
        <v>14474</v>
      </c>
      <c r="H4218">
        <v>-81.117086999999998</v>
      </c>
      <c r="I4218">
        <v>32.003861999999998</v>
      </c>
      <c r="J4218">
        <v>35</v>
      </c>
      <c r="K4218" t="s">
        <v>717</v>
      </c>
      <c r="L4218" t="s">
        <v>717</v>
      </c>
      <c r="M4218" t="s">
        <v>717</v>
      </c>
      <c r="N4218" t="s">
        <v>717</v>
      </c>
      <c r="O4218" t="s">
        <v>717</v>
      </c>
      <c r="P4218" t="s">
        <v>717</v>
      </c>
      <c r="Q4218" t="s">
        <v>1492</v>
      </c>
      <c r="R4218" t="s">
        <v>19554</v>
      </c>
      <c r="S4218" t="s">
        <v>19555</v>
      </c>
      <c r="T4218" t="s">
        <v>9074</v>
      </c>
      <c r="U4218" t="s">
        <v>19556</v>
      </c>
    </row>
    <row r="4219" spans="1:21" x14ac:dyDescent="0.25">
      <c r="A4219" t="s">
        <v>19557</v>
      </c>
      <c r="B4219" t="s">
        <v>38</v>
      </c>
      <c r="C4219" t="s">
        <v>19558</v>
      </c>
      <c r="D4219">
        <f t="shared" si="106"/>
        <v>-8787</v>
      </c>
      <c r="E4219" t="s">
        <v>19559</v>
      </c>
      <c r="F4219" t="s">
        <v>14473</v>
      </c>
      <c r="G4219" t="s">
        <v>14474</v>
      </c>
      <c r="H4219">
        <v>-93.213533431282798</v>
      </c>
      <c r="I4219">
        <v>36.643637621663302</v>
      </c>
      <c r="J4219">
        <v>20</v>
      </c>
      <c r="K4219" t="s">
        <v>535</v>
      </c>
      <c r="L4219" t="s">
        <v>535</v>
      </c>
      <c r="M4219" t="s">
        <v>535</v>
      </c>
      <c r="N4219" t="s">
        <v>535</v>
      </c>
      <c r="O4219" t="s">
        <v>535</v>
      </c>
      <c r="P4219" t="s">
        <v>535</v>
      </c>
      <c r="Q4219" t="s">
        <v>535</v>
      </c>
      <c r="R4219" t="s">
        <v>19558</v>
      </c>
      <c r="S4219" t="s">
        <v>19560</v>
      </c>
      <c r="T4219" t="s">
        <v>17393</v>
      </c>
      <c r="U4219" t="s">
        <v>19561</v>
      </c>
    </row>
    <row r="4220" spans="1:21" x14ac:dyDescent="0.25">
      <c r="A4220" t="s">
        <v>19562</v>
      </c>
      <c r="B4220" t="s">
        <v>38</v>
      </c>
      <c r="C4220" t="s">
        <v>19563</v>
      </c>
      <c r="D4220">
        <f t="shared" si="106"/>
        <v>-8787</v>
      </c>
      <c r="E4220" t="s">
        <v>17722</v>
      </c>
      <c r="F4220" t="s">
        <v>14473</v>
      </c>
      <c r="G4220" t="s">
        <v>14474</v>
      </c>
      <c r="H4220">
        <v>-81.451357700000003</v>
      </c>
      <c r="I4220">
        <v>28.4746886</v>
      </c>
      <c r="J4220">
        <v>35</v>
      </c>
      <c r="K4220" t="s">
        <v>1501</v>
      </c>
      <c r="L4220" t="s">
        <v>1501</v>
      </c>
      <c r="M4220" t="s">
        <v>1501</v>
      </c>
      <c r="N4220" t="s">
        <v>1501</v>
      </c>
      <c r="O4220" t="s">
        <v>536</v>
      </c>
      <c r="P4220" t="s">
        <v>536</v>
      </c>
      <c r="Q4220" t="s">
        <v>717</v>
      </c>
      <c r="R4220" t="s">
        <v>19563</v>
      </c>
      <c r="S4220" t="s">
        <v>19564</v>
      </c>
      <c r="T4220" t="s">
        <v>17724</v>
      </c>
      <c r="U4220" t="s">
        <v>19565</v>
      </c>
    </row>
    <row r="4221" spans="1:21" x14ac:dyDescent="0.25">
      <c r="A4221" t="s">
        <v>19566</v>
      </c>
      <c r="B4221" t="s">
        <v>38</v>
      </c>
      <c r="C4221" t="s">
        <v>19567</v>
      </c>
      <c r="D4221">
        <f t="shared" si="106"/>
        <v>-8787</v>
      </c>
      <c r="E4221" t="s">
        <v>19568</v>
      </c>
      <c r="F4221" t="s">
        <v>14473</v>
      </c>
      <c r="G4221" t="s">
        <v>14474</v>
      </c>
      <c r="H4221">
        <v>-88.688667899999999</v>
      </c>
      <c r="I4221">
        <v>37.079383</v>
      </c>
      <c r="J4221">
        <v>20</v>
      </c>
      <c r="K4221" t="s">
        <v>536</v>
      </c>
      <c r="L4221" t="s">
        <v>536</v>
      </c>
      <c r="M4221" t="s">
        <v>536</v>
      </c>
      <c r="N4221" t="s">
        <v>536</v>
      </c>
      <c r="O4221" t="s">
        <v>536</v>
      </c>
      <c r="P4221" t="s">
        <v>536</v>
      </c>
      <c r="Q4221" t="s">
        <v>1034</v>
      </c>
      <c r="R4221" t="s">
        <v>19567</v>
      </c>
      <c r="S4221" t="s">
        <v>19569</v>
      </c>
      <c r="T4221" t="s">
        <v>18241</v>
      </c>
      <c r="U4221" t="s">
        <v>19570</v>
      </c>
    </row>
    <row r="4222" spans="1:21" x14ac:dyDescent="0.25">
      <c r="A4222" t="s">
        <v>19571</v>
      </c>
      <c r="B4222" t="s">
        <v>38</v>
      </c>
      <c r="C4222" t="s">
        <v>19572</v>
      </c>
      <c r="D4222">
        <f>1-855-446-6467</f>
        <v>-7767</v>
      </c>
      <c r="E4222" t="s">
        <v>19573</v>
      </c>
      <c r="F4222" t="s">
        <v>14473</v>
      </c>
      <c r="G4222" t="s">
        <v>14474</v>
      </c>
      <c r="H4222">
        <v>-113.5476219</v>
      </c>
      <c r="I4222">
        <v>37.1160979</v>
      </c>
      <c r="J4222">
        <v>10</v>
      </c>
      <c r="K4222" t="s">
        <v>535</v>
      </c>
      <c r="L4222" t="s">
        <v>535</v>
      </c>
      <c r="M4222" t="s">
        <v>535</v>
      </c>
      <c r="N4222" t="s">
        <v>535</v>
      </c>
      <c r="O4222" t="s">
        <v>536</v>
      </c>
      <c r="P4222" t="s">
        <v>536</v>
      </c>
      <c r="Q4222" t="s">
        <v>1289</v>
      </c>
      <c r="R4222" t="s">
        <v>19572</v>
      </c>
      <c r="S4222" t="s">
        <v>19574</v>
      </c>
      <c r="T4222" t="s">
        <v>17924</v>
      </c>
      <c r="U4222" t="s">
        <v>19575</v>
      </c>
    </row>
    <row r="4223" spans="1:21" x14ac:dyDescent="0.25">
      <c r="A4223" t="s">
        <v>19576</v>
      </c>
      <c r="B4223" t="s">
        <v>38</v>
      </c>
      <c r="C4223" t="s">
        <v>19577</v>
      </c>
      <c r="D4223">
        <f>1-855-466-7467</f>
        <v>-8787</v>
      </c>
      <c r="E4223" t="s">
        <v>19578</v>
      </c>
      <c r="F4223" t="s">
        <v>14473</v>
      </c>
      <c r="G4223" t="s">
        <v>14474</v>
      </c>
      <c r="H4223">
        <v>-121.84514230000001</v>
      </c>
      <c r="I4223">
        <v>37.698677400000001</v>
      </c>
      <c r="J4223">
        <v>4</v>
      </c>
      <c r="K4223" t="s">
        <v>45</v>
      </c>
      <c r="L4223" t="s">
        <v>45</v>
      </c>
      <c r="M4223" t="s">
        <v>45</v>
      </c>
      <c r="N4223" t="s">
        <v>45</v>
      </c>
      <c r="O4223" t="s">
        <v>536</v>
      </c>
      <c r="P4223" t="s">
        <v>536</v>
      </c>
      <c r="Q4223" t="s">
        <v>535</v>
      </c>
      <c r="R4223" t="s">
        <v>19577</v>
      </c>
      <c r="S4223" t="s">
        <v>19579</v>
      </c>
      <c r="T4223" t="s">
        <v>17372</v>
      </c>
      <c r="U4223" t="s">
        <v>19580</v>
      </c>
    </row>
    <row r="4224" spans="1:21" x14ac:dyDescent="0.25">
      <c r="A4224" t="s">
        <v>19581</v>
      </c>
      <c r="B4224" t="s">
        <v>22</v>
      </c>
      <c r="C4224" t="s">
        <v>19582</v>
      </c>
      <c r="D4224">
        <f>1-855-466-7467</f>
        <v>-8787</v>
      </c>
      <c r="E4224" t="s">
        <v>19583</v>
      </c>
      <c r="F4224" t="s">
        <v>14473</v>
      </c>
      <c r="G4224" t="s">
        <v>14474</v>
      </c>
      <c r="H4224">
        <v>-73.184101999999996</v>
      </c>
      <c r="I4224">
        <v>44.465881699999997</v>
      </c>
      <c r="J4224">
        <v>35</v>
      </c>
      <c r="K4224" t="s">
        <v>535</v>
      </c>
      <c r="L4224" t="s">
        <v>535</v>
      </c>
      <c r="M4224" t="s">
        <v>535</v>
      </c>
      <c r="N4224" t="s">
        <v>535</v>
      </c>
      <c r="O4224" t="s">
        <v>535</v>
      </c>
      <c r="P4224" t="s">
        <v>535</v>
      </c>
      <c r="Q4224" t="s">
        <v>535</v>
      </c>
      <c r="R4224" t="s">
        <v>19582</v>
      </c>
      <c r="S4224" t="s">
        <v>19584</v>
      </c>
      <c r="T4224" t="s">
        <v>19585</v>
      </c>
      <c r="U4224" t="s">
        <v>19586</v>
      </c>
    </row>
    <row r="4225" spans="1:21" x14ac:dyDescent="0.25">
      <c r="A4225" t="s">
        <v>19587</v>
      </c>
      <c r="B4225" t="s">
        <v>22</v>
      </c>
      <c r="C4225" t="s">
        <v>19588</v>
      </c>
      <c r="D4225">
        <f>1-855-466-7467</f>
        <v>-8787</v>
      </c>
      <c r="E4225" t="s">
        <v>19589</v>
      </c>
      <c r="F4225" t="s">
        <v>14473</v>
      </c>
      <c r="G4225" t="s">
        <v>14474</v>
      </c>
      <c r="H4225">
        <v>-81.952674000000002</v>
      </c>
      <c r="I4225">
        <v>41.459879999999998</v>
      </c>
      <c r="J4225">
        <v>35</v>
      </c>
      <c r="K4225" t="s">
        <v>1035</v>
      </c>
      <c r="L4225" t="s">
        <v>1035</v>
      </c>
      <c r="M4225" t="s">
        <v>1035</v>
      </c>
      <c r="N4225" t="s">
        <v>1035</v>
      </c>
      <c r="O4225" t="s">
        <v>1035</v>
      </c>
      <c r="P4225" t="s">
        <v>1035</v>
      </c>
      <c r="Q4225" t="s">
        <v>1492</v>
      </c>
      <c r="R4225" t="s">
        <v>19588</v>
      </c>
      <c r="S4225" t="s">
        <v>19590</v>
      </c>
      <c r="T4225" t="s">
        <v>17419</v>
      </c>
      <c r="U4225" t="s">
        <v>19591</v>
      </c>
    </row>
    <row r="4226" spans="1:21" x14ac:dyDescent="0.25">
      <c r="A4226" t="s">
        <v>19592</v>
      </c>
      <c r="B4226" t="s">
        <v>38</v>
      </c>
      <c r="C4226" t="s">
        <v>19593</v>
      </c>
      <c r="D4226">
        <f>1-855-466-7467</f>
        <v>-8787</v>
      </c>
      <c r="E4226" t="s">
        <v>18110</v>
      </c>
      <c r="F4226" t="s">
        <v>14473</v>
      </c>
      <c r="G4226" t="s">
        <v>14474</v>
      </c>
      <c r="H4226">
        <v>-93.267901699999996</v>
      </c>
      <c r="I4226">
        <v>37.162826000000003</v>
      </c>
      <c r="J4226">
        <v>20</v>
      </c>
      <c r="K4226" t="s">
        <v>1035</v>
      </c>
      <c r="L4226" t="s">
        <v>1035</v>
      </c>
      <c r="M4226" t="s">
        <v>1035</v>
      </c>
      <c r="N4226" t="s">
        <v>1035</v>
      </c>
      <c r="O4226" t="s">
        <v>536</v>
      </c>
      <c r="P4226" t="s">
        <v>535</v>
      </c>
      <c r="Q4226" t="s">
        <v>1492</v>
      </c>
      <c r="R4226" t="s">
        <v>19593</v>
      </c>
      <c r="S4226" t="s">
        <v>19594</v>
      </c>
      <c r="T4226" t="s">
        <v>17393</v>
      </c>
      <c r="U4226" t="s">
        <v>19595</v>
      </c>
    </row>
    <row r="4227" spans="1:21" x14ac:dyDescent="0.25">
      <c r="A4227" t="s">
        <v>19596</v>
      </c>
      <c r="B4227" t="s">
        <v>22</v>
      </c>
      <c r="C4227" t="s">
        <v>19597</v>
      </c>
      <c r="D4227">
        <f>855-466-7467</f>
        <v>-7078</v>
      </c>
      <c r="E4227" t="s">
        <v>19598</v>
      </c>
      <c r="F4227" t="s">
        <v>14473</v>
      </c>
      <c r="G4227" t="s">
        <v>14474</v>
      </c>
      <c r="H4227">
        <v>-73.479155082557497</v>
      </c>
      <c r="I4227">
        <v>41.3813360954423</v>
      </c>
      <c r="J4227">
        <v>35</v>
      </c>
      <c r="K4227" t="s">
        <v>717</v>
      </c>
      <c r="L4227" t="s">
        <v>717</v>
      </c>
      <c r="M4227" t="s">
        <v>717</v>
      </c>
      <c r="N4227" t="s">
        <v>717</v>
      </c>
      <c r="O4227" t="s">
        <v>717</v>
      </c>
      <c r="P4227" t="s">
        <v>717</v>
      </c>
      <c r="Q4227" t="s">
        <v>1034</v>
      </c>
      <c r="R4227" t="s">
        <v>19597</v>
      </c>
      <c r="S4227" t="s">
        <v>19599</v>
      </c>
      <c r="T4227" t="s">
        <v>17336</v>
      </c>
      <c r="U4227" t="s">
        <v>19600</v>
      </c>
    </row>
    <row r="4228" spans="1:21" x14ac:dyDescent="0.25">
      <c r="A4228" t="s">
        <v>19601</v>
      </c>
      <c r="B4228" t="s">
        <v>22</v>
      </c>
      <c r="C4228" t="s">
        <v>19602</v>
      </c>
      <c r="D4228">
        <f>1-855-466-7467</f>
        <v>-8787</v>
      </c>
      <c r="E4228" t="s">
        <v>19603</v>
      </c>
      <c r="F4228" t="s">
        <v>14473</v>
      </c>
      <c r="G4228" t="s">
        <v>14474</v>
      </c>
      <c r="H4228">
        <v>-95.270540699999998</v>
      </c>
      <c r="I4228">
        <v>30.0094572</v>
      </c>
      <c r="J4228">
        <v>20</v>
      </c>
      <c r="K4228" t="s">
        <v>1035</v>
      </c>
      <c r="L4228" t="s">
        <v>1035</v>
      </c>
      <c r="M4228" t="s">
        <v>1035</v>
      </c>
      <c r="N4228" t="s">
        <v>1035</v>
      </c>
      <c r="O4228" t="s">
        <v>1501</v>
      </c>
      <c r="P4228" t="s">
        <v>1501</v>
      </c>
      <c r="Q4228" t="s">
        <v>1034</v>
      </c>
      <c r="R4228" t="s">
        <v>19602</v>
      </c>
      <c r="S4228" t="s">
        <v>19604</v>
      </c>
      <c r="T4228" t="s">
        <v>17781</v>
      </c>
      <c r="U4228" t="s">
        <v>19605</v>
      </c>
    </row>
    <row r="4229" spans="1:21" x14ac:dyDescent="0.25">
      <c r="A4229" t="s">
        <v>19606</v>
      </c>
      <c r="B4229" t="s">
        <v>22</v>
      </c>
      <c r="C4229" t="s">
        <v>19607</v>
      </c>
      <c r="D4229">
        <f>1-855-466-7467</f>
        <v>-8787</v>
      </c>
      <c r="E4229" t="s">
        <v>19608</v>
      </c>
      <c r="F4229" t="s">
        <v>14473</v>
      </c>
      <c r="G4229" t="s">
        <v>14474</v>
      </c>
      <c r="H4229">
        <v>-93.244403500000004</v>
      </c>
      <c r="I4229">
        <v>44.854865099999998</v>
      </c>
      <c r="J4229">
        <v>20</v>
      </c>
      <c r="K4229" t="s">
        <v>1501</v>
      </c>
      <c r="L4229" t="s">
        <v>1501</v>
      </c>
      <c r="M4229" t="s">
        <v>1501</v>
      </c>
      <c r="N4229" t="s">
        <v>1501</v>
      </c>
      <c r="O4229" t="s">
        <v>536</v>
      </c>
      <c r="P4229" t="s">
        <v>536</v>
      </c>
      <c r="Q4229" t="s">
        <v>717</v>
      </c>
      <c r="R4229" t="s">
        <v>19607</v>
      </c>
      <c r="S4229" t="s">
        <v>19609</v>
      </c>
      <c r="T4229" t="s">
        <v>17769</v>
      </c>
      <c r="U4229" t="s">
        <v>19610</v>
      </c>
    </row>
    <row r="4230" spans="1:21" x14ac:dyDescent="0.25">
      <c r="A4230" t="s">
        <v>19611</v>
      </c>
      <c r="B4230" t="s">
        <v>22</v>
      </c>
      <c r="C4230" t="s">
        <v>19612</v>
      </c>
      <c r="D4230">
        <f>1-8554667467</f>
        <v>-8554667466</v>
      </c>
      <c r="E4230" t="s">
        <v>19613</v>
      </c>
      <c r="F4230" t="s">
        <v>14473</v>
      </c>
      <c r="G4230" t="s">
        <v>14474</v>
      </c>
      <c r="H4230">
        <v>-118.88804500000001</v>
      </c>
      <c r="I4230">
        <v>34.184170799999997</v>
      </c>
      <c r="J4230">
        <v>4</v>
      </c>
      <c r="K4230" t="s">
        <v>536</v>
      </c>
      <c r="L4230" t="s">
        <v>536</v>
      </c>
      <c r="M4230" t="s">
        <v>536</v>
      </c>
      <c r="N4230" t="s">
        <v>536</v>
      </c>
      <c r="O4230" t="s">
        <v>536</v>
      </c>
      <c r="P4230" t="s">
        <v>536</v>
      </c>
      <c r="Q4230" t="s">
        <v>717</v>
      </c>
      <c r="R4230" t="s">
        <v>19612</v>
      </c>
      <c r="S4230" t="s">
        <v>19614</v>
      </c>
      <c r="T4230" t="s">
        <v>17372</v>
      </c>
      <c r="U4230" t="s">
        <v>19615</v>
      </c>
    </row>
    <row r="4231" spans="1:21" x14ac:dyDescent="0.25">
      <c r="A4231" t="s">
        <v>19616</v>
      </c>
      <c r="B4231" t="s">
        <v>38</v>
      </c>
      <c r="C4231" t="s">
        <v>19617</v>
      </c>
      <c r="D4231">
        <f>1-855-466-746</f>
        <v>-2066</v>
      </c>
      <c r="E4231" t="s">
        <v>19618</v>
      </c>
      <c r="F4231" t="s">
        <v>14473</v>
      </c>
      <c r="G4231" t="s">
        <v>14474</v>
      </c>
      <c r="H4231">
        <v>-88.472492700000004</v>
      </c>
      <c r="I4231">
        <v>44.2690506</v>
      </c>
      <c r="J4231">
        <v>20</v>
      </c>
      <c r="K4231" t="s">
        <v>45</v>
      </c>
      <c r="L4231" t="s">
        <v>45</v>
      </c>
      <c r="M4231" t="s">
        <v>45</v>
      </c>
      <c r="N4231" t="s">
        <v>45</v>
      </c>
      <c r="O4231" t="s">
        <v>45</v>
      </c>
      <c r="P4231" t="s">
        <v>45</v>
      </c>
      <c r="Q4231" t="s">
        <v>1034</v>
      </c>
      <c r="R4231" t="s">
        <v>19617</v>
      </c>
      <c r="S4231" t="s">
        <v>19619</v>
      </c>
      <c r="T4231" t="s">
        <v>17409</v>
      </c>
      <c r="U4231" t="s">
        <v>19620</v>
      </c>
    </row>
    <row r="4232" spans="1:21" x14ac:dyDescent="0.25">
      <c r="A4232" t="s">
        <v>19621</v>
      </c>
      <c r="B4232" t="s">
        <v>38</v>
      </c>
      <c r="C4232" t="s">
        <v>19622</v>
      </c>
      <c r="D4232">
        <f>855-466-7467</f>
        <v>-7078</v>
      </c>
      <c r="E4232" t="s">
        <v>19623</v>
      </c>
      <c r="F4232" t="s">
        <v>14473</v>
      </c>
      <c r="G4232" t="s">
        <v>14474</v>
      </c>
      <c r="H4232">
        <v>-75.570608500000006</v>
      </c>
      <c r="I4232">
        <v>40.236648600000002</v>
      </c>
      <c r="J4232">
        <v>35</v>
      </c>
      <c r="K4232" t="s">
        <v>717</v>
      </c>
      <c r="L4232" t="s">
        <v>717</v>
      </c>
      <c r="M4232" t="s">
        <v>717</v>
      </c>
      <c r="N4232" t="s">
        <v>717</v>
      </c>
      <c r="O4232" t="s">
        <v>717</v>
      </c>
      <c r="P4232" t="s">
        <v>717</v>
      </c>
      <c r="Q4232" t="s">
        <v>717</v>
      </c>
      <c r="R4232" t="s">
        <v>19622</v>
      </c>
      <c r="S4232" t="s">
        <v>19624</v>
      </c>
      <c r="T4232" t="s">
        <v>17270</v>
      </c>
      <c r="U4232" t="s">
        <v>19625</v>
      </c>
    </row>
    <row r="4233" spans="1:21" x14ac:dyDescent="0.25">
      <c r="A4233" t="s">
        <v>19626</v>
      </c>
      <c r="B4233" t="s">
        <v>38</v>
      </c>
      <c r="C4233" t="s">
        <v>19627</v>
      </c>
      <c r="D4233">
        <f>855-466-7467</f>
        <v>-7078</v>
      </c>
      <c r="E4233" t="s">
        <v>19628</v>
      </c>
      <c r="F4233" t="s">
        <v>14473</v>
      </c>
      <c r="G4233" t="s">
        <v>14474</v>
      </c>
      <c r="H4233">
        <v>-121.56562172426899</v>
      </c>
      <c r="I4233">
        <v>37.025606030073597</v>
      </c>
      <c r="J4233">
        <v>4</v>
      </c>
      <c r="K4233" t="s">
        <v>717</v>
      </c>
      <c r="L4233" t="s">
        <v>717</v>
      </c>
      <c r="M4233" t="s">
        <v>717</v>
      </c>
      <c r="N4233" t="s">
        <v>717</v>
      </c>
      <c r="O4233" t="s">
        <v>45</v>
      </c>
      <c r="P4233" t="s">
        <v>45</v>
      </c>
      <c r="Q4233" t="s">
        <v>1034</v>
      </c>
      <c r="R4233" t="s">
        <v>19627</v>
      </c>
      <c r="T4233" t="s">
        <v>17372</v>
      </c>
      <c r="U4233" t="s">
        <v>19629</v>
      </c>
    </row>
    <row r="4234" spans="1:21" x14ac:dyDescent="0.25">
      <c r="A4234" t="s">
        <v>19630</v>
      </c>
      <c r="B4234" t="s">
        <v>22</v>
      </c>
      <c r="C4234" t="s">
        <v>19631</v>
      </c>
      <c r="D4234">
        <f t="shared" ref="D4234:D4251" si="107">1-855-466-7467</f>
        <v>-8787</v>
      </c>
      <c r="E4234" t="s">
        <v>18752</v>
      </c>
      <c r="F4234" t="s">
        <v>14473</v>
      </c>
      <c r="G4234" t="s">
        <v>14474</v>
      </c>
      <c r="H4234">
        <v>-83.049850000000006</v>
      </c>
      <c r="I4234">
        <v>42.334969999999998</v>
      </c>
      <c r="J4234">
        <v>35</v>
      </c>
      <c r="K4234" t="s">
        <v>717</v>
      </c>
      <c r="L4234" t="s">
        <v>717</v>
      </c>
      <c r="M4234" t="s">
        <v>717</v>
      </c>
      <c r="N4234" t="s">
        <v>717</v>
      </c>
      <c r="O4234" t="s">
        <v>717</v>
      </c>
      <c r="P4234" t="s">
        <v>717</v>
      </c>
      <c r="Q4234" t="s">
        <v>1492</v>
      </c>
      <c r="R4234" t="s">
        <v>19631</v>
      </c>
      <c r="S4234" t="s">
        <v>19632</v>
      </c>
      <c r="T4234" t="s">
        <v>17546</v>
      </c>
      <c r="U4234" t="s">
        <v>19633</v>
      </c>
    </row>
    <row r="4235" spans="1:21" x14ac:dyDescent="0.25">
      <c r="A4235" t="s">
        <v>19634</v>
      </c>
      <c r="B4235" t="s">
        <v>38</v>
      </c>
      <c r="C4235" t="s">
        <v>19635</v>
      </c>
      <c r="D4235">
        <f t="shared" si="107"/>
        <v>-8787</v>
      </c>
      <c r="E4235" t="s">
        <v>19636</v>
      </c>
      <c r="F4235" t="s">
        <v>14473</v>
      </c>
      <c r="G4235" t="s">
        <v>14474</v>
      </c>
      <c r="H4235">
        <v>-106.743025</v>
      </c>
      <c r="I4235">
        <v>32.311276999999997</v>
      </c>
      <c r="J4235">
        <v>10</v>
      </c>
      <c r="K4235" t="s">
        <v>717</v>
      </c>
      <c r="L4235" t="s">
        <v>717</v>
      </c>
      <c r="M4235" t="s">
        <v>717</v>
      </c>
      <c r="N4235" t="s">
        <v>717</v>
      </c>
      <c r="O4235" t="s">
        <v>717</v>
      </c>
      <c r="P4235" t="s">
        <v>717</v>
      </c>
      <c r="Q4235" t="s">
        <v>1492</v>
      </c>
      <c r="R4235" t="s">
        <v>19635</v>
      </c>
      <c r="S4235" t="s">
        <v>19637</v>
      </c>
      <c r="T4235" t="s">
        <v>18366</v>
      </c>
      <c r="U4235" t="s">
        <v>19638</v>
      </c>
    </row>
    <row r="4236" spans="1:21" x14ac:dyDescent="0.25">
      <c r="A4236" t="s">
        <v>19639</v>
      </c>
      <c r="B4236" t="s">
        <v>38</v>
      </c>
      <c r="C4236" t="s">
        <v>19640</v>
      </c>
      <c r="D4236">
        <f t="shared" si="107"/>
        <v>-8787</v>
      </c>
      <c r="E4236" t="s">
        <v>19641</v>
      </c>
      <c r="F4236" t="s">
        <v>14473</v>
      </c>
      <c r="G4236" t="s">
        <v>14474</v>
      </c>
      <c r="H4236">
        <v>-86.908921100000001</v>
      </c>
      <c r="I4236">
        <v>41.714590700000002</v>
      </c>
      <c r="J4236">
        <v>20</v>
      </c>
      <c r="K4236" t="s">
        <v>717</v>
      </c>
      <c r="L4236" t="s">
        <v>717</v>
      </c>
      <c r="M4236" t="s">
        <v>717</v>
      </c>
      <c r="N4236" t="s">
        <v>717</v>
      </c>
      <c r="O4236" t="s">
        <v>45</v>
      </c>
      <c r="P4236" t="s">
        <v>45</v>
      </c>
      <c r="Q4236" t="s">
        <v>1492</v>
      </c>
      <c r="R4236" t="s">
        <v>19640</v>
      </c>
      <c r="S4236" t="s">
        <v>19642</v>
      </c>
      <c r="T4236" t="s">
        <v>17366</v>
      </c>
      <c r="U4236" t="s">
        <v>19643</v>
      </c>
    </row>
    <row r="4237" spans="1:21" x14ac:dyDescent="0.25">
      <c r="A4237" t="s">
        <v>19644</v>
      </c>
      <c r="B4237" t="s">
        <v>22</v>
      </c>
      <c r="C4237" t="s">
        <v>19645</v>
      </c>
      <c r="D4237">
        <f t="shared" si="107"/>
        <v>-8787</v>
      </c>
      <c r="E4237" t="s">
        <v>19646</v>
      </c>
      <c r="F4237" t="s">
        <v>14473</v>
      </c>
      <c r="G4237" t="s">
        <v>14474</v>
      </c>
      <c r="H4237">
        <v>-81.494035100000005</v>
      </c>
      <c r="I4237">
        <v>41.498964899999997</v>
      </c>
      <c r="J4237">
        <v>35</v>
      </c>
      <c r="K4237" t="s">
        <v>717</v>
      </c>
      <c r="L4237" t="s">
        <v>717</v>
      </c>
      <c r="M4237" t="s">
        <v>717</v>
      </c>
      <c r="N4237" t="s">
        <v>717</v>
      </c>
      <c r="O4237" t="s">
        <v>717</v>
      </c>
      <c r="P4237" t="s">
        <v>717</v>
      </c>
      <c r="Q4237" t="s">
        <v>1492</v>
      </c>
      <c r="R4237" t="s">
        <v>19647</v>
      </c>
      <c r="T4237" t="s">
        <v>17419</v>
      </c>
      <c r="U4237" t="s">
        <v>19648</v>
      </c>
    </row>
    <row r="4238" spans="1:21" x14ac:dyDescent="0.25">
      <c r="A4238" t="s">
        <v>19649</v>
      </c>
      <c r="B4238" t="s">
        <v>32</v>
      </c>
      <c r="C4238" t="s">
        <v>19650</v>
      </c>
      <c r="D4238">
        <f t="shared" si="107"/>
        <v>-8787</v>
      </c>
      <c r="E4238" t="s">
        <v>17274</v>
      </c>
      <c r="F4238" t="s">
        <v>14473</v>
      </c>
      <c r="G4238" t="s">
        <v>14474</v>
      </c>
      <c r="H4238">
        <v>-74.011396000000005</v>
      </c>
      <c r="I4238">
        <v>40.711841999999997</v>
      </c>
      <c r="J4238">
        <v>35</v>
      </c>
      <c r="K4238" t="s">
        <v>45</v>
      </c>
      <c r="L4238" t="s">
        <v>45</v>
      </c>
      <c r="M4238" t="s">
        <v>45</v>
      </c>
      <c r="N4238" t="s">
        <v>45</v>
      </c>
      <c r="O4238" t="s">
        <v>45</v>
      </c>
      <c r="P4238" t="s">
        <v>45</v>
      </c>
      <c r="Q4238" t="s">
        <v>717</v>
      </c>
      <c r="R4238" t="s">
        <v>19650</v>
      </c>
      <c r="S4238" t="s">
        <v>19651</v>
      </c>
      <c r="T4238" t="s">
        <v>17165</v>
      </c>
      <c r="U4238" t="s">
        <v>19652</v>
      </c>
    </row>
    <row r="4239" spans="1:21" x14ac:dyDescent="0.25">
      <c r="A4239" t="s">
        <v>19653</v>
      </c>
      <c r="B4239" t="s">
        <v>38</v>
      </c>
      <c r="C4239" t="s">
        <v>19654</v>
      </c>
      <c r="D4239">
        <f t="shared" si="107"/>
        <v>-8787</v>
      </c>
      <c r="E4239" t="s">
        <v>19655</v>
      </c>
      <c r="F4239" t="s">
        <v>14473</v>
      </c>
      <c r="G4239" t="s">
        <v>14474</v>
      </c>
      <c r="H4239">
        <v>-104.98623600000001</v>
      </c>
      <c r="I4239">
        <v>39.948380999999998</v>
      </c>
      <c r="J4239">
        <v>10</v>
      </c>
      <c r="K4239" t="s">
        <v>717</v>
      </c>
      <c r="L4239" t="s">
        <v>717</v>
      </c>
      <c r="M4239" t="s">
        <v>717</v>
      </c>
      <c r="N4239" t="s">
        <v>717</v>
      </c>
      <c r="O4239" t="s">
        <v>717</v>
      </c>
      <c r="P4239" t="s">
        <v>717</v>
      </c>
      <c r="Q4239" t="s">
        <v>1492</v>
      </c>
      <c r="R4239" t="s">
        <v>19654</v>
      </c>
      <c r="S4239" t="s">
        <v>19656</v>
      </c>
      <c r="T4239" t="s">
        <v>17689</v>
      </c>
      <c r="U4239" t="s">
        <v>19657</v>
      </c>
    </row>
    <row r="4240" spans="1:21" x14ac:dyDescent="0.25">
      <c r="A4240" t="s">
        <v>19658</v>
      </c>
      <c r="B4240" t="s">
        <v>38</v>
      </c>
      <c r="C4240" t="s">
        <v>19659</v>
      </c>
      <c r="D4240">
        <f t="shared" si="107"/>
        <v>-8787</v>
      </c>
      <c r="E4240" t="s">
        <v>19660</v>
      </c>
      <c r="F4240" t="s">
        <v>14473</v>
      </c>
      <c r="G4240" t="s">
        <v>14474</v>
      </c>
      <c r="H4240">
        <v>-96.558627000000001</v>
      </c>
      <c r="I4240">
        <v>39.179799000000003</v>
      </c>
      <c r="J4240">
        <v>20</v>
      </c>
      <c r="K4240" t="s">
        <v>717</v>
      </c>
      <c r="L4240" t="s">
        <v>717</v>
      </c>
      <c r="M4240" t="s">
        <v>717</v>
      </c>
      <c r="N4240" t="s">
        <v>717</v>
      </c>
      <c r="O4240" t="s">
        <v>717</v>
      </c>
      <c r="P4240" t="s">
        <v>1501</v>
      </c>
      <c r="Q4240" t="s">
        <v>1492</v>
      </c>
      <c r="R4240" t="s">
        <v>19659</v>
      </c>
      <c r="S4240" t="s">
        <v>19661</v>
      </c>
      <c r="T4240" t="s">
        <v>18187</v>
      </c>
      <c r="U4240" t="s">
        <v>19662</v>
      </c>
    </row>
    <row r="4241" spans="1:21" x14ac:dyDescent="0.25">
      <c r="A4241" t="s">
        <v>19663</v>
      </c>
      <c r="B4241" t="s">
        <v>22</v>
      </c>
      <c r="C4241" t="s">
        <v>19664</v>
      </c>
      <c r="D4241">
        <f t="shared" si="107"/>
        <v>-8787</v>
      </c>
      <c r="E4241" t="s">
        <v>18483</v>
      </c>
      <c r="F4241" t="s">
        <v>14473</v>
      </c>
      <c r="G4241" t="s">
        <v>14474</v>
      </c>
      <c r="H4241">
        <v>-122.060635</v>
      </c>
      <c r="I4241">
        <v>37.967581299999999</v>
      </c>
      <c r="J4241">
        <v>4</v>
      </c>
      <c r="K4241" t="s">
        <v>717</v>
      </c>
      <c r="L4241" t="s">
        <v>717</v>
      </c>
      <c r="M4241" t="s">
        <v>717</v>
      </c>
      <c r="N4241" t="s">
        <v>717</v>
      </c>
      <c r="O4241" t="s">
        <v>717</v>
      </c>
      <c r="P4241" t="s">
        <v>717</v>
      </c>
      <c r="Q4241" t="s">
        <v>1034</v>
      </c>
      <c r="R4241" t="s">
        <v>19664</v>
      </c>
      <c r="S4241" t="s">
        <v>19665</v>
      </c>
      <c r="T4241" t="s">
        <v>17372</v>
      </c>
      <c r="U4241" t="s">
        <v>19666</v>
      </c>
    </row>
    <row r="4242" spans="1:21" x14ac:dyDescent="0.25">
      <c r="A4242" t="s">
        <v>19667</v>
      </c>
      <c r="B4242" t="s">
        <v>38</v>
      </c>
      <c r="C4242" t="s">
        <v>19668</v>
      </c>
      <c r="D4242">
        <f t="shared" si="107"/>
        <v>-8787</v>
      </c>
      <c r="E4242" t="s">
        <v>19669</v>
      </c>
      <c r="F4242" t="s">
        <v>14473</v>
      </c>
      <c r="G4242" t="s">
        <v>14474</v>
      </c>
      <c r="H4242">
        <v>-92.075661999999994</v>
      </c>
      <c r="I4242">
        <v>30.171226999999998</v>
      </c>
      <c r="J4242">
        <v>20</v>
      </c>
      <c r="K4242" t="s">
        <v>535</v>
      </c>
      <c r="L4242" t="s">
        <v>535</v>
      </c>
      <c r="M4242" t="s">
        <v>535</v>
      </c>
      <c r="N4242" t="s">
        <v>535</v>
      </c>
      <c r="O4242" t="s">
        <v>535</v>
      </c>
      <c r="P4242" t="s">
        <v>535</v>
      </c>
      <c r="Q4242" t="s">
        <v>1492</v>
      </c>
      <c r="R4242" t="s">
        <v>19668</v>
      </c>
      <c r="S4242" t="s">
        <v>19670</v>
      </c>
      <c r="T4242" t="s">
        <v>18262</v>
      </c>
      <c r="U4242" t="s">
        <v>19671</v>
      </c>
    </row>
    <row r="4243" spans="1:21" x14ac:dyDescent="0.25">
      <c r="A4243" t="s">
        <v>19672</v>
      </c>
      <c r="B4243" t="s">
        <v>38</v>
      </c>
      <c r="C4243" t="s">
        <v>19673</v>
      </c>
      <c r="D4243">
        <f t="shared" si="107"/>
        <v>-8787</v>
      </c>
      <c r="E4243" t="s">
        <v>8472</v>
      </c>
      <c r="F4243" t="s">
        <v>14473</v>
      </c>
      <c r="G4243" t="s">
        <v>14474</v>
      </c>
      <c r="H4243">
        <v>-90.663555400000007</v>
      </c>
      <c r="I4243">
        <v>38.677461800000003</v>
      </c>
      <c r="J4243">
        <v>20</v>
      </c>
      <c r="K4243" t="s">
        <v>45</v>
      </c>
      <c r="L4243" t="s">
        <v>45</v>
      </c>
      <c r="M4243" t="s">
        <v>45</v>
      </c>
      <c r="N4243" t="s">
        <v>45</v>
      </c>
      <c r="O4243" t="s">
        <v>45</v>
      </c>
      <c r="P4243" t="s">
        <v>45</v>
      </c>
      <c r="Q4243" t="s">
        <v>1034</v>
      </c>
      <c r="R4243" t="s">
        <v>19674</v>
      </c>
      <c r="T4243" t="s">
        <v>17393</v>
      </c>
      <c r="U4243" t="s">
        <v>19675</v>
      </c>
    </row>
    <row r="4244" spans="1:21" x14ac:dyDescent="0.25">
      <c r="A4244" t="s">
        <v>19676</v>
      </c>
      <c r="B4244" t="s">
        <v>38</v>
      </c>
      <c r="C4244" t="s">
        <v>19677</v>
      </c>
      <c r="D4244">
        <f t="shared" si="107"/>
        <v>-8787</v>
      </c>
      <c r="E4244" t="s">
        <v>19678</v>
      </c>
      <c r="F4244" t="s">
        <v>14473</v>
      </c>
      <c r="G4244" t="s">
        <v>14474</v>
      </c>
      <c r="H4244">
        <v>-86.445262</v>
      </c>
      <c r="I4244">
        <v>35.860757</v>
      </c>
      <c r="J4244">
        <v>20</v>
      </c>
      <c r="K4244" t="s">
        <v>536</v>
      </c>
      <c r="L4244" t="s">
        <v>536</v>
      </c>
      <c r="M4244" t="s">
        <v>536</v>
      </c>
      <c r="N4244" t="s">
        <v>536</v>
      </c>
      <c r="O4244" t="s">
        <v>536</v>
      </c>
      <c r="P4244" t="s">
        <v>536</v>
      </c>
      <c r="Q4244" t="s">
        <v>1492</v>
      </c>
      <c r="R4244" t="s">
        <v>19677</v>
      </c>
      <c r="S4244" t="s">
        <v>19679</v>
      </c>
      <c r="T4244" t="s">
        <v>18316</v>
      </c>
      <c r="U4244" t="s">
        <v>19680</v>
      </c>
    </row>
    <row r="4245" spans="1:21" x14ac:dyDescent="0.25">
      <c r="A4245" t="s">
        <v>19681</v>
      </c>
      <c r="B4245" t="s">
        <v>38</v>
      </c>
      <c r="C4245" t="s">
        <v>10182</v>
      </c>
      <c r="D4245">
        <f t="shared" si="107"/>
        <v>-8787</v>
      </c>
      <c r="E4245" t="s">
        <v>19682</v>
      </c>
      <c r="F4245" t="s">
        <v>14473</v>
      </c>
      <c r="G4245" t="s">
        <v>14474</v>
      </c>
      <c r="H4245">
        <v>-84.039423400000004</v>
      </c>
      <c r="I4245">
        <v>35.925113699999997</v>
      </c>
      <c r="J4245">
        <v>35</v>
      </c>
      <c r="K4245" t="s">
        <v>1035</v>
      </c>
      <c r="L4245" t="s">
        <v>1035</v>
      </c>
      <c r="M4245" t="s">
        <v>1035</v>
      </c>
      <c r="N4245" t="s">
        <v>1035</v>
      </c>
      <c r="O4245" t="s">
        <v>536</v>
      </c>
      <c r="P4245" t="s">
        <v>536</v>
      </c>
      <c r="Q4245" t="s">
        <v>1492</v>
      </c>
      <c r="R4245" t="s">
        <v>19683</v>
      </c>
      <c r="S4245" t="s">
        <v>19684</v>
      </c>
      <c r="T4245" t="s">
        <v>18316</v>
      </c>
      <c r="U4245" t="s">
        <v>19685</v>
      </c>
    </row>
    <row r="4246" spans="1:21" x14ac:dyDescent="0.25">
      <c r="A4246" t="s">
        <v>19686</v>
      </c>
      <c r="B4246" t="s">
        <v>38</v>
      </c>
      <c r="C4246" t="s">
        <v>19687</v>
      </c>
      <c r="D4246">
        <f t="shared" si="107"/>
        <v>-8787</v>
      </c>
      <c r="E4246" t="s">
        <v>19688</v>
      </c>
      <c r="F4246" t="s">
        <v>14473</v>
      </c>
      <c r="G4246" t="s">
        <v>14474</v>
      </c>
      <c r="H4246">
        <v>-95.881654999999995</v>
      </c>
      <c r="I4246">
        <v>36.063341000000001</v>
      </c>
      <c r="J4246">
        <v>35</v>
      </c>
      <c r="K4246" t="s">
        <v>717</v>
      </c>
      <c r="L4246" t="s">
        <v>717</v>
      </c>
      <c r="M4246" t="s">
        <v>717</v>
      </c>
      <c r="N4246" t="s">
        <v>717</v>
      </c>
      <c r="O4246" t="s">
        <v>45</v>
      </c>
      <c r="P4246" t="s">
        <v>45</v>
      </c>
      <c r="Q4246" t="s">
        <v>1492</v>
      </c>
      <c r="R4246" t="s">
        <v>19687</v>
      </c>
      <c r="S4246" t="s">
        <v>19689</v>
      </c>
      <c r="T4246" t="s">
        <v>18724</v>
      </c>
      <c r="U4246" t="s">
        <v>19690</v>
      </c>
    </row>
    <row r="4247" spans="1:21" x14ac:dyDescent="0.25">
      <c r="A4247" t="s">
        <v>19691</v>
      </c>
      <c r="B4247" t="s">
        <v>22</v>
      </c>
      <c r="C4247" t="s">
        <v>19692</v>
      </c>
      <c r="D4247">
        <f t="shared" si="107"/>
        <v>-8787</v>
      </c>
      <c r="E4247" t="s">
        <v>19693</v>
      </c>
      <c r="F4247" t="s">
        <v>14473</v>
      </c>
      <c r="G4247" t="s">
        <v>14474</v>
      </c>
      <c r="H4247">
        <v>-73.414612000000005</v>
      </c>
      <c r="I4247">
        <v>41.097174000000003</v>
      </c>
      <c r="J4247">
        <v>35</v>
      </c>
      <c r="K4247" t="s">
        <v>717</v>
      </c>
      <c r="L4247" t="s">
        <v>717</v>
      </c>
      <c r="M4247" t="s">
        <v>717</v>
      </c>
      <c r="N4247" t="s">
        <v>717</v>
      </c>
      <c r="O4247" t="s">
        <v>717</v>
      </c>
      <c r="P4247" t="s">
        <v>717</v>
      </c>
      <c r="Q4247" t="s">
        <v>1034</v>
      </c>
      <c r="R4247" t="s">
        <v>19692</v>
      </c>
      <c r="S4247" t="s">
        <v>19694</v>
      </c>
      <c r="T4247" t="s">
        <v>17336</v>
      </c>
      <c r="U4247" t="s">
        <v>19695</v>
      </c>
    </row>
    <row r="4248" spans="1:21" x14ac:dyDescent="0.25">
      <c r="A4248" t="s">
        <v>19696</v>
      </c>
      <c r="B4248" t="s">
        <v>38</v>
      </c>
      <c r="C4248" t="s">
        <v>19697</v>
      </c>
      <c r="D4248">
        <f t="shared" si="107"/>
        <v>-8787</v>
      </c>
      <c r="E4248" t="s">
        <v>19698</v>
      </c>
      <c r="F4248" t="s">
        <v>14473</v>
      </c>
      <c r="G4248" t="s">
        <v>14474</v>
      </c>
      <c r="H4248">
        <v>-119.0618583</v>
      </c>
      <c r="I4248">
        <v>34.2163173</v>
      </c>
      <c r="J4248">
        <v>4</v>
      </c>
      <c r="K4248" t="s">
        <v>717</v>
      </c>
      <c r="L4248" t="s">
        <v>717</v>
      </c>
      <c r="M4248" t="s">
        <v>717</v>
      </c>
      <c r="N4248" t="s">
        <v>717</v>
      </c>
      <c r="O4248" t="s">
        <v>717</v>
      </c>
      <c r="P4248" t="s">
        <v>717</v>
      </c>
      <c r="Q4248" t="s">
        <v>1492</v>
      </c>
      <c r="R4248" t="s">
        <v>19697</v>
      </c>
      <c r="S4248" t="s">
        <v>19699</v>
      </c>
      <c r="T4248" t="s">
        <v>17372</v>
      </c>
      <c r="U4248" t="s">
        <v>19700</v>
      </c>
    </row>
    <row r="4249" spans="1:21" x14ac:dyDescent="0.25">
      <c r="A4249" t="s">
        <v>19701</v>
      </c>
      <c r="B4249" t="s">
        <v>38</v>
      </c>
      <c r="C4249" t="s">
        <v>19702</v>
      </c>
      <c r="D4249">
        <f t="shared" si="107"/>
        <v>-8787</v>
      </c>
      <c r="E4249" t="s">
        <v>19703</v>
      </c>
      <c r="F4249" t="s">
        <v>14473</v>
      </c>
      <c r="G4249" t="s">
        <v>14474</v>
      </c>
      <c r="H4249">
        <v>-93.806087000000005</v>
      </c>
      <c r="I4249">
        <v>41.569946999999999</v>
      </c>
      <c r="J4249">
        <v>20</v>
      </c>
      <c r="K4249" t="s">
        <v>717</v>
      </c>
      <c r="L4249" t="s">
        <v>717</v>
      </c>
      <c r="M4249" t="s">
        <v>717</v>
      </c>
      <c r="N4249" t="s">
        <v>717</v>
      </c>
      <c r="O4249" t="s">
        <v>45</v>
      </c>
      <c r="P4249" t="s">
        <v>45</v>
      </c>
      <c r="Q4249" t="s">
        <v>1492</v>
      </c>
      <c r="R4249" t="s">
        <v>19702</v>
      </c>
      <c r="T4249" t="s">
        <v>18793</v>
      </c>
      <c r="U4249" t="s">
        <v>19704</v>
      </c>
    </row>
    <row r="4250" spans="1:21" x14ac:dyDescent="0.25">
      <c r="A4250" t="s">
        <v>19705</v>
      </c>
      <c r="B4250" t="s">
        <v>32</v>
      </c>
      <c r="C4250" t="s">
        <v>19706</v>
      </c>
      <c r="D4250">
        <f t="shared" si="107"/>
        <v>-8787</v>
      </c>
      <c r="E4250" t="s">
        <v>17274</v>
      </c>
      <c r="F4250" t="s">
        <v>14473</v>
      </c>
      <c r="G4250" t="s">
        <v>14474</v>
      </c>
      <c r="H4250">
        <v>-74.001879099999996</v>
      </c>
      <c r="I4250">
        <v>40.753793600000002</v>
      </c>
      <c r="J4250">
        <v>35</v>
      </c>
      <c r="K4250" t="s">
        <v>536</v>
      </c>
      <c r="L4250" t="s">
        <v>536</v>
      </c>
      <c r="M4250" t="s">
        <v>536</v>
      </c>
      <c r="N4250" t="s">
        <v>536</v>
      </c>
      <c r="O4250" t="s">
        <v>536</v>
      </c>
      <c r="P4250" t="s">
        <v>536</v>
      </c>
      <c r="Q4250" t="s">
        <v>717</v>
      </c>
      <c r="R4250" t="s">
        <v>19706</v>
      </c>
      <c r="S4250" t="s">
        <v>19707</v>
      </c>
      <c r="T4250" t="s">
        <v>17165</v>
      </c>
      <c r="U4250" t="s">
        <v>19708</v>
      </c>
    </row>
    <row r="4251" spans="1:21" x14ac:dyDescent="0.25">
      <c r="A4251" t="s">
        <v>19709</v>
      </c>
      <c r="B4251" t="s">
        <v>38</v>
      </c>
      <c r="C4251" t="s">
        <v>19710</v>
      </c>
      <c r="D4251">
        <f t="shared" si="107"/>
        <v>-8787</v>
      </c>
      <c r="E4251" t="s">
        <v>19711</v>
      </c>
      <c r="F4251" t="s">
        <v>14473</v>
      </c>
      <c r="G4251" t="s">
        <v>14474</v>
      </c>
      <c r="H4251">
        <v>-77.442638000000002</v>
      </c>
      <c r="I4251">
        <v>43.028454000000004</v>
      </c>
      <c r="J4251">
        <v>35</v>
      </c>
      <c r="K4251" t="s">
        <v>717</v>
      </c>
      <c r="L4251" t="s">
        <v>717</v>
      </c>
      <c r="M4251" t="s">
        <v>717</v>
      </c>
      <c r="N4251" t="s">
        <v>717</v>
      </c>
      <c r="O4251" t="s">
        <v>717</v>
      </c>
      <c r="P4251" t="s">
        <v>717</v>
      </c>
      <c r="Q4251" t="s">
        <v>1492</v>
      </c>
      <c r="R4251" t="s">
        <v>19712</v>
      </c>
      <c r="T4251" t="s">
        <v>17165</v>
      </c>
      <c r="U4251" t="s">
        <v>19713</v>
      </c>
    </row>
    <row r="4252" spans="1:21" x14ac:dyDescent="0.25">
      <c r="A4252" t="s">
        <v>19714</v>
      </c>
      <c r="B4252" t="s">
        <v>2322</v>
      </c>
      <c r="C4252" t="s">
        <v>19715</v>
      </c>
      <c r="D4252">
        <f>598-27116429</f>
        <v>-27115831</v>
      </c>
      <c r="E4252" t="s">
        <v>19716</v>
      </c>
      <c r="F4252" t="s">
        <v>19717</v>
      </c>
      <c r="G4252" t="s">
        <v>19718</v>
      </c>
      <c r="H4252">
        <v>-56.158394667593598</v>
      </c>
      <c r="I4252">
        <v>-34.923728476552398</v>
      </c>
      <c r="J4252">
        <v>70</v>
      </c>
      <c r="K4252" t="s">
        <v>1011</v>
      </c>
      <c r="L4252" t="s">
        <v>1011</v>
      </c>
      <c r="M4252" t="s">
        <v>1011</v>
      </c>
      <c r="N4252" t="s">
        <v>1011</v>
      </c>
      <c r="O4252" t="s">
        <v>1011</v>
      </c>
      <c r="P4252" t="s">
        <v>1011</v>
      </c>
      <c r="Q4252" t="s">
        <v>1011</v>
      </c>
      <c r="R4252" t="s">
        <v>19719</v>
      </c>
      <c r="S4252" t="s">
        <v>19716</v>
      </c>
      <c r="U4252" t="s">
        <v>19720</v>
      </c>
    </row>
    <row r="4253" spans="1:21" x14ac:dyDescent="0.25">
      <c r="A4253" t="s">
        <v>19721</v>
      </c>
      <c r="B4253" t="s">
        <v>32</v>
      </c>
      <c r="C4253" t="s">
        <v>19722</v>
      </c>
      <c r="D4253">
        <f>598-26211268</f>
        <v>-26210670</v>
      </c>
      <c r="E4253" t="s">
        <v>19716</v>
      </c>
      <c r="F4253" t="s">
        <v>19717</v>
      </c>
      <c r="G4253" t="s">
        <v>19718</v>
      </c>
      <c r="H4253">
        <v>-56.136464764868101</v>
      </c>
      <c r="I4253">
        <v>-34.903083687249399</v>
      </c>
      <c r="J4253">
        <v>70</v>
      </c>
      <c r="K4253" t="s">
        <v>1011</v>
      </c>
      <c r="L4253" t="s">
        <v>1011</v>
      </c>
      <c r="M4253" t="s">
        <v>1011</v>
      </c>
      <c r="N4253" t="s">
        <v>1011</v>
      </c>
      <c r="O4253" t="s">
        <v>1011</v>
      </c>
      <c r="P4253" t="s">
        <v>1011</v>
      </c>
      <c r="Q4253" t="s">
        <v>1011</v>
      </c>
      <c r="R4253" t="s">
        <v>19723</v>
      </c>
      <c r="U4253" t="s">
        <v>19724</v>
      </c>
    </row>
    <row r="4254" spans="1:21" x14ac:dyDescent="0.25">
      <c r="A4254" t="s">
        <v>19725</v>
      </c>
      <c r="B4254" t="s">
        <v>22</v>
      </c>
      <c r="C4254" t="s">
        <v>19726</v>
      </c>
      <c r="D4254">
        <f>598-22099971</f>
        <v>-22099373</v>
      </c>
      <c r="E4254" t="s">
        <v>19716</v>
      </c>
      <c r="F4254" t="s">
        <v>19717</v>
      </c>
      <c r="G4254" t="s">
        <v>19718</v>
      </c>
      <c r="H4254">
        <v>-56.169818570933998</v>
      </c>
      <c r="I4254">
        <v>-34.868880351635703</v>
      </c>
      <c r="J4254">
        <v>70</v>
      </c>
      <c r="K4254" t="s">
        <v>1011</v>
      </c>
      <c r="L4254" t="s">
        <v>1011</v>
      </c>
      <c r="M4254" t="s">
        <v>1011</v>
      </c>
      <c r="N4254" t="s">
        <v>1011</v>
      </c>
      <c r="O4254" t="s">
        <v>1011</v>
      </c>
      <c r="P4254" t="s">
        <v>1011</v>
      </c>
      <c r="Q4254" t="s">
        <v>1011</v>
      </c>
      <c r="R4254" t="s">
        <v>19727</v>
      </c>
      <c r="S4254" t="s">
        <v>19716</v>
      </c>
      <c r="U4254" t="s">
        <v>19728</v>
      </c>
    </row>
    <row r="4255" spans="1:21" x14ac:dyDescent="0.25">
      <c r="A4255" t="s">
        <v>19729</v>
      </c>
      <c r="B4255" t="s">
        <v>2322</v>
      </c>
      <c r="C4255" t="s">
        <v>19730</v>
      </c>
      <c r="D4255">
        <f>84-2862858040</f>
        <v>-2862857956</v>
      </c>
      <c r="E4255" t="s">
        <v>19731</v>
      </c>
      <c r="F4255" t="s">
        <v>19732</v>
      </c>
      <c r="G4255" t="s">
        <v>19733</v>
      </c>
      <c r="H4255">
        <v>106.70141759379</v>
      </c>
      <c r="I4255">
        <v>10.7781695539436</v>
      </c>
      <c r="J4255">
        <v>205</v>
      </c>
      <c r="K4255" t="s">
        <v>2069</v>
      </c>
      <c r="L4255" t="s">
        <v>2069</v>
      </c>
      <c r="M4255" t="s">
        <v>2069</v>
      </c>
      <c r="N4255" t="s">
        <v>2069</v>
      </c>
      <c r="O4255" t="s">
        <v>2069</v>
      </c>
      <c r="P4255" t="s">
        <v>2069</v>
      </c>
      <c r="Q4255" t="s">
        <v>2069</v>
      </c>
      <c r="R4255" t="s">
        <v>19734</v>
      </c>
      <c r="S4255" t="s">
        <v>19735</v>
      </c>
      <c r="U4255" t="s">
        <v>19736</v>
      </c>
    </row>
    <row r="4256" spans="1:21" x14ac:dyDescent="0.25">
      <c r="A4256" t="s">
        <v>19737</v>
      </c>
      <c r="B4256" t="s">
        <v>22</v>
      </c>
      <c r="C4256" t="s">
        <v>19738</v>
      </c>
      <c r="D4256">
        <f>84-2462629500</f>
        <v>-2462629416</v>
      </c>
      <c r="E4256" t="s">
        <v>19739</v>
      </c>
      <c r="F4256" t="s">
        <v>19732</v>
      </c>
      <c r="G4256" t="s">
        <v>19733</v>
      </c>
      <c r="H4256">
        <v>105.816428</v>
      </c>
      <c r="I4256">
        <v>21.001612000000002</v>
      </c>
      <c r="J4256">
        <v>205</v>
      </c>
      <c r="K4256" t="s">
        <v>2069</v>
      </c>
      <c r="L4256" t="s">
        <v>2069</v>
      </c>
      <c r="M4256" t="s">
        <v>2069</v>
      </c>
      <c r="N4256" t="s">
        <v>2069</v>
      </c>
      <c r="O4256" t="s">
        <v>2069</v>
      </c>
      <c r="P4256" t="s">
        <v>2069</v>
      </c>
      <c r="Q4256" t="s">
        <v>2069</v>
      </c>
      <c r="R4256" t="s">
        <v>19740</v>
      </c>
      <c r="S4256" t="s">
        <v>19741</v>
      </c>
      <c r="U4256" t="s">
        <v>19742</v>
      </c>
    </row>
    <row r="4257" spans="1:21" x14ac:dyDescent="0.25">
      <c r="A4257" t="s">
        <v>19743</v>
      </c>
      <c r="B4257" t="s">
        <v>38</v>
      </c>
      <c r="C4257" t="s">
        <v>19744</v>
      </c>
      <c r="D4257">
        <f>84-2838989545</f>
        <v>-2838989461</v>
      </c>
      <c r="E4257" t="s">
        <v>19731</v>
      </c>
      <c r="F4257" t="s">
        <v>19732</v>
      </c>
      <c r="G4257" t="s">
        <v>19733</v>
      </c>
      <c r="H4257">
        <v>106.741142</v>
      </c>
      <c r="I4257">
        <v>10.802495</v>
      </c>
      <c r="J4257">
        <v>205</v>
      </c>
      <c r="K4257" t="s">
        <v>2069</v>
      </c>
      <c r="L4257" t="s">
        <v>2069</v>
      </c>
      <c r="M4257" t="s">
        <v>2069</v>
      </c>
      <c r="N4257" t="s">
        <v>2069</v>
      </c>
      <c r="O4257" t="s">
        <v>2069</v>
      </c>
      <c r="P4257" t="s">
        <v>2069</v>
      </c>
      <c r="Q4257" t="s">
        <v>2069</v>
      </c>
      <c r="R4257" t="s">
        <v>19745</v>
      </c>
      <c r="S4257" t="s">
        <v>19746</v>
      </c>
      <c r="U4257" t="s">
        <v>19747</v>
      </c>
    </row>
    <row r="4258" spans="1:21" x14ac:dyDescent="0.25">
      <c r="A4258" t="s">
        <v>19748</v>
      </c>
      <c r="B4258" t="s">
        <v>38</v>
      </c>
      <c r="C4258" t="s">
        <v>19749</v>
      </c>
      <c r="D4258">
        <f>84-2462629630</f>
        <v>-2462629546</v>
      </c>
      <c r="E4258" t="s">
        <v>19739</v>
      </c>
      <c r="F4258" t="s">
        <v>19732</v>
      </c>
      <c r="G4258" t="s">
        <v>19733</v>
      </c>
      <c r="H4258">
        <v>105.86837800000001</v>
      </c>
      <c r="I4258">
        <v>20.993766000000001</v>
      </c>
      <c r="J4258">
        <v>205</v>
      </c>
      <c r="K4258" t="s">
        <v>2069</v>
      </c>
      <c r="L4258" t="s">
        <v>2069</v>
      </c>
      <c r="M4258" t="s">
        <v>2069</v>
      </c>
      <c r="N4258" t="s">
        <v>2069</v>
      </c>
      <c r="O4258" t="s">
        <v>2069</v>
      </c>
      <c r="P4258" t="s">
        <v>2069</v>
      </c>
      <c r="Q4258" t="s">
        <v>2069</v>
      </c>
      <c r="R4258" t="s">
        <v>19750</v>
      </c>
      <c r="S4258" t="s">
        <v>19751</v>
      </c>
      <c r="U4258" t="s">
        <v>19752</v>
      </c>
    </row>
    <row r="4259" spans="1:21" x14ac:dyDescent="0.25">
      <c r="A4259" t="s">
        <v>19753</v>
      </c>
      <c r="B4259" t="s">
        <v>38</v>
      </c>
      <c r="C4259" t="s">
        <v>19754</v>
      </c>
      <c r="D4259">
        <f>84-2462629901</f>
        <v>-2462629817</v>
      </c>
      <c r="E4259" t="s">
        <v>19739</v>
      </c>
      <c r="F4259" t="s">
        <v>19732</v>
      </c>
      <c r="G4259" t="s">
        <v>19733</v>
      </c>
      <c r="H4259">
        <v>105.80920999999999</v>
      </c>
      <c r="I4259">
        <v>21.023257999999998</v>
      </c>
      <c r="J4259">
        <v>205</v>
      </c>
      <c r="K4259" t="s">
        <v>2069</v>
      </c>
      <c r="L4259" t="s">
        <v>2069</v>
      </c>
      <c r="M4259" t="s">
        <v>2069</v>
      </c>
      <c r="N4259" t="s">
        <v>2069</v>
      </c>
      <c r="O4259" t="s">
        <v>2069</v>
      </c>
      <c r="P4259" t="s">
        <v>2069</v>
      </c>
      <c r="Q4259" t="s">
        <v>2069</v>
      </c>
      <c r="R4259" t="s">
        <v>19755</v>
      </c>
      <c r="S4259" t="s">
        <v>19756</v>
      </c>
      <c r="U4259" t="s">
        <v>19757</v>
      </c>
    </row>
    <row r="4260" spans="1:21" x14ac:dyDescent="0.25">
      <c r="A4260" t="s">
        <v>19758</v>
      </c>
      <c r="B4260" t="s">
        <v>38</v>
      </c>
      <c r="C4260" t="s">
        <v>19759</v>
      </c>
      <c r="D4260">
        <f>84-2854143839</f>
        <v>-2854143755</v>
      </c>
      <c r="E4260" t="s">
        <v>19731</v>
      </c>
      <c r="F4260" t="s">
        <v>19732</v>
      </c>
      <c r="G4260" t="s">
        <v>19733</v>
      </c>
      <c r="H4260">
        <v>106.718784</v>
      </c>
      <c r="I4260">
        <v>10.728562</v>
      </c>
      <c r="J4260">
        <v>205</v>
      </c>
      <c r="K4260" t="s">
        <v>3710</v>
      </c>
      <c r="L4260" t="s">
        <v>3710</v>
      </c>
      <c r="M4260" t="s">
        <v>3710</v>
      </c>
      <c r="N4260" t="s">
        <v>3710</v>
      </c>
      <c r="O4260" t="s">
        <v>3710</v>
      </c>
      <c r="P4260" t="s">
        <v>3710</v>
      </c>
      <c r="Q4260" t="s">
        <v>3710</v>
      </c>
      <c r="R4260" t="s">
        <v>19760</v>
      </c>
      <c r="S4260" t="s">
        <v>19761</v>
      </c>
      <c r="U4260" t="s">
        <v>19762</v>
      </c>
    </row>
    <row r="4261" spans="1:21" x14ac:dyDescent="0.25">
      <c r="A4261" t="s">
        <v>19763</v>
      </c>
      <c r="B4261" t="s">
        <v>38</v>
      </c>
      <c r="C4261" t="s">
        <v>19764</v>
      </c>
      <c r="D4261">
        <f>84-2366252628</f>
        <v>-2366252544</v>
      </c>
      <c r="E4261" t="s">
        <v>19765</v>
      </c>
      <c r="F4261" t="s">
        <v>19732</v>
      </c>
      <c r="G4261" t="s">
        <v>19733</v>
      </c>
      <c r="H4261">
        <v>108.22995</v>
      </c>
      <c r="I4261">
        <v>16.072997999999998</v>
      </c>
      <c r="J4261">
        <v>205</v>
      </c>
      <c r="K4261" t="s">
        <v>2069</v>
      </c>
      <c r="L4261" t="s">
        <v>2069</v>
      </c>
      <c r="M4261" t="s">
        <v>2069</v>
      </c>
      <c r="N4261" t="s">
        <v>2069</v>
      </c>
      <c r="O4261" t="s">
        <v>2069</v>
      </c>
      <c r="P4261" t="s">
        <v>2069</v>
      </c>
      <c r="Q4261" t="s">
        <v>2069</v>
      </c>
      <c r="R4261" t="s">
        <v>19766</v>
      </c>
      <c r="S4261" t="s">
        <v>19767</v>
      </c>
      <c r="U4261" t="s">
        <v>19768</v>
      </c>
    </row>
    <row r="4262" spans="1:21" x14ac:dyDescent="0.25">
      <c r="A4262" t="s">
        <v>19769</v>
      </c>
      <c r="B4262" t="s">
        <v>38</v>
      </c>
      <c r="C4262" t="s">
        <v>19770</v>
      </c>
      <c r="D4262">
        <f>84-2862856089</f>
        <v>-2862856005</v>
      </c>
      <c r="E4262" t="s">
        <v>19731</v>
      </c>
      <c r="F4262" t="s">
        <v>19732</v>
      </c>
      <c r="G4262" t="s">
        <v>19733</v>
      </c>
      <c r="H4262">
        <v>106.61703059553901</v>
      </c>
      <c r="I4262">
        <v>10.801516324958801</v>
      </c>
      <c r="J4262">
        <v>205</v>
      </c>
      <c r="K4262" t="s">
        <v>27</v>
      </c>
      <c r="L4262" t="s">
        <v>27</v>
      </c>
      <c r="M4262" t="s">
        <v>27</v>
      </c>
      <c r="N4262" t="s">
        <v>27</v>
      </c>
      <c r="O4262" t="s">
        <v>27</v>
      </c>
      <c r="P4262" t="s">
        <v>3543</v>
      </c>
      <c r="Q4262" t="s">
        <v>3543</v>
      </c>
      <c r="R4262" t="s">
        <v>19771</v>
      </c>
      <c r="S4262" t="s">
        <v>19772</v>
      </c>
      <c r="U4262" t="s">
        <v>19773</v>
      </c>
    </row>
    <row r="4263" spans="1:21" x14ac:dyDescent="0.25">
      <c r="A4263" t="s">
        <v>19774</v>
      </c>
      <c r="B4263" t="s">
        <v>38</v>
      </c>
      <c r="C4263" t="s">
        <v>19775</v>
      </c>
      <c r="E4263" t="s">
        <v>19776</v>
      </c>
      <c r="F4263" t="s">
        <v>19732</v>
      </c>
      <c r="G4263" t="s">
        <v>19733</v>
      </c>
      <c r="H4263">
        <v>105.78006499999999</v>
      </c>
      <c r="I4263">
        <v>10.046749</v>
      </c>
      <c r="J4263">
        <v>205</v>
      </c>
      <c r="K4263" t="s">
        <v>2069</v>
      </c>
      <c r="L4263" t="s">
        <v>2069</v>
      </c>
      <c r="M4263" t="s">
        <v>2069</v>
      </c>
      <c r="N4263" t="s">
        <v>2069</v>
      </c>
      <c r="O4263" t="s">
        <v>2069</v>
      </c>
      <c r="P4263" t="s">
        <v>2069</v>
      </c>
      <c r="Q4263" t="s">
        <v>2069</v>
      </c>
      <c r="R4263" t="s">
        <v>19777</v>
      </c>
      <c r="S4263" t="s">
        <v>19778</v>
      </c>
      <c r="U4263" t="s">
        <v>19779</v>
      </c>
    </row>
    <row r="4264" spans="1:21" x14ac:dyDescent="0.25">
      <c r="A4264" t="s">
        <v>19780</v>
      </c>
      <c r="B4264" t="s">
        <v>38</v>
      </c>
      <c r="C4264" t="s">
        <v>19781</v>
      </c>
      <c r="D4264">
        <f>84-2836220697</f>
        <v>-2836220613</v>
      </c>
      <c r="E4264" t="s">
        <v>19739</v>
      </c>
      <c r="F4264" t="s">
        <v>19732</v>
      </c>
      <c r="G4264" t="s">
        <v>19733</v>
      </c>
      <c r="H4264">
        <v>105.7503</v>
      </c>
      <c r="I4264">
        <v>20.990300000000001</v>
      </c>
      <c r="J4264">
        <v>205</v>
      </c>
      <c r="K4264" t="s">
        <v>27</v>
      </c>
      <c r="L4264" t="s">
        <v>27</v>
      </c>
      <c r="M4264" t="s">
        <v>27</v>
      </c>
      <c r="N4264" t="s">
        <v>27</v>
      </c>
      <c r="O4264" t="s">
        <v>27</v>
      </c>
      <c r="P4264" t="s">
        <v>3543</v>
      </c>
      <c r="Q4264" t="s">
        <v>3543</v>
      </c>
      <c r="R4264" t="s">
        <v>19782</v>
      </c>
      <c r="S4264" t="s">
        <v>19783</v>
      </c>
      <c r="U4264" t="s">
        <v>19784</v>
      </c>
    </row>
    <row r="4265" spans="1:21" x14ac:dyDescent="0.25">
      <c r="A4265" t="s">
        <v>19785</v>
      </c>
      <c r="B4265" t="s">
        <v>38</v>
      </c>
      <c r="C4265" t="s">
        <v>19786</v>
      </c>
      <c r="E4265" t="s">
        <v>19739</v>
      </c>
      <c r="F4265" t="s">
        <v>19732</v>
      </c>
      <c r="G4265" t="s">
        <v>19733</v>
      </c>
      <c r="H4265">
        <v>105.960207</v>
      </c>
      <c r="I4265">
        <v>20.995113</v>
      </c>
      <c r="J4265">
        <v>205</v>
      </c>
      <c r="K4265" t="s">
        <v>2069</v>
      </c>
      <c r="L4265" t="s">
        <v>2069</v>
      </c>
      <c r="M4265" t="s">
        <v>2069</v>
      </c>
      <c r="N4265" t="s">
        <v>2069</v>
      </c>
      <c r="O4265" t="s">
        <v>2069</v>
      </c>
      <c r="P4265" t="s">
        <v>2069</v>
      </c>
      <c r="Q4265" t="s">
        <v>2069</v>
      </c>
      <c r="R4265" t="s">
        <v>19787</v>
      </c>
      <c r="U4265" t="s">
        <v>19788</v>
      </c>
    </row>
    <row r="4266" spans="1:21" x14ac:dyDescent="0.25">
      <c r="A4266" t="s">
        <v>19789</v>
      </c>
      <c r="B4266" t="s">
        <v>38</v>
      </c>
      <c r="C4266" t="s">
        <v>19790</v>
      </c>
      <c r="E4266" t="s">
        <v>19791</v>
      </c>
      <c r="F4266" t="s">
        <v>19732</v>
      </c>
      <c r="G4266" t="s">
        <v>19733</v>
      </c>
      <c r="H4266">
        <v>107.12365</v>
      </c>
      <c r="I4266">
        <v>20.941659999999999</v>
      </c>
      <c r="J4266">
        <v>205</v>
      </c>
      <c r="K4266" t="s">
        <v>2069</v>
      </c>
      <c r="L4266" t="s">
        <v>2069</v>
      </c>
      <c r="M4266" t="s">
        <v>2069</v>
      </c>
      <c r="N4266" t="s">
        <v>2069</v>
      </c>
      <c r="O4266" t="s">
        <v>2069</v>
      </c>
      <c r="P4266" t="s">
        <v>2069</v>
      </c>
      <c r="Q4266" t="s">
        <v>2069</v>
      </c>
      <c r="R4266" t="s">
        <v>19792</v>
      </c>
      <c r="S4266" t="s">
        <v>19793</v>
      </c>
      <c r="U4266" t="s">
        <v>19794</v>
      </c>
    </row>
    <row r="4267" spans="1:21" x14ac:dyDescent="0.25">
      <c r="A4267" t="s">
        <v>19795</v>
      </c>
      <c r="B4267" t="s">
        <v>32</v>
      </c>
      <c r="C4267" t="s">
        <v>19796</v>
      </c>
      <c r="D4267">
        <f t="shared" ref="D4267:D4293" si="108">27-860690707</f>
        <v>-860690680</v>
      </c>
      <c r="E4267" t="s">
        <v>19797</v>
      </c>
      <c r="F4267" t="s">
        <v>19798</v>
      </c>
      <c r="G4267" t="s">
        <v>19799</v>
      </c>
      <c r="H4267">
        <v>18.422597399999901</v>
      </c>
      <c r="I4267">
        <v>-33.907004100000002</v>
      </c>
      <c r="J4267">
        <v>140</v>
      </c>
      <c r="K4267" t="s">
        <v>312</v>
      </c>
      <c r="L4267" t="s">
        <v>312</v>
      </c>
      <c r="M4267" t="s">
        <v>312</v>
      </c>
      <c r="N4267" t="s">
        <v>312</v>
      </c>
      <c r="O4267" t="s">
        <v>312</v>
      </c>
      <c r="P4267" t="s">
        <v>312</v>
      </c>
      <c r="Q4267" t="s">
        <v>312</v>
      </c>
      <c r="R4267" t="s">
        <v>19800</v>
      </c>
      <c r="S4267" t="s">
        <v>19801</v>
      </c>
      <c r="T4267" t="s">
        <v>19802</v>
      </c>
      <c r="U4267" t="s">
        <v>19803</v>
      </c>
    </row>
    <row r="4268" spans="1:21" x14ac:dyDescent="0.25">
      <c r="A4268" t="s">
        <v>19804</v>
      </c>
      <c r="B4268" t="s">
        <v>32</v>
      </c>
      <c r="C4268" t="s">
        <v>19805</v>
      </c>
      <c r="D4268">
        <f t="shared" si="108"/>
        <v>-860690680</v>
      </c>
      <c r="E4268" t="s">
        <v>19806</v>
      </c>
      <c r="F4268" t="s">
        <v>19798</v>
      </c>
      <c r="G4268" t="s">
        <v>19799</v>
      </c>
      <c r="H4268">
        <v>28.055696000000001</v>
      </c>
      <c r="I4268">
        <v>-26.109154</v>
      </c>
      <c r="J4268">
        <v>140</v>
      </c>
      <c r="K4268" t="s">
        <v>192</v>
      </c>
      <c r="L4268" t="s">
        <v>192</v>
      </c>
      <c r="M4268" t="s">
        <v>192</v>
      </c>
      <c r="N4268" t="s">
        <v>192</v>
      </c>
      <c r="O4268" t="s">
        <v>192</v>
      </c>
      <c r="P4268" t="s">
        <v>192</v>
      </c>
      <c r="Q4268" t="s">
        <v>166</v>
      </c>
      <c r="R4268" t="s">
        <v>19807</v>
      </c>
      <c r="S4268" t="s">
        <v>19808</v>
      </c>
      <c r="U4268" t="s">
        <v>19809</v>
      </c>
    </row>
    <row r="4269" spans="1:21" x14ac:dyDescent="0.25">
      <c r="A4269" t="s">
        <v>19810</v>
      </c>
      <c r="B4269" t="s">
        <v>32</v>
      </c>
      <c r="C4269" t="s">
        <v>19811</v>
      </c>
      <c r="D4269">
        <f t="shared" si="108"/>
        <v>-860690680</v>
      </c>
      <c r="E4269" t="s">
        <v>19806</v>
      </c>
      <c r="F4269" t="s">
        <v>19798</v>
      </c>
      <c r="G4269" t="s">
        <v>19799</v>
      </c>
      <c r="H4269">
        <v>28.1262927</v>
      </c>
      <c r="I4269">
        <v>-25.9991795</v>
      </c>
      <c r="J4269">
        <v>140</v>
      </c>
      <c r="K4269" t="s">
        <v>192</v>
      </c>
      <c r="L4269" t="s">
        <v>192</v>
      </c>
      <c r="M4269" t="s">
        <v>192</v>
      </c>
      <c r="N4269" t="s">
        <v>192</v>
      </c>
      <c r="O4269" t="s">
        <v>192</v>
      </c>
      <c r="P4269" t="s">
        <v>192</v>
      </c>
      <c r="Q4269" t="s">
        <v>192</v>
      </c>
      <c r="R4269" t="s">
        <v>19812</v>
      </c>
      <c r="S4269" t="s">
        <v>19813</v>
      </c>
      <c r="U4269" t="s">
        <v>19814</v>
      </c>
    </row>
    <row r="4270" spans="1:21" x14ac:dyDescent="0.25">
      <c r="A4270" t="s">
        <v>19815</v>
      </c>
      <c r="B4270" t="s">
        <v>22</v>
      </c>
      <c r="C4270" t="s">
        <v>19816</v>
      </c>
      <c r="D4270">
        <f t="shared" si="108"/>
        <v>-860690680</v>
      </c>
      <c r="E4270" t="s">
        <v>19806</v>
      </c>
      <c r="F4270" t="s">
        <v>19798</v>
      </c>
      <c r="G4270" t="s">
        <v>19799</v>
      </c>
      <c r="H4270">
        <v>28.060635999999999</v>
      </c>
      <c r="I4270">
        <v>-26.314806999999998</v>
      </c>
      <c r="J4270">
        <v>140</v>
      </c>
      <c r="K4270" t="s">
        <v>165</v>
      </c>
      <c r="L4270" t="s">
        <v>165</v>
      </c>
      <c r="M4270" t="s">
        <v>165</v>
      </c>
      <c r="N4270" t="s">
        <v>165</v>
      </c>
      <c r="O4270" t="s">
        <v>165</v>
      </c>
      <c r="P4270" t="s">
        <v>165</v>
      </c>
      <c r="Q4270" t="s">
        <v>326</v>
      </c>
      <c r="R4270" t="s">
        <v>19817</v>
      </c>
      <c r="S4270" t="s">
        <v>19806</v>
      </c>
      <c r="U4270" t="s">
        <v>19818</v>
      </c>
    </row>
    <row r="4271" spans="1:21" x14ac:dyDescent="0.25">
      <c r="A4271" t="s">
        <v>19819</v>
      </c>
      <c r="B4271" t="s">
        <v>22</v>
      </c>
      <c r="C4271" t="s">
        <v>19820</v>
      </c>
      <c r="D4271">
        <f t="shared" si="108"/>
        <v>-860690680</v>
      </c>
      <c r="E4271" t="s">
        <v>19806</v>
      </c>
      <c r="F4271" t="s">
        <v>19798</v>
      </c>
      <c r="G4271" t="s">
        <v>19799</v>
      </c>
      <c r="H4271">
        <v>27.905753000000001</v>
      </c>
      <c r="I4271">
        <v>-26.127721999999999</v>
      </c>
      <c r="J4271">
        <v>140</v>
      </c>
      <c r="K4271" t="s">
        <v>165</v>
      </c>
      <c r="L4271" t="s">
        <v>165</v>
      </c>
      <c r="M4271" t="s">
        <v>165</v>
      </c>
      <c r="N4271" t="s">
        <v>165</v>
      </c>
      <c r="O4271" t="s">
        <v>192</v>
      </c>
      <c r="P4271" t="s">
        <v>165</v>
      </c>
      <c r="Q4271" t="s">
        <v>326</v>
      </c>
      <c r="R4271" t="s">
        <v>19821</v>
      </c>
      <c r="S4271" t="s">
        <v>19806</v>
      </c>
      <c r="U4271" t="s">
        <v>19822</v>
      </c>
    </row>
    <row r="4272" spans="1:21" x14ac:dyDescent="0.25">
      <c r="A4272" t="s">
        <v>19823</v>
      </c>
      <c r="B4272" t="s">
        <v>22</v>
      </c>
      <c r="C4272" t="s">
        <v>19824</v>
      </c>
      <c r="D4272">
        <f t="shared" si="108"/>
        <v>-860690680</v>
      </c>
      <c r="E4272" t="s">
        <v>19825</v>
      </c>
      <c r="F4272" t="s">
        <v>19798</v>
      </c>
      <c r="G4272" t="s">
        <v>19799</v>
      </c>
      <c r="H4272">
        <v>30.935744</v>
      </c>
      <c r="I4272">
        <v>-29.849063000000001</v>
      </c>
      <c r="J4272">
        <v>140</v>
      </c>
      <c r="K4272" t="s">
        <v>165</v>
      </c>
      <c r="L4272" t="s">
        <v>165</v>
      </c>
      <c r="M4272" t="s">
        <v>165</v>
      </c>
      <c r="N4272" t="s">
        <v>165</v>
      </c>
      <c r="O4272" t="s">
        <v>165</v>
      </c>
      <c r="P4272" t="s">
        <v>165</v>
      </c>
      <c r="Q4272" t="s">
        <v>165</v>
      </c>
      <c r="R4272" t="s">
        <v>19826</v>
      </c>
      <c r="S4272" t="s">
        <v>19827</v>
      </c>
      <c r="T4272" t="s">
        <v>19828</v>
      </c>
      <c r="U4272" t="s">
        <v>19829</v>
      </c>
    </row>
    <row r="4273" spans="1:21" x14ac:dyDescent="0.25">
      <c r="A4273" t="s">
        <v>19830</v>
      </c>
      <c r="B4273" t="s">
        <v>22</v>
      </c>
      <c r="C4273" t="s">
        <v>19831</v>
      </c>
      <c r="D4273">
        <f t="shared" si="108"/>
        <v>-860690680</v>
      </c>
      <c r="E4273" t="s">
        <v>19797</v>
      </c>
      <c r="F4273" t="s">
        <v>19798</v>
      </c>
      <c r="G4273" t="s">
        <v>19799</v>
      </c>
      <c r="H4273">
        <v>18.823435</v>
      </c>
      <c r="I4273">
        <v>-34.082256999999998</v>
      </c>
      <c r="J4273">
        <v>140</v>
      </c>
      <c r="K4273" t="s">
        <v>165</v>
      </c>
      <c r="L4273" t="s">
        <v>165</v>
      </c>
      <c r="M4273" t="s">
        <v>165</v>
      </c>
      <c r="N4273" t="s">
        <v>165</v>
      </c>
      <c r="O4273" t="s">
        <v>165</v>
      </c>
      <c r="P4273" t="s">
        <v>165</v>
      </c>
      <c r="Q4273" t="s">
        <v>326</v>
      </c>
      <c r="R4273" t="s">
        <v>19832</v>
      </c>
      <c r="S4273" t="s">
        <v>19833</v>
      </c>
      <c r="T4273" t="s">
        <v>19802</v>
      </c>
      <c r="U4273" t="s">
        <v>19834</v>
      </c>
    </row>
    <row r="4274" spans="1:21" x14ac:dyDescent="0.25">
      <c r="A4274" t="s">
        <v>19835</v>
      </c>
      <c r="B4274" t="s">
        <v>22</v>
      </c>
      <c r="C4274" t="s">
        <v>19836</v>
      </c>
      <c r="D4274">
        <f t="shared" si="108"/>
        <v>-860690680</v>
      </c>
      <c r="E4274" t="s">
        <v>19837</v>
      </c>
      <c r="F4274" t="s">
        <v>19798</v>
      </c>
      <c r="G4274" t="s">
        <v>19799</v>
      </c>
      <c r="H4274">
        <v>28.276222000000001</v>
      </c>
      <c r="I4274">
        <v>-25.78238</v>
      </c>
      <c r="J4274">
        <v>140</v>
      </c>
      <c r="K4274" t="s">
        <v>192</v>
      </c>
      <c r="L4274" t="s">
        <v>192</v>
      </c>
      <c r="M4274" t="s">
        <v>192</v>
      </c>
      <c r="N4274" t="s">
        <v>192</v>
      </c>
      <c r="O4274" t="s">
        <v>192</v>
      </c>
      <c r="P4274" t="s">
        <v>192</v>
      </c>
      <c r="Q4274" t="s">
        <v>166</v>
      </c>
      <c r="R4274" t="s">
        <v>19838</v>
      </c>
      <c r="S4274" t="s">
        <v>19839</v>
      </c>
      <c r="U4274" t="s">
        <v>19840</v>
      </c>
    </row>
    <row r="4275" spans="1:21" x14ac:dyDescent="0.25">
      <c r="A4275" t="s">
        <v>19841</v>
      </c>
      <c r="B4275" t="s">
        <v>22</v>
      </c>
      <c r="C4275" t="s">
        <v>8125</v>
      </c>
      <c r="D4275">
        <f t="shared" si="108"/>
        <v>-860690680</v>
      </c>
      <c r="E4275" t="s">
        <v>19806</v>
      </c>
      <c r="F4275" t="s">
        <v>19798</v>
      </c>
      <c r="G4275" t="s">
        <v>19799</v>
      </c>
      <c r="H4275">
        <v>28.1172</v>
      </c>
      <c r="I4275">
        <v>-26.180399999999999</v>
      </c>
      <c r="J4275">
        <v>140</v>
      </c>
      <c r="K4275" t="s">
        <v>165</v>
      </c>
      <c r="L4275" t="s">
        <v>165</v>
      </c>
      <c r="M4275" t="s">
        <v>165</v>
      </c>
      <c r="N4275" t="s">
        <v>165</v>
      </c>
      <c r="O4275" t="s">
        <v>312</v>
      </c>
      <c r="P4275" t="s">
        <v>165</v>
      </c>
      <c r="Q4275" t="s">
        <v>166</v>
      </c>
      <c r="R4275" t="s">
        <v>19842</v>
      </c>
      <c r="S4275" t="s">
        <v>19843</v>
      </c>
      <c r="U4275" t="s">
        <v>19844</v>
      </c>
    </row>
    <row r="4276" spans="1:21" x14ac:dyDescent="0.25">
      <c r="A4276" t="s">
        <v>19845</v>
      </c>
      <c r="B4276" t="s">
        <v>22</v>
      </c>
      <c r="C4276" t="s">
        <v>19846</v>
      </c>
      <c r="D4276">
        <f t="shared" si="108"/>
        <v>-860690680</v>
      </c>
      <c r="E4276" t="s">
        <v>19806</v>
      </c>
      <c r="F4276" t="s">
        <v>19798</v>
      </c>
      <c r="G4276" t="s">
        <v>19799</v>
      </c>
      <c r="H4276">
        <v>28.001899999999999</v>
      </c>
      <c r="I4276">
        <v>-26.009</v>
      </c>
      <c r="J4276">
        <v>140</v>
      </c>
      <c r="K4276" t="s">
        <v>165</v>
      </c>
      <c r="L4276" t="s">
        <v>165</v>
      </c>
      <c r="M4276" t="s">
        <v>165</v>
      </c>
      <c r="N4276" t="s">
        <v>165</v>
      </c>
      <c r="O4276" t="s">
        <v>165</v>
      </c>
      <c r="P4276" t="s">
        <v>165</v>
      </c>
      <c r="Q4276" t="s">
        <v>166</v>
      </c>
      <c r="R4276" t="s">
        <v>19847</v>
      </c>
      <c r="U4276" t="s">
        <v>19848</v>
      </c>
    </row>
    <row r="4277" spans="1:21" x14ac:dyDescent="0.25">
      <c r="A4277" t="s">
        <v>19849</v>
      </c>
      <c r="B4277" t="s">
        <v>22</v>
      </c>
      <c r="C4277" t="s">
        <v>19850</v>
      </c>
      <c r="D4277">
        <f t="shared" si="108"/>
        <v>-860690680</v>
      </c>
      <c r="E4277" t="s">
        <v>19797</v>
      </c>
      <c r="F4277" t="s">
        <v>19798</v>
      </c>
      <c r="G4277" t="s">
        <v>19799</v>
      </c>
      <c r="H4277">
        <v>18.477267999999999</v>
      </c>
      <c r="I4277">
        <v>-33.786191000000002</v>
      </c>
      <c r="J4277">
        <v>140</v>
      </c>
      <c r="K4277" t="s">
        <v>165</v>
      </c>
      <c r="L4277" t="s">
        <v>165</v>
      </c>
      <c r="M4277" t="s">
        <v>165</v>
      </c>
      <c r="N4277" t="s">
        <v>165</v>
      </c>
      <c r="O4277" t="s">
        <v>165</v>
      </c>
      <c r="P4277" t="s">
        <v>165</v>
      </c>
      <c r="Q4277" t="s">
        <v>166</v>
      </c>
      <c r="R4277" t="s">
        <v>19851</v>
      </c>
      <c r="S4277" t="s">
        <v>19852</v>
      </c>
      <c r="T4277" t="s">
        <v>19802</v>
      </c>
      <c r="U4277" t="s">
        <v>19853</v>
      </c>
    </row>
    <row r="4278" spans="1:21" x14ac:dyDescent="0.25">
      <c r="A4278" t="s">
        <v>19854</v>
      </c>
      <c r="B4278" t="s">
        <v>22</v>
      </c>
      <c r="C4278" t="s">
        <v>19855</v>
      </c>
      <c r="D4278">
        <f t="shared" si="108"/>
        <v>-860690680</v>
      </c>
      <c r="E4278" t="s">
        <v>19806</v>
      </c>
      <c r="F4278" t="s">
        <v>19798</v>
      </c>
      <c r="G4278" t="s">
        <v>19799</v>
      </c>
      <c r="H4278">
        <v>28.239621</v>
      </c>
      <c r="I4278">
        <v>-26.181108999999999</v>
      </c>
      <c r="J4278">
        <v>140</v>
      </c>
      <c r="K4278" t="s">
        <v>19856</v>
      </c>
      <c r="L4278" t="s">
        <v>19856</v>
      </c>
      <c r="M4278" t="s">
        <v>19856</v>
      </c>
      <c r="N4278" t="s">
        <v>19856</v>
      </c>
      <c r="O4278" t="s">
        <v>19856</v>
      </c>
      <c r="P4278" t="s">
        <v>19857</v>
      </c>
      <c r="Q4278" t="s">
        <v>19857</v>
      </c>
      <c r="R4278" t="s">
        <v>19858</v>
      </c>
      <c r="S4278" t="s">
        <v>19859</v>
      </c>
      <c r="U4278" t="s">
        <v>19860</v>
      </c>
    </row>
    <row r="4279" spans="1:21" x14ac:dyDescent="0.25">
      <c r="A4279" t="s">
        <v>19861</v>
      </c>
      <c r="B4279" t="s">
        <v>22</v>
      </c>
      <c r="C4279" t="s">
        <v>19862</v>
      </c>
      <c r="D4279">
        <f t="shared" si="108"/>
        <v>-860690680</v>
      </c>
      <c r="E4279" t="s">
        <v>19863</v>
      </c>
      <c r="F4279" t="s">
        <v>19798</v>
      </c>
      <c r="G4279" t="s">
        <v>19799</v>
      </c>
      <c r="H4279">
        <v>30.967587999999999</v>
      </c>
      <c r="I4279">
        <v>-25.468972999999998</v>
      </c>
      <c r="J4279">
        <v>140</v>
      </c>
      <c r="K4279" t="s">
        <v>166</v>
      </c>
      <c r="L4279" t="s">
        <v>166</v>
      </c>
      <c r="M4279" t="s">
        <v>166</v>
      </c>
      <c r="N4279" t="s">
        <v>166</v>
      </c>
      <c r="O4279" t="s">
        <v>166</v>
      </c>
      <c r="P4279" t="s">
        <v>166</v>
      </c>
      <c r="Q4279" t="s">
        <v>19864</v>
      </c>
      <c r="R4279" t="s">
        <v>19865</v>
      </c>
      <c r="S4279" t="s">
        <v>19866</v>
      </c>
      <c r="T4279" t="s">
        <v>19867</v>
      </c>
      <c r="U4279" t="s">
        <v>19868</v>
      </c>
    </row>
    <row r="4280" spans="1:21" x14ac:dyDescent="0.25">
      <c r="A4280" t="s">
        <v>19869</v>
      </c>
      <c r="B4280" t="s">
        <v>32</v>
      </c>
      <c r="C4280" t="s">
        <v>19870</v>
      </c>
      <c r="D4280">
        <f t="shared" si="108"/>
        <v>-860690680</v>
      </c>
      <c r="E4280" t="s">
        <v>19825</v>
      </c>
      <c r="F4280" t="s">
        <v>19798</v>
      </c>
      <c r="G4280" t="s">
        <v>19799</v>
      </c>
      <c r="H4280">
        <v>31.065828</v>
      </c>
      <c r="I4280">
        <v>-29.725999000000002</v>
      </c>
      <c r="J4280">
        <v>140</v>
      </c>
      <c r="K4280" t="s">
        <v>165</v>
      </c>
      <c r="L4280" t="s">
        <v>165</v>
      </c>
      <c r="M4280" t="s">
        <v>165</v>
      </c>
      <c r="N4280" t="s">
        <v>165</v>
      </c>
      <c r="O4280" t="s">
        <v>192</v>
      </c>
      <c r="P4280" t="s">
        <v>192</v>
      </c>
      <c r="Q4280" t="s">
        <v>166</v>
      </c>
      <c r="R4280" t="s">
        <v>19871</v>
      </c>
      <c r="S4280" t="s">
        <v>19872</v>
      </c>
      <c r="T4280" t="s">
        <v>19828</v>
      </c>
      <c r="U4280" t="s">
        <v>19873</v>
      </c>
    </row>
    <row r="4281" spans="1:21" x14ac:dyDescent="0.25">
      <c r="A4281" t="s">
        <v>19874</v>
      </c>
      <c r="B4281" t="s">
        <v>22</v>
      </c>
      <c r="C4281" t="s">
        <v>19875</v>
      </c>
      <c r="D4281">
        <f t="shared" si="108"/>
        <v>-860690680</v>
      </c>
      <c r="E4281" t="s">
        <v>19876</v>
      </c>
      <c r="F4281" t="s">
        <v>19798</v>
      </c>
      <c r="G4281" t="s">
        <v>19799</v>
      </c>
      <c r="H4281">
        <v>29.509640000000001</v>
      </c>
      <c r="I4281">
        <v>-23.873545</v>
      </c>
      <c r="J4281">
        <v>140</v>
      </c>
      <c r="K4281" t="s">
        <v>165</v>
      </c>
      <c r="L4281" t="s">
        <v>165</v>
      </c>
      <c r="M4281" t="s">
        <v>165</v>
      </c>
      <c r="N4281" t="s">
        <v>165</v>
      </c>
      <c r="O4281" t="s">
        <v>165</v>
      </c>
      <c r="P4281" t="s">
        <v>326</v>
      </c>
      <c r="Q4281" t="s">
        <v>326</v>
      </c>
      <c r="R4281" t="s">
        <v>19877</v>
      </c>
      <c r="S4281" t="s">
        <v>19878</v>
      </c>
      <c r="T4281" t="s">
        <v>19879</v>
      </c>
      <c r="U4281" t="s">
        <v>19880</v>
      </c>
    </row>
    <row r="4282" spans="1:21" x14ac:dyDescent="0.25">
      <c r="A4282" t="s">
        <v>19881</v>
      </c>
      <c r="B4282" t="s">
        <v>22</v>
      </c>
      <c r="C4282" t="s">
        <v>19882</v>
      </c>
      <c r="D4282">
        <f t="shared" si="108"/>
        <v>-860690680</v>
      </c>
      <c r="E4282" t="s">
        <v>19883</v>
      </c>
      <c r="F4282" t="s">
        <v>19798</v>
      </c>
      <c r="G4282" t="s">
        <v>19799</v>
      </c>
      <c r="H4282">
        <v>29.264147999999999</v>
      </c>
      <c r="I4282">
        <v>-25.887124</v>
      </c>
      <c r="J4282">
        <v>140</v>
      </c>
      <c r="K4282" t="s">
        <v>166</v>
      </c>
      <c r="L4282" t="s">
        <v>166</v>
      </c>
      <c r="M4282" t="s">
        <v>166</v>
      </c>
      <c r="N4282" t="s">
        <v>166</v>
      </c>
      <c r="O4282" t="s">
        <v>165</v>
      </c>
      <c r="P4282" t="s">
        <v>166</v>
      </c>
      <c r="Q4282" t="s">
        <v>326</v>
      </c>
      <c r="R4282" t="s">
        <v>19884</v>
      </c>
      <c r="S4282" t="s">
        <v>19885</v>
      </c>
      <c r="T4282" t="s">
        <v>19867</v>
      </c>
      <c r="U4282" t="s">
        <v>19886</v>
      </c>
    </row>
    <row r="4283" spans="1:21" x14ac:dyDescent="0.25">
      <c r="A4283" t="s">
        <v>19887</v>
      </c>
      <c r="B4283" t="s">
        <v>22</v>
      </c>
      <c r="C4283" t="s">
        <v>19888</v>
      </c>
      <c r="D4283">
        <f t="shared" si="108"/>
        <v>-860690680</v>
      </c>
      <c r="E4283" t="s">
        <v>19889</v>
      </c>
      <c r="F4283" t="s">
        <v>19798</v>
      </c>
      <c r="G4283" t="s">
        <v>19799</v>
      </c>
      <c r="H4283">
        <v>25.559327</v>
      </c>
      <c r="I4283">
        <v>-33.980111000000001</v>
      </c>
      <c r="J4283">
        <v>140</v>
      </c>
      <c r="K4283" t="s">
        <v>166</v>
      </c>
      <c r="L4283" t="s">
        <v>166</v>
      </c>
      <c r="M4283" t="s">
        <v>166</v>
      </c>
      <c r="N4283" t="s">
        <v>166</v>
      </c>
      <c r="O4283" t="s">
        <v>166</v>
      </c>
      <c r="P4283" t="s">
        <v>326</v>
      </c>
      <c r="Q4283" t="s">
        <v>9895</v>
      </c>
      <c r="R4283" t="s">
        <v>19890</v>
      </c>
      <c r="T4283" t="s">
        <v>19891</v>
      </c>
      <c r="U4283" t="s">
        <v>19892</v>
      </c>
    </row>
    <row r="4284" spans="1:21" x14ac:dyDescent="0.25">
      <c r="A4284" t="s">
        <v>19893</v>
      </c>
      <c r="B4284" t="s">
        <v>22</v>
      </c>
      <c r="C4284" t="s">
        <v>19894</v>
      </c>
      <c r="D4284">
        <f t="shared" si="108"/>
        <v>-860690680</v>
      </c>
      <c r="E4284" t="s">
        <v>19797</v>
      </c>
      <c r="F4284" t="s">
        <v>19798</v>
      </c>
      <c r="G4284" t="s">
        <v>19799</v>
      </c>
      <c r="H4284">
        <v>18.463038999999998</v>
      </c>
      <c r="I4284">
        <v>-33.979666000000002</v>
      </c>
      <c r="J4284">
        <v>140</v>
      </c>
      <c r="K4284" t="s">
        <v>165</v>
      </c>
      <c r="L4284" t="s">
        <v>165</v>
      </c>
      <c r="M4284" t="s">
        <v>165</v>
      </c>
      <c r="N4284" t="s">
        <v>165</v>
      </c>
      <c r="O4284" t="s">
        <v>165</v>
      </c>
      <c r="P4284" t="s">
        <v>165</v>
      </c>
      <c r="Q4284" t="s">
        <v>166</v>
      </c>
      <c r="R4284" t="s">
        <v>19895</v>
      </c>
      <c r="T4284" t="s">
        <v>19802</v>
      </c>
      <c r="U4284" t="s">
        <v>19896</v>
      </c>
    </row>
    <row r="4285" spans="1:21" x14ac:dyDescent="0.25">
      <c r="A4285" t="s">
        <v>19897</v>
      </c>
      <c r="B4285" t="s">
        <v>22</v>
      </c>
      <c r="C4285" t="s">
        <v>19898</v>
      </c>
      <c r="D4285">
        <f t="shared" si="108"/>
        <v>-860690680</v>
      </c>
      <c r="E4285" t="s">
        <v>19806</v>
      </c>
      <c r="F4285" t="s">
        <v>19798</v>
      </c>
      <c r="G4285" t="s">
        <v>19799</v>
      </c>
      <c r="H4285">
        <v>28.040900000000001</v>
      </c>
      <c r="I4285">
        <v>-26.146000000000001</v>
      </c>
      <c r="J4285">
        <v>140</v>
      </c>
      <c r="K4285" t="s">
        <v>165</v>
      </c>
      <c r="L4285" t="s">
        <v>165</v>
      </c>
      <c r="M4285" t="s">
        <v>165</v>
      </c>
      <c r="N4285" t="s">
        <v>165</v>
      </c>
      <c r="O4285" t="s">
        <v>165</v>
      </c>
      <c r="P4285" t="s">
        <v>165</v>
      </c>
      <c r="Q4285" t="s">
        <v>166</v>
      </c>
      <c r="R4285" t="s">
        <v>19899</v>
      </c>
      <c r="S4285" t="s">
        <v>19900</v>
      </c>
      <c r="U4285" t="s">
        <v>19901</v>
      </c>
    </row>
    <row r="4286" spans="1:21" x14ac:dyDescent="0.25">
      <c r="A4286" t="s">
        <v>19902</v>
      </c>
      <c r="B4286" t="s">
        <v>22</v>
      </c>
      <c r="C4286" t="s">
        <v>19903</v>
      </c>
      <c r="D4286">
        <f t="shared" si="108"/>
        <v>-860690680</v>
      </c>
      <c r="E4286" t="s">
        <v>19904</v>
      </c>
      <c r="F4286" t="s">
        <v>19798</v>
      </c>
      <c r="G4286" t="s">
        <v>19799</v>
      </c>
      <c r="H4286">
        <v>32.051242000000002</v>
      </c>
      <c r="I4286">
        <v>-28.752748</v>
      </c>
      <c r="J4286">
        <v>140</v>
      </c>
      <c r="K4286" t="s">
        <v>166</v>
      </c>
      <c r="L4286" t="s">
        <v>166</v>
      </c>
      <c r="M4286" t="s">
        <v>166</v>
      </c>
      <c r="N4286" t="s">
        <v>166</v>
      </c>
      <c r="O4286" t="s">
        <v>165</v>
      </c>
      <c r="P4286" t="s">
        <v>442</v>
      </c>
      <c r="Q4286" t="s">
        <v>5287</v>
      </c>
      <c r="R4286" t="s">
        <v>19905</v>
      </c>
      <c r="S4286" t="s">
        <v>19906</v>
      </c>
      <c r="T4286" t="s">
        <v>19828</v>
      </c>
      <c r="U4286" t="s">
        <v>19907</v>
      </c>
    </row>
    <row r="4287" spans="1:21" x14ac:dyDescent="0.25">
      <c r="A4287" t="s">
        <v>19908</v>
      </c>
      <c r="B4287" t="s">
        <v>22</v>
      </c>
      <c r="C4287" t="s">
        <v>19909</v>
      </c>
      <c r="D4287">
        <f t="shared" si="108"/>
        <v>-860690680</v>
      </c>
      <c r="E4287" t="s">
        <v>19837</v>
      </c>
      <c r="F4287" t="s">
        <v>19798</v>
      </c>
      <c r="G4287" t="s">
        <v>19799</v>
      </c>
      <c r="H4287">
        <v>28.186540999999998</v>
      </c>
      <c r="I4287">
        <v>-25.856801999999998</v>
      </c>
      <c r="J4287">
        <v>140</v>
      </c>
      <c r="K4287" t="s">
        <v>165</v>
      </c>
      <c r="L4287" t="s">
        <v>165</v>
      </c>
      <c r="M4287" t="s">
        <v>165</v>
      </c>
      <c r="N4287" t="s">
        <v>165</v>
      </c>
      <c r="O4287" t="s">
        <v>192</v>
      </c>
      <c r="P4287" t="s">
        <v>16507</v>
      </c>
      <c r="Q4287" t="s">
        <v>326</v>
      </c>
      <c r="R4287" t="s">
        <v>19910</v>
      </c>
      <c r="S4287" t="s">
        <v>19911</v>
      </c>
      <c r="U4287" t="s">
        <v>19912</v>
      </c>
    </row>
    <row r="4288" spans="1:21" x14ac:dyDescent="0.25">
      <c r="A4288" t="s">
        <v>19913</v>
      </c>
      <c r="B4288" t="s">
        <v>38</v>
      </c>
      <c r="C4288" t="s">
        <v>19914</v>
      </c>
      <c r="D4288">
        <f t="shared" si="108"/>
        <v>-860690680</v>
      </c>
      <c r="E4288" t="s">
        <v>19915</v>
      </c>
      <c r="F4288" t="s">
        <v>19798</v>
      </c>
      <c r="G4288" t="s">
        <v>19799</v>
      </c>
      <c r="H4288">
        <v>27.904449</v>
      </c>
      <c r="I4288">
        <v>-32.983803000000002</v>
      </c>
      <c r="J4288">
        <v>140</v>
      </c>
      <c r="K4288" t="s">
        <v>166</v>
      </c>
      <c r="L4288" t="s">
        <v>166</v>
      </c>
      <c r="M4288" t="s">
        <v>166</v>
      </c>
      <c r="N4288" t="s">
        <v>166</v>
      </c>
      <c r="O4288" t="s">
        <v>166</v>
      </c>
      <c r="P4288" t="s">
        <v>326</v>
      </c>
      <c r="Q4288" t="s">
        <v>5287</v>
      </c>
      <c r="R4288" t="s">
        <v>19916</v>
      </c>
      <c r="S4288" t="s">
        <v>19917</v>
      </c>
      <c r="T4288" t="s">
        <v>19891</v>
      </c>
      <c r="U4288" t="s">
        <v>19918</v>
      </c>
    </row>
    <row r="4289" spans="1:21" x14ac:dyDescent="0.25">
      <c r="A4289" t="s">
        <v>19919</v>
      </c>
      <c r="B4289" t="s">
        <v>32</v>
      </c>
      <c r="C4289" t="s">
        <v>19920</v>
      </c>
      <c r="D4289">
        <f t="shared" si="108"/>
        <v>-860690680</v>
      </c>
      <c r="E4289" t="s">
        <v>19797</v>
      </c>
      <c r="F4289" t="s">
        <v>19798</v>
      </c>
      <c r="G4289" t="s">
        <v>19799</v>
      </c>
      <c r="H4289">
        <v>18.511386000000002</v>
      </c>
      <c r="I4289">
        <v>-33.893270999999999</v>
      </c>
      <c r="J4289">
        <v>140</v>
      </c>
      <c r="K4289" t="s">
        <v>312</v>
      </c>
      <c r="L4289" t="s">
        <v>312</v>
      </c>
      <c r="M4289" t="s">
        <v>312</v>
      </c>
      <c r="N4289" t="s">
        <v>312</v>
      </c>
      <c r="O4289" t="s">
        <v>312</v>
      </c>
      <c r="P4289" t="s">
        <v>312</v>
      </c>
      <c r="Q4289" t="s">
        <v>312</v>
      </c>
      <c r="R4289" t="s">
        <v>19921</v>
      </c>
      <c r="S4289" t="s">
        <v>19922</v>
      </c>
      <c r="T4289" t="s">
        <v>19802</v>
      </c>
      <c r="U4289" t="s">
        <v>19923</v>
      </c>
    </row>
    <row r="4290" spans="1:21" x14ac:dyDescent="0.25">
      <c r="A4290" t="s">
        <v>19924</v>
      </c>
      <c r="B4290" t="s">
        <v>38</v>
      </c>
      <c r="C4290" t="s">
        <v>19925</v>
      </c>
      <c r="D4290">
        <f t="shared" si="108"/>
        <v>-860690680</v>
      </c>
      <c r="E4290" t="s">
        <v>19926</v>
      </c>
      <c r="F4290" t="s">
        <v>19798</v>
      </c>
      <c r="G4290" t="s">
        <v>19799</v>
      </c>
      <c r="H4290">
        <v>26.210716000000001</v>
      </c>
      <c r="I4290">
        <v>-29.114604</v>
      </c>
      <c r="J4290">
        <v>140</v>
      </c>
      <c r="K4290" t="s">
        <v>166</v>
      </c>
      <c r="L4290" t="s">
        <v>166</v>
      </c>
      <c r="M4290" t="s">
        <v>166</v>
      </c>
      <c r="N4290" t="s">
        <v>166</v>
      </c>
      <c r="O4290" t="s">
        <v>166</v>
      </c>
      <c r="P4290" t="s">
        <v>1633</v>
      </c>
      <c r="Q4290" t="s">
        <v>9895</v>
      </c>
      <c r="R4290" t="s">
        <v>19927</v>
      </c>
      <c r="S4290" t="s">
        <v>19928</v>
      </c>
      <c r="T4290" t="s">
        <v>19929</v>
      </c>
      <c r="U4290" t="s">
        <v>19930</v>
      </c>
    </row>
    <row r="4291" spans="1:21" x14ac:dyDescent="0.25">
      <c r="A4291" t="s">
        <v>19931</v>
      </c>
      <c r="B4291" t="s">
        <v>22</v>
      </c>
      <c r="C4291" t="s">
        <v>19932</v>
      </c>
      <c r="D4291">
        <f t="shared" si="108"/>
        <v>-860690680</v>
      </c>
      <c r="E4291" t="s">
        <v>19806</v>
      </c>
      <c r="F4291" t="s">
        <v>19798</v>
      </c>
      <c r="G4291" t="s">
        <v>19799</v>
      </c>
      <c r="H4291">
        <v>27.983647000000001</v>
      </c>
      <c r="I4291">
        <v>-26.127327000000001</v>
      </c>
      <c r="J4291">
        <v>140</v>
      </c>
      <c r="K4291" t="s">
        <v>166</v>
      </c>
      <c r="L4291" t="s">
        <v>166</v>
      </c>
      <c r="M4291" t="s">
        <v>166</v>
      </c>
      <c r="N4291" t="s">
        <v>166</v>
      </c>
      <c r="O4291" t="s">
        <v>166</v>
      </c>
      <c r="P4291" t="s">
        <v>166</v>
      </c>
      <c r="Q4291" t="s">
        <v>326</v>
      </c>
      <c r="R4291" t="s">
        <v>19933</v>
      </c>
      <c r="S4291" t="s">
        <v>19934</v>
      </c>
      <c r="U4291" t="s">
        <v>19935</v>
      </c>
    </row>
    <row r="4292" spans="1:21" x14ac:dyDescent="0.25">
      <c r="A4292" t="s">
        <v>19936</v>
      </c>
      <c r="B4292" t="s">
        <v>38</v>
      </c>
      <c r="C4292" t="s">
        <v>19937</v>
      </c>
      <c r="D4292">
        <f t="shared" si="108"/>
        <v>-860690680</v>
      </c>
      <c r="E4292" t="s">
        <v>19797</v>
      </c>
      <c r="F4292" t="s">
        <v>19798</v>
      </c>
      <c r="G4292" t="s">
        <v>19799</v>
      </c>
      <c r="H4292">
        <v>18.859995000000001</v>
      </c>
      <c r="I4292">
        <v>-33.934854000000001</v>
      </c>
      <c r="J4292">
        <v>140</v>
      </c>
      <c r="K4292" t="s">
        <v>166</v>
      </c>
      <c r="L4292" t="s">
        <v>166</v>
      </c>
      <c r="M4292" t="s">
        <v>166</v>
      </c>
      <c r="N4292" t="s">
        <v>166</v>
      </c>
      <c r="O4292" t="s">
        <v>166</v>
      </c>
      <c r="P4292" t="s">
        <v>326</v>
      </c>
      <c r="Q4292" t="s">
        <v>10581</v>
      </c>
      <c r="R4292" t="s">
        <v>19938</v>
      </c>
      <c r="T4292" t="s">
        <v>19802</v>
      </c>
      <c r="U4292" t="s">
        <v>19939</v>
      </c>
    </row>
    <row r="4293" spans="1:21" x14ac:dyDescent="0.25">
      <c r="A4293" t="s">
        <v>19940</v>
      </c>
      <c r="B4293" t="s">
        <v>38</v>
      </c>
      <c r="C4293" t="s">
        <v>8915</v>
      </c>
      <c r="D4293">
        <f t="shared" si="108"/>
        <v>-860690680</v>
      </c>
      <c r="E4293" t="s">
        <v>19806</v>
      </c>
      <c r="F4293" t="s">
        <v>19798</v>
      </c>
      <c r="G4293" t="s">
        <v>19799</v>
      </c>
      <c r="H4293">
        <v>27.861969999999999</v>
      </c>
      <c r="I4293">
        <v>-26.13721</v>
      </c>
      <c r="J4293">
        <v>140</v>
      </c>
      <c r="K4293" t="s">
        <v>166</v>
      </c>
      <c r="L4293" t="s">
        <v>166</v>
      </c>
      <c r="M4293" t="s">
        <v>166</v>
      </c>
      <c r="N4293" t="s">
        <v>166</v>
      </c>
      <c r="O4293" t="s">
        <v>166</v>
      </c>
      <c r="P4293" t="s">
        <v>326</v>
      </c>
      <c r="Q4293" t="s">
        <v>5287</v>
      </c>
      <c r="R4293" t="s">
        <v>19941</v>
      </c>
      <c r="S4293" t="s">
        <v>19942</v>
      </c>
      <c r="T4293" t="s">
        <v>19943</v>
      </c>
      <c r="U4293" t="s">
        <v>19944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1"/>
  <sheetViews>
    <sheetView tabSelected="1" workbookViewId="0">
      <selection activeCell="G8" sqref="G8"/>
    </sheetView>
  </sheetViews>
  <sheetFormatPr defaultRowHeight="15" x14ac:dyDescent="0.25"/>
  <cols>
    <col min="1" max="1" width="12.85546875" bestFit="1" customWidth="1"/>
    <col min="4" max="4" width="22.42578125" bestFit="1" customWidth="1"/>
    <col min="5" max="5" width="19.28515625" customWidth="1"/>
    <col min="6" max="6" width="15" customWidth="1"/>
    <col min="7" max="7" width="15.140625" customWidth="1"/>
  </cols>
  <sheetData>
    <row r="1" spans="1:7" s="1" customFormat="1" x14ac:dyDescent="0.25">
      <c r="A1" s="1" t="s">
        <v>19945</v>
      </c>
      <c r="B1" s="1" t="s">
        <v>19946</v>
      </c>
      <c r="C1" s="1" t="s">
        <v>19947</v>
      </c>
      <c r="D1" s="1" t="s">
        <v>19948</v>
      </c>
      <c r="E1" s="1" t="s">
        <v>19951</v>
      </c>
      <c r="F1" s="1" t="s">
        <v>19950</v>
      </c>
      <c r="G1" s="1" t="s">
        <v>19949</v>
      </c>
    </row>
    <row r="2" spans="1:7" x14ac:dyDescent="0.25">
      <c r="A2" t="s">
        <v>22</v>
      </c>
      <c r="B2" t="s">
        <v>23</v>
      </c>
      <c r="C2" t="s">
        <v>24</v>
      </c>
      <c r="D2" t="s">
        <v>25</v>
      </c>
      <c r="E2" t="s">
        <v>23</v>
      </c>
      <c r="F2" t="s">
        <v>29</v>
      </c>
      <c r="G2" t="s">
        <v>24</v>
      </c>
    </row>
    <row r="3" spans="1:7" x14ac:dyDescent="0.25">
      <c r="A3" t="s">
        <v>32</v>
      </c>
      <c r="B3" t="s">
        <v>33</v>
      </c>
      <c r="C3" t="s">
        <v>24</v>
      </c>
      <c r="D3" t="s">
        <v>25</v>
      </c>
      <c r="E3" t="s">
        <v>33</v>
      </c>
      <c r="F3" t="s">
        <v>35</v>
      </c>
      <c r="G3" t="s">
        <v>24</v>
      </c>
    </row>
    <row r="4" spans="1:7" x14ac:dyDescent="0.25">
      <c r="A4" t="s">
        <v>38</v>
      </c>
      <c r="B4" t="s">
        <v>39</v>
      </c>
      <c r="C4" t="s">
        <v>40</v>
      </c>
      <c r="D4" t="s">
        <v>25</v>
      </c>
      <c r="E4" t="s">
        <v>39</v>
      </c>
      <c r="F4" t="s">
        <v>41</v>
      </c>
      <c r="G4" t="s">
        <v>40</v>
      </c>
    </row>
    <row r="5" spans="1:7" x14ac:dyDescent="0.25">
      <c r="A5" t="s">
        <v>38</v>
      </c>
      <c r="B5" t="s">
        <v>44</v>
      </c>
      <c r="C5" t="s">
        <v>40</v>
      </c>
      <c r="D5" t="s">
        <v>25</v>
      </c>
      <c r="E5" t="s">
        <v>44</v>
      </c>
      <c r="F5" t="s">
        <v>46</v>
      </c>
      <c r="G5" t="s">
        <v>40</v>
      </c>
    </row>
    <row r="6" spans="1:7" x14ac:dyDescent="0.25">
      <c r="A6" t="s">
        <v>22</v>
      </c>
      <c r="B6" t="s">
        <v>52</v>
      </c>
      <c r="C6" t="s">
        <v>24</v>
      </c>
      <c r="D6" t="s">
        <v>25</v>
      </c>
      <c r="E6" t="s">
        <v>52</v>
      </c>
      <c r="F6" t="s">
        <v>53</v>
      </c>
      <c r="G6" t="s">
        <v>24</v>
      </c>
    </row>
    <row r="7" spans="1:7" x14ac:dyDescent="0.25">
      <c r="A7" t="s">
        <v>38</v>
      </c>
      <c r="B7" t="s">
        <v>56</v>
      </c>
      <c r="C7" t="s">
        <v>57</v>
      </c>
      <c r="D7" t="s">
        <v>25</v>
      </c>
      <c r="E7" t="s">
        <v>56</v>
      </c>
      <c r="F7" t="s">
        <v>58</v>
      </c>
      <c r="G7" t="s">
        <v>57</v>
      </c>
    </row>
    <row r="8" spans="1:7" x14ac:dyDescent="0.25">
      <c r="A8" t="s">
        <v>22</v>
      </c>
      <c r="B8" t="s">
        <v>61</v>
      </c>
      <c r="C8" t="s">
        <v>40</v>
      </c>
      <c r="D8" t="s">
        <v>25</v>
      </c>
      <c r="E8" t="s">
        <v>61</v>
      </c>
      <c r="F8" t="s">
        <v>62</v>
      </c>
      <c r="G8" t="s">
        <v>40</v>
      </c>
    </row>
    <row r="9" spans="1:7" x14ac:dyDescent="0.25">
      <c r="A9" t="s">
        <v>22</v>
      </c>
      <c r="B9" t="s">
        <v>72</v>
      </c>
      <c r="C9" t="s">
        <v>40</v>
      </c>
      <c r="D9" t="s">
        <v>25</v>
      </c>
      <c r="E9" t="s">
        <v>72</v>
      </c>
      <c r="F9" t="s">
        <v>73</v>
      </c>
      <c r="G9" t="s">
        <v>24</v>
      </c>
    </row>
    <row r="10" spans="1:7" x14ac:dyDescent="0.25">
      <c r="A10" t="s">
        <v>38</v>
      </c>
      <c r="B10" t="s">
        <v>76</v>
      </c>
      <c r="C10" t="s">
        <v>24</v>
      </c>
      <c r="D10" t="s">
        <v>25</v>
      </c>
      <c r="E10" t="s">
        <v>76</v>
      </c>
      <c r="F10" t="s">
        <v>78</v>
      </c>
      <c r="G10" t="s">
        <v>24</v>
      </c>
    </row>
    <row r="11" spans="1:7" x14ac:dyDescent="0.25">
      <c r="A11" t="s">
        <v>22</v>
      </c>
      <c r="B11" t="s">
        <v>81</v>
      </c>
      <c r="C11" t="s">
        <v>40</v>
      </c>
      <c r="D11" t="s">
        <v>25</v>
      </c>
      <c r="E11" t="s">
        <v>81</v>
      </c>
      <c r="F11" t="s">
        <v>82</v>
      </c>
      <c r="G11" t="s">
        <v>40</v>
      </c>
    </row>
    <row r="12" spans="1:7" x14ac:dyDescent="0.25">
      <c r="A12" t="s">
        <v>38</v>
      </c>
      <c r="B12" t="s">
        <v>85</v>
      </c>
      <c r="C12" t="s">
        <v>86</v>
      </c>
      <c r="D12" t="s">
        <v>25</v>
      </c>
      <c r="E12" t="s">
        <v>85</v>
      </c>
      <c r="F12" t="s">
        <v>88</v>
      </c>
      <c r="G12" t="s">
        <v>86</v>
      </c>
    </row>
    <row r="13" spans="1:7" x14ac:dyDescent="0.25">
      <c r="A13" t="s">
        <v>22</v>
      </c>
      <c r="B13" t="s">
        <v>91</v>
      </c>
      <c r="C13" t="s">
        <v>24</v>
      </c>
      <c r="D13" t="s">
        <v>25</v>
      </c>
      <c r="E13" t="s">
        <v>91</v>
      </c>
      <c r="F13" t="s">
        <v>93</v>
      </c>
      <c r="G13" t="s">
        <v>24</v>
      </c>
    </row>
    <row r="14" spans="1:7" x14ac:dyDescent="0.25">
      <c r="A14" t="s">
        <v>22</v>
      </c>
      <c r="B14" t="s">
        <v>91</v>
      </c>
      <c r="C14" t="s">
        <v>24</v>
      </c>
      <c r="D14" t="s">
        <v>25</v>
      </c>
      <c r="E14" t="s">
        <v>91</v>
      </c>
      <c r="F14" t="s">
        <v>93</v>
      </c>
      <c r="G14" t="s">
        <v>24</v>
      </c>
    </row>
    <row r="15" spans="1:7" x14ac:dyDescent="0.25">
      <c r="A15" t="s">
        <v>38</v>
      </c>
      <c r="B15" t="s">
        <v>100</v>
      </c>
      <c r="C15" t="s">
        <v>101</v>
      </c>
      <c r="D15" t="s">
        <v>25</v>
      </c>
      <c r="E15" t="s">
        <v>100</v>
      </c>
      <c r="F15" t="s">
        <v>102</v>
      </c>
      <c r="G15" t="s">
        <v>24</v>
      </c>
    </row>
    <row r="16" spans="1:7" x14ac:dyDescent="0.25">
      <c r="A16" t="s">
        <v>38</v>
      </c>
      <c r="B16" t="s">
        <v>105</v>
      </c>
      <c r="C16" t="s">
        <v>101</v>
      </c>
      <c r="D16" t="s">
        <v>25</v>
      </c>
      <c r="E16" t="s">
        <v>105</v>
      </c>
      <c r="F16" t="s">
        <v>106</v>
      </c>
      <c r="G16" t="s">
        <v>24</v>
      </c>
    </row>
    <row r="17" spans="1:7" x14ac:dyDescent="0.25">
      <c r="A17" t="s">
        <v>38</v>
      </c>
      <c r="B17" t="s">
        <v>109</v>
      </c>
      <c r="C17" t="s">
        <v>40</v>
      </c>
      <c r="D17" t="s">
        <v>25</v>
      </c>
      <c r="E17" t="s">
        <v>109</v>
      </c>
      <c r="F17" t="s">
        <v>110</v>
      </c>
      <c r="G17" t="s">
        <v>40</v>
      </c>
    </row>
    <row r="18" spans="1:7" x14ac:dyDescent="0.25">
      <c r="A18" t="s">
        <v>22</v>
      </c>
      <c r="B18" t="s">
        <v>113</v>
      </c>
      <c r="C18" t="s">
        <v>40</v>
      </c>
      <c r="D18" t="s">
        <v>25</v>
      </c>
      <c r="E18" t="s">
        <v>113</v>
      </c>
      <c r="F18" t="s">
        <v>114</v>
      </c>
      <c r="G18" t="s">
        <v>40</v>
      </c>
    </row>
    <row r="19" spans="1:7" x14ac:dyDescent="0.25">
      <c r="A19" t="s">
        <v>22</v>
      </c>
      <c r="B19" t="s">
        <v>117</v>
      </c>
      <c r="C19" t="s">
        <v>24</v>
      </c>
      <c r="D19" t="s">
        <v>25</v>
      </c>
      <c r="E19" t="s">
        <v>117</v>
      </c>
      <c r="F19" t="s">
        <v>118</v>
      </c>
      <c r="G19" t="s">
        <v>24</v>
      </c>
    </row>
    <row r="20" spans="1:7" x14ac:dyDescent="0.25">
      <c r="A20" t="s">
        <v>22</v>
      </c>
      <c r="B20" t="s">
        <v>121</v>
      </c>
      <c r="C20" t="s">
        <v>66</v>
      </c>
      <c r="D20" t="s">
        <v>25</v>
      </c>
      <c r="E20" t="s">
        <v>121</v>
      </c>
      <c r="F20" t="s">
        <v>122</v>
      </c>
      <c r="G20" t="s">
        <v>66</v>
      </c>
    </row>
    <row r="21" spans="1:7" x14ac:dyDescent="0.25">
      <c r="A21" t="s">
        <v>22</v>
      </c>
      <c r="B21" t="s">
        <v>136</v>
      </c>
      <c r="C21" t="s">
        <v>101</v>
      </c>
      <c r="D21" t="s">
        <v>25</v>
      </c>
      <c r="E21" t="s">
        <v>136</v>
      </c>
      <c r="F21" t="s">
        <v>137</v>
      </c>
      <c r="G21" t="s">
        <v>40</v>
      </c>
    </row>
    <row r="22" spans="1:7" x14ac:dyDescent="0.25">
      <c r="A22" t="s">
        <v>22</v>
      </c>
      <c r="B22" t="s">
        <v>150</v>
      </c>
      <c r="C22" t="s">
        <v>24</v>
      </c>
      <c r="D22" t="s">
        <v>25</v>
      </c>
      <c r="E22" t="s">
        <v>150</v>
      </c>
      <c r="F22" t="s">
        <v>151</v>
      </c>
      <c r="G22" t="s">
        <v>24</v>
      </c>
    </row>
    <row r="23" spans="1:7" x14ac:dyDescent="0.25">
      <c r="A23" t="s">
        <v>22</v>
      </c>
      <c r="B23" t="s">
        <v>157</v>
      </c>
      <c r="C23" t="s">
        <v>24</v>
      </c>
      <c r="D23" t="s">
        <v>25</v>
      </c>
      <c r="E23" t="s">
        <v>157</v>
      </c>
      <c r="F23" t="s">
        <v>158</v>
      </c>
      <c r="G23" t="s">
        <v>24</v>
      </c>
    </row>
    <row r="24" spans="1:7" x14ac:dyDescent="0.25">
      <c r="A24" t="s">
        <v>32</v>
      </c>
      <c r="B24" t="s">
        <v>450</v>
      </c>
      <c r="C24" t="s">
        <v>191</v>
      </c>
      <c r="D24" t="s">
        <v>163</v>
      </c>
      <c r="E24" t="s">
        <v>450</v>
      </c>
      <c r="F24" t="s">
        <v>451</v>
      </c>
      <c r="G24" t="s">
        <v>191</v>
      </c>
    </row>
    <row r="25" spans="1:7" x14ac:dyDescent="0.25">
      <c r="A25" t="s">
        <v>22</v>
      </c>
      <c r="B25" t="s">
        <v>454</v>
      </c>
      <c r="C25" t="s">
        <v>191</v>
      </c>
      <c r="D25" t="s">
        <v>163</v>
      </c>
      <c r="E25" t="s">
        <v>454</v>
      </c>
      <c r="F25" t="s">
        <v>455</v>
      </c>
      <c r="G25" t="s">
        <v>191</v>
      </c>
    </row>
    <row r="26" spans="1:7" x14ac:dyDescent="0.25">
      <c r="A26" t="s">
        <v>22</v>
      </c>
      <c r="B26" t="s">
        <v>458</v>
      </c>
      <c r="C26" t="s">
        <v>459</v>
      </c>
      <c r="D26" t="s">
        <v>163</v>
      </c>
      <c r="E26" t="s">
        <v>458</v>
      </c>
      <c r="F26" t="s">
        <v>460</v>
      </c>
      <c r="G26" t="s">
        <v>211</v>
      </c>
    </row>
    <row r="27" spans="1:7" x14ac:dyDescent="0.25">
      <c r="A27" t="s">
        <v>22</v>
      </c>
      <c r="B27" t="s">
        <v>484</v>
      </c>
      <c r="C27" t="s">
        <v>409</v>
      </c>
      <c r="D27" t="s">
        <v>163</v>
      </c>
      <c r="E27" t="s">
        <v>485</v>
      </c>
      <c r="F27" t="s">
        <v>486</v>
      </c>
      <c r="G27" t="s">
        <v>179</v>
      </c>
    </row>
    <row r="28" spans="1:7" x14ac:dyDescent="0.25">
      <c r="A28" t="s">
        <v>22</v>
      </c>
      <c r="B28" t="s">
        <v>489</v>
      </c>
      <c r="C28" t="s">
        <v>490</v>
      </c>
      <c r="D28" t="s">
        <v>163</v>
      </c>
      <c r="E28" t="s">
        <v>489</v>
      </c>
      <c r="F28" t="s">
        <v>491</v>
      </c>
      <c r="G28" t="s">
        <v>273</v>
      </c>
    </row>
    <row r="29" spans="1:7" x14ac:dyDescent="0.25">
      <c r="A29" t="s">
        <v>38</v>
      </c>
      <c r="B29" t="s">
        <v>720</v>
      </c>
      <c r="C29" t="s">
        <v>721</v>
      </c>
      <c r="D29" t="s">
        <v>715</v>
      </c>
      <c r="E29" t="s">
        <v>720</v>
      </c>
      <c r="F29" t="s">
        <v>722</v>
      </c>
      <c r="G29" t="s">
        <v>723</v>
      </c>
    </row>
    <row r="30" spans="1:7" x14ac:dyDescent="0.25">
      <c r="A30" t="s">
        <v>38</v>
      </c>
      <c r="B30" t="s">
        <v>736</v>
      </c>
      <c r="C30" t="s">
        <v>737</v>
      </c>
      <c r="D30" t="s">
        <v>715</v>
      </c>
      <c r="E30" t="s">
        <v>738</v>
      </c>
      <c r="F30" t="s">
        <v>739</v>
      </c>
      <c r="G30" t="s">
        <v>740</v>
      </c>
    </row>
    <row r="31" spans="1:7" x14ac:dyDescent="0.25">
      <c r="A31" t="s">
        <v>38</v>
      </c>
      <c r="B31" t="s">
        <v>736</v>
      </c>
      <c r="C31" t="s">
        <v>748</v>
      </c>
      <c r="D31" t="s">
        <v>715</v>
      </c>
      <c r="E31" t="s">
        <v>749</v>
      </c>
      <c r="F31" t="s">
        <v>750</v>
      </c>
      <c r="G31" t="s">
        <v>751</v>
      </c>
    </row>
    <row r="32" spans="1:7" x14ac:dyDescent="0.25">
      <c r="A32" t="s">
        <v>22</v>
      </c>
      <c r="B32" t="s">
        <v>786</v>
      </c>
      <c r="C32" t="s">
        <v>787</v>
      </c>
      <c r="D32" t="s">
        <v>715</v>
      </c>
      <c r="E32" t="s">
        <v>788</v>
      </c>
      <c r="F32" t="s">
        <v>789</v>
      </c>
      <c r="G32" t="s">
        <v>723</v>
      </c>
    </row>
    <row r="33" spans="1:7" x14ac:dyDescent="0.25">
      <c r="A33" t="s">
        <v>22</v>
      </c>
      <c r="B33" t="s">
        <v>814</v>
      </c>
      <c r="C33" t="s">
        <v>815</v>
      </c>
      <c r="D33" t="s">
        <v>715</v>
      </c>
      <c r="E33" t="s">
        <v>814</v>
      </c>
      <c r="F33" t="s">
        <v>816</v>
      </c>
      <c r="G33" t="s">
        <v>723</v>
      </c>
    </row>
    <row r="34" spans="1:7" x14ac:dyDescent="0.25">
      <c r="A34" t="s">
        <v>22</v>
      </c>
      <c r="B34" t="s">
        <v>861</v>
      </c>
      <c r="C34" t="s">
        <v>748</v>
      </c>
      <c r="D34" t="s">
        <v>715</v>
      </c>
      <c r="E34" t="s">
        <v>862</v>
      </c>
      <c r="F34" t="s">
        <v>863</v>
      </c>
      <c r="G34" t="s">
        <v>751</v>
      </c>
    </row>
    <row r="35" spans="1:7" x14ac:dyDescent="0.25">
      <c r="A35" t="s">
        <v>38</v>
      </c>
      <c r="B35" t="s">
        <v>988</v>
      </c>
      <c r="C35" t="s">
        <v>989</v>
      </c>
      <c r="D35" t="s">
        <v>715</v>
      </c>
      <c r="E35" t="s">
        <v>988</v>
      </c>
      <c r="F35" t="s">
        <v>990</v>
      </c>
      <c r="G35" t="s">
        <v>723</v>
      </c>
    </row>
    <row r="36" spans="1:7" x14ac:dyDescent="0.25">
      <c r="A36" t="s">
        <v>22</v>
      </c>
      <c r="B36" t="s">
        <v>1413</v>
      </c>
      <c r="C36" t="s">
        <v>1414</v>
      </c>
      <c r="D36" t="s">
        <v>1120</v>
      </c>
      <c r="E36" t="s">
        <v>1415</v>
      </c>
      <c r="F36" t="s">
        <v>1415</v>
      </c>
      <c r="G36" t="s">
        <v>1172</v>
      </c>
    </row>
    <row r="37" spans="1:7" x14ac:dyDescent="0.25">
      <c r="A37" t="s">
        <v>38</v>
      </c>
      <c r="B37" t="s">
        <v>3534</v>
      </c>
      <c r="C37" t="s">
        <v>3535</v>
      </c>
      <c r="D37" t="s">
        <v>2049</v>
      </c>
      <c r="E37" t="s">
        <v>3534</v>
      </c>
      <c r="F37" t="s">
        <v>3535</v>
      </c>
      <c r="G37" t="s">
        <v>2095</v>
      </c>
    </row>
    <row r="38" spans="1:7" x14ac:dyDescent="0.25">
      <c r="A38" t="s">
        <v>38</v>
      </c>
      <c r="B38" t="s">
        <v>3766</v>
      </c>
      <c r="C38" t="s">
        <v>2093</v>
      </c>
      <c r="D38" t="s">
        <v>2049</v>
      </c>
      <c r="E38" t="s">
        <v>3766</v>
      </c>
      <c r="F38" t="s">
        <v>3767</v>
      </c>
      <c r="G38" t="s">
        <v>2095</v>
      </c>
    </row>
    <row r="39" spans="1:7" x14ac:dyDescent="0.25">
      <c r="A39" t="s">
        <v>38</v>
      </c>
      <c r="B39" t="s">
        <v>3808</v>
      </c>
      <c r="C39" t="s">
        <v>2396</v>
      </c>
      <c r="D39" t="s">
        <v>2049</v>
      </c>
      <c r="E39" t="s">
        <v>3809</v>
      </c>
      <c r="F39" t="s">
        <v>3810</v>
      </c>
      <c r="G39" t="s">
        <v>2398</v>
      </c>
    </row>
    <row r="40" spans="1:7" x14ac:dyDescent="0.25">
      <c r="A40" t="s">
        <v>32</v>
      </c>
      <c r="B40" t="s">
        <v>3823</v>
      </c>
      <c r="C40" t="s">
        <v>3825</v>
      </c>
      <c r="D40" t="s">
        <v>3826</v>
      </c>
      <c r="E40" t="s">
        <v>3823</v>
      </c>
      <c r="F40" t="s">
        <v>3828</v>
      </c>
      <c r="G40" t="s">
        <v>3829</v>
      </c>
    </row>
    <row r="41" spans="1:7" x14ac:dyDescent="0.25">
      <c r="A41" t="s">
        <v>22</v>
      </c>
      <c r="B41" t="s">
        <v>3832</v>
      </c>
      <c r="C41" t="s">
        <v>3833</v>
      </c>
      <c r="D41" t="s">
        <v>3826</v>
      </c>
      <c r="E41" t="s">
        <v>3832</v>
      </c>
      <c r="F41" t="s">
        <v>3834</v>
      </c>
      <c r="G41" t="s">
        <v>3835</v>
      </c>
    </row>
    <row r="42" spans="1:7" x14ac:dyDescent="0.25">
      <c r="A42" t="s">
        <v>22</v>
      </c>
      <c r="B42" t="s">
        <v>3838</v>
      </c>
      <c r="C42" t="s">
        <v>3825</v>
      </c>
      <c r="D42" t="s">
        <v>3826</v>
      </c>
      <c r="E42" t="s">
        <v>3838</v>
      </c>
      <c r="F42" t="s">
        <v>3839</v>
      </c>
      <c r="G42" t="s">
        <v>3829</v>
      </c>
    </row>
    <row r="43" spans="1:7" x14ac:dyDescent="0.25">
      <c r="A43" t="s">
        <v>22</v>
      </c>
      <c r="B43" t="s">
        <v>3873</v>
      </c>
      <c r="C43" t="s">
        <v>3825</v>
      </c>
      <c r="D43" t="s">
        <v>3826</v>
      </c>
      <c r="E43" t="s">
        <v>3874</v>
      </c>
      <c r="F43" t="s">
        <v>3875</v>
      </c>
      <c r="G43" t="s">
        <v>3829</v>
      </c>
    </row>
    <row r="44" spans="1:7" x14ac:dyDescent="0.25">
      <c r="A44" t="s">
        <v>22</v>
      </c>
      <c r="B44" t="s">
        <v>3878</v>
      </c>
      <c r="C44" t="s">
        <v>3847</v>
      </c>
      <c r="D44" t="s">
        <v>3826</v>
      </c>
      <c r="E44" t="s">
        <v>3878</v>
      </c>
      <c r="F44" t="s">
        <v>3880</v>
      </c>
      <c r="G44" t="s">
        <v>3862</v>
      </c>
    </row>
    <row r="45" spans="1:7" x14ac:dyDescent="0.25">
      <c r="A45" t="s">
        <v>22</v>
      </c>
      <c r="B45" t="s">
        <v>4255</v>
      </c>
      <c r="C45" t="s">
        <v>4256</v>
      </c>
      <c r="D45" t="s">
        <v>4114</v>
      </c>
      <c r="E45" t="s">
        <v>4257</v>
      </c>
      <c r="F45" t="s">
        <v>4257</v>
      </c>
      <c r="G45" t="s">
        <v>4258</v>
      </c>
    </row>
    <row r="46" spans="1:7" x14ac:dyDescent="0.25">
      <c r="A46" t="s">
        <v>22</v>
      </c>
      <c r="B46" t="s">
        <v>6251</v>
      </c>
      <c r="C46" t="s">
        <v>6252</v>
      </c>
      <c r="D46" t="s">
        <v>6219</v>
      </c>
      <c r="E46" t="s">
        <v>6251</v>
      </c>
      <c r="F46" t="s">
        <v>6253</v>
      </c>
      <c r="G46" t="s">
        <v>6254</v>
      </c>
    </row>
    <row r="47" spans="1:7" x14ac:dyDescent="0.25">
      <c r="A47" t="s">
        <v>22</v>
      </c>
      <c r="B47" t="s">
        <v>6257</v>
      </c>
      <c r="C47" t="s">
        <v>6258</v>
      </c>
      <c r="D47" t="s">
        <v>6219</v>
      </c>
      <c r="E47" t="s">
        <v>6257</v>
      </c>
      <c r="F47" t="s">
        <v>6259</v>
      </c>
      <c r="G47" t="s">
        <v>6260</v>
      </c>
    </row>
    <row r="48" spans="1:7" x14ac:dyDescent="0.25">
      <c r="A48" t="s">
        <v>22</v>
      </c>
      <c r="B48" t="s">
        <v>6281</v>
      </c>
      <c r="C48" t="s">
        <v>6282</v>
      </c>
      <c r="D48" t="s">
        <v>6219</v>
      </c>
      <c r="E48" t="s">
        <v>6281</v>
      </c>
      <c r="F48" t="s">
        <v>6283</v>
      </c>
      <c r="G48" t="s">
        <v>6254</v>
      </c>
    </row>
    <row r="49" spans="1:7" x14ac:dyDescent="0.25">
      <c r="A49" t="s">
        <v>22</v>
      </c>
      <c r="B49" t="s">
        <v>6312</v>
      </c>
      <c r="C49" t="s">
        <v>6258</v>
      </c>
      <c r="D49" t="s">
        <v>6219</v>
      </c>
      <c r="E49" t="s">
        <v>6312</v>
      </c>
      <c r="F49" t="s">
        <v>6313</v>
      </c>
      <c r="G49" t="s">
        <v>6260</v>
      </c>
    </row>
    <row r="50" spans="1:7" x14ac:dyDescent="0.25">
      <c r="A50" t="s">
        <v>22</v>
      </c>
      <c r="B50" t="s">
        <v>6316</v>
      </c>
      <c r="C50" t="s">
        <v>6317</v>
      </c>
      <c r="D50" t="s">
        <v>6219</v>
      </c>
      <c r="E50" t="s">
        <v>6316</v>
      </c>
      <c r="F50" t="s">
        <v>6318</v>
      </c>
      <c r="G50" t="s">
        <v>6319</v>
      </c>
    </row>
    <row r="51" spans="1:7" x14ac:dyDescent="0.25">
      <c r="A51" t="s">
        <v>22</v>
      </c>
      <c r="B51" t="s">
        <v>6353</v>
      </c>
      <c r="C51" t="s">
        <v>6242</v>
      </c>
      <c r="D51" t="s">
        <v>6219</v>
      </c>
      <c r="E51" t="s">
        <v>6354</v>
      </c>
      <c r="F51" t="s">
        <v>6354</v>
      </c>
      <c r="G51" t="s">
        <v>6243</v>
      </c>
    </row>
    <row r="52" spans="1:7" x14ac:dyDescent="0.25">
      <c r="A52" t="s">
        <v>22</v>
      </c>
      <c r="B52" t="s">
        <v>6368</v>
      </c>
      <c r="C52" t="s">
        <v>6369</v>
      </c>
      <c r="D52" t="s">
        <v>6219</v>
      </c>
      <c r="E52" t="s">
        <v>6368</v>
      </c>
      <c r="F52" t="s">
        <v>6370</v>
      </c>
      <c r="G52" t="s">
        <v>6371</v>
      </c>
    </row>
    <row r="53" spans="1:7" x14ac:dyDescent="0.25">
      <c r="A53" t="s">
        <v>22</v>
      </c>
      <c r="B53" t="s">
        <v>6382</v>
      </c>
      <c r="C53" t="s">
        <v>6383</v>
      </c>
      <c r="D53" t="s">
        <v>6219</v>
      </c>
      <c r="E53" t="s">
        <v>6382</v>
      </c>
      <c r="F53" t="s">
        <v>6384</v>
      </c>
      <c r="G53" t="s">
        <v>6319</v>
      </c>
    </row>
    <row r="54" spans="1:7" x14ac:dyDescent="0.25">
      <c r="A54" t="s">
        <v>22</v>
      </c>
      <c r="B54" t="s">
        <v>6397</v>
      </c>
      <c r="C54" t="s">
        <v>6398</v>
      </c>
      <c r="D54" t="s">
        <v>6219</v>
      </c>
      <c r="E54" t="s">
        <v>6397</v>
      </c>
      <c r="F54" t="s">
        <v>6399</v>
      </c>
      <c r="G54" t="s">
        <v>6400</v>
      </c>
    </row>
    <row r="55" spans="1:7" x14ac:dyDescent="0.25">
      <c r="A55" t="s">
        <v>22</v>
      </c>
      <c r="B55" t="s">
        <v>6408</v>
      </c>
      <c r="C55" t="s">
        <v>6409</v>
      </c>
      <c r="D55" t="s">
        <v>6219</v>
      </c>
      <c r="E55" t="s">
        <v>6408</v>
      </c>
      <c r="F55" t="s">
        <v>6410</v>
      </c>
      <c r="G55" t="s">
        <v>6319</v>
      </c>
    </row>
    <row r="56" spans="1:7" x14ac:dyDescent="0.25">
      <c r="A56" t="s">
        <v>22</v>
      </c>
      <c r="B56" t="s">
        <v>6418</v>
      </c>
      <c r="C56" t="s">
        <v>6419</v>
      </c>
      <c r="D56" t="s">
        <v>6219</v>
      </c>
      <c r="E56" t="s">
        <v>6418</v>
      </c>
      <c r="F56" t="s">
        <v>6420</v>
      </c>
      <c r="G56" t="s">
        <v>6371</v>
      </c>
    </row>
    <row r="57" spans="1:7" x14ac:dyDescent="0.25">
      <c r="A57" t="s">
        <v>22</v>
      </c>
      <c r="B57" t="s">
        <v>6432</v>
      </c>
      <c r="C57" t="s">
        <v>6433</v>
      </c>
      <c r="D57" t="s">
        <v>6219</v>
      </c>
      <c r="E57" t="s">
        <v>6432</v>
      </c>
      <c r="F57" t="s">
        <v>6434</v>
      </c>
      <c r="G57" t="s">
        <v>6400</v>
      </c>
    </row>
    <row r="58" spans="1:7" x14ac:dyDescent="0.25">
      <c r="A58" t="s">
        <v>22</v>
      </c>
      <c r="B58" t="s">
        <v>6444</v>
      </c>
      <c r="C58" t="s">
        <v>6242</v>
      </c>
      <c r="D58" t="s">
        <v>6219</v>
      </c>
      <c r="E58" t="s">
        <v>6445</v>
      </c>
      <c r="F58" t="s">
        <v>6445</v>
      </c>
      <c r="G58" t="s">
        <v>6243</v>
      </c>
    </row>
    <row r="59" spans="1:7" x14ac:dyDescent="0.25">
      <c r="A59" t="s">
        <v>22</v>
      </c>
      <c r="B59" t="s">
        <v>6490</v>
      </c>
      <c r="C59" t="s">
        <v>6252</v>
      </c>
      <c r="D59" t="s">
        <v>6219</v>
      </c>
      <c r="E59" t="s">
        <v>6490</v>
      </c>
      <c r="F59" t="s">
        <v>6491</v>
      </c>
      <c r="G59" t="s">
        <v>6254</v>
      </c>
    </row>
    <row r="60" spans="1:7" x14ac:dyDescent="0.25">
      <c r="A60" t="s">
        <v>22</v>
      </c>
      <c r="B60" t="s">
        <v>6501</v>
      </c>
      <c r="C60" t="s">
        <v>6502</v>
      </c>
      <c r="D60" t="s">
        <v>6219</v>
      </c>
      <c r="E60" t="s">
        <v>6501</v>
      </c>
      <c r="F60" t="s">
        <v>6503</v>
      </c>
      <c r="G60" t="s">
        <v>6504</v>
      </c>
    </row>
    <row r="61" spans="1:7" x14ac:dyDescent="0.25">
      <c r="A61" t="s">
        <v>22</v>
      </c>
      <c r="B61" t="s">
        <v>6507</v>
      </c>
      <c r="C61" t="s">
        <v>6433</v>
      </c>
      <c r="D61" t="s">
        <v>6219</v>
      </c>
      <c r="E61" t="s">
        <v>6508</v>
      </c>
      <c r="F61" t="s">
        <v>6509</v>
      </c>
      <c r="G61" t="s">
        <v>6400</v>
      </c>
    </row>
    <row r="62" spans="1:7" x14ac:dyDescent="0.25">
      <c r="A62" t="s">
        <v>22</v>
      </c>
      <c r="B62" t="s">
        <v>6525</v>
      </c>
      <c r="C62" t="s">
        <v>6526</v>
      </c>
      <c r="D62" t="s">
        <v>6219</v>
      </c>
      <c r="E62" t="s">
        <v>6525</v>
      </c>
      <c r="F62" t="s">
        <v>6527</v>
      </c>
      <c r="G62" t="s">
        <v>6400</v>
      </c>
    </row>
    <row r="63" spans="1:7" x14ac:dyDescent="0.25">
      <c r="A63" t="s">
        <v>22</v>
      </c>
      <c r="B63" t="s">
        <v>6530</v>
      </c>
      <c r="C63" t="s">
        <v>6526</v>
      </c>
      <c r="D63" t="s">
        <v>6219</v>
      </c>
      <c r="E63" t="s">
        <v>6530</v>
      </c>
      <c r="F63" t="s">
        <v>6531</v>
      </c>
      <c r="G63" t="s">
        <v>6400</v>
      </c>
    </row>
    <row r="64" spans="1:7" x14ac:dyDescent="0.25">
      <c r="A64" t="s">
        <v>22</v>
      </c>
      <c r="B64" t="s">
        <v>6537</v>
      </c>
      <c r="C64" t="s">
        <v>6538</v>
      </c>
      <c r="D64" t="s">
        <v>6219</v>
      </c>
      <c r="E64" t="s">
        <v>6537</v>
      </c>
      <c r="F64" t="s">
        <v>6539</v>
      </c>
      <c r="G64" t="s">
        <v>6540</v>
      </c>
    </row>
    <row r="65" spans="1:7" x14ac:dyDescent="0.25">
      <c r="A65" t="s">
        <v>22</v>
      </c>
      <c r="B65" t="s">
        <v>6547</v>
      </c>
      <c r="C65" t="s">
        <v>6548</v>
      </c>
      <c r="D65" t="s">
        <v>6219</v>
      </c>
      <c r="E65" t="s">
        <v>6547</v>
      </c>
      <c r="F65" t="s">
        <v>6549</v>
      </c>
      <c r="G65" t="s">
        <v>6254</v>
      </c>
    </row>
    <row r="66" spans="1:7" x14ac:dyDescent="0.25">
      <c r="A66" t="s">
        <v>22</v>
      </c>
      <c r="B66" t="s">
        <v>6592</v>
      </c>
      <c r="C66" t="s">
        <v>6521</v>
      </c>
      <c r="D66" t="s">
        <v>6219</v>
      </c>
      <c r="E66" t="s">
        <v>6592</v>
      </c>
      <c r="F66" t="s">
        <v>6593</v>
      </c>
      <c r="G66" t="s">
        <v>6319</v>
      </c>
    </row>
    <row r="67" spans="1:7" x14ac:dyDescent="0.25">
      <c r="A67" t="s">
        <v>22</v>
      </c>
      <c r="B67" t="s">
        <v>6596</v>
      </c>
      <c r="C67" t="s">
        <v>6597</v>
      </c>
      <c r="D67" t="s">
        <v>6219</v>
      </c>
      <c r="E67" t="s">
        <v>6596</v>
      </c>
      <c r="F67" t="s">
        <v>6598</v>
      </c>
      <c r="G67" t="s">
        <v>6371</v>
      </c>
    </row>
    <row r="68" spans="1:7" x14ac:dyDescent="0.25">
      <c r="A68" t="s">
        <v>22</v>
      </c>
      <c r="B68" t="s">
        <v>6653</v>
      </c>
      <c r="C68" t="s">
        <v>6654</v>
      </c>
      <c r="D68" t="s">
        <v>6219</v>
      </c>
      <c r="E68" t="s">
        <v>6653</v>
      </c>
      <c r="F68" t="s">
        <v>6655</v>
      </c>
      <c r="G68" t="s">
        <v>6319</v>
      </c>
    </row>
    <row r="69" spans="1:7" x14ac:dyDescent="0.25">
      <c r="A69" t="s">
        <v>22</v>
      </c>
      <c r="B69" t="s">
        <v>6672</v>
      </c>
      <c r="C69" t="s">
        <v>6673</v>
      </c>
      <c r="D69" t="s">
        <v>6219</v>
      </c>
      <c r="E69" t="s">
        <v>6674</v>
      </c>
      <c r="F69" t="s">
        <v>6674</v>
      </c>
      <c r="G69" t="s">
        <v>6243</v>
      </c>
    </row>
    <row r="70" spans="1:7" x14ac:dyDescent="0.25">
      <c r="A70" t="s">
        <v>22</v>
      </c>
      <c r="B70" t="s">
        <v>6681</v>
      </c>
      <c r="C70" t="s">
        <v>6344</v>
      </c>
      <c r="D70" t="s">
        <v>6219</v>
      </c>
      <c r="E70" t="s">
        <v>6681</v>
      </c>
      <c r="F70" t="s">
        <v>6682</v>
      </c>
      <c r="G70" t="s">
        <v>6345</v>
      </c>
    </row>
    <row r="71" spans="1:7" x14ac:dyDescent="0.25">
      <c r="A71" t="s">
        <v>22</v>
      </c>
      <c r="B71" t="s">
        <v>6694</v>
      </c>
      <c r="C71" t="s">
        <v>6695</v>
      </c>
      <c r="D71" t="s">
        <v>6219</v>
      </c>
      <c r="E71" t="s">
        <v>6696</v>
      </c>
      <c r="F71" t="s">
        <v>6696</v>
      </c>
      <c r="G71" t="s">
        <v>6504</v>
      </c>
    </row>
    <row r="72" spans="1:7" x14ac:dyDescent="0.25">
      <c r="A72" t="s">
        <v>22</v>
      </c>
      <c r="B72" t="s">
        <v>6703</v>
      </c>
      <c r="C72" t="s">
        <v>6704</v>
      </c>
      <c r="D72" t="s">
        <v>6219</v>
      </c>
      <c r="E72" t="s">
        <v>6703</v>
      </c>
      <c r="F72" t="s">
        <v>6705</v>
      </c>
      <c r="G72" t="s">
        <v>6706</v>
      </c>
    </row>
    <row r="73" spans="1:7" x14ac:dyDescent="0.25">
      <c r="A73" t="s">
        <v>22</v>
      </c>
      <c r="B73" t="s">
        <v>6728</v>
      </c>
      <c r="C73" t="s">
        <v>6729</v>
      </c>
      <c r="D73" t="s">
        <v>6219</v>
      </c>
      <c r="E73" t="s">
        <v>6728</v>
      </c>
      <c r="F73" t="s">
        <v>6730</v>
      </c>
      <c r="G73" t="s">
        <v>6400</v>
      </c>
    </row>
    <row r="74" spans="1:7" x14ac:dyDescent="0.25">
      <c r="A74" t="s">
        <v>22</v>
      </c>
      <c r="B74" t="s">
        <v>6733</v>
      </c>
      <c r="C74" t="s">
        <v>6734</v>
      </c>
      <c r="D74" t="s">
        <v>6219</v>
      </c>
      <c r="E74" t="s">
        <v>6733</v>
      </c>
      <c r="F74" t="s">
        <v>6735</v>
      </c>
      <c r="G74" t="s">
        <v>6400</v>
      </c>
    </row>
    <row r="75" spans="1:7" x14ac:dyDescent="0.25">
      <c r="A75" t="s">
        <v>22</v>
      </c>
      <c r="B75" t="s">
        <v>6738</v>
      </c>
      <c r="C75" t="s">
        <v>6734</v>
      </c>
      <c r="D75" t="s">
        <v>6219</v>
      </c>
      <c r="E75" t="s">
        <v>6738</v>
      </c>
      <c r="F75" t="s">
        <v>6739</v>
      </c>
      <c r="G75" t="s">
        <v>6400</v>
      </c>
    </row>
    <row r="76" spans="1:7" x14ac:dyDescent="0.25">
      <c r="A76" t="s">
        <v>22</v>
      </c>
      <c r="B76" t="s">
        <v>6781</v>
      </c>
      <c r="C76" t="s">
        <v>6242</v>
      </c>
      <c r="D76" t="s">
        <v>6219</v>
      </c>
      <c r="E76" t="s">
        <v>6782</v>
      </c>
      <c r="F76" t="s">
        <v>6782</v>
      </c>
      <c r="G76" t="s">
        <v>6243</v>
      </c>
    </row>
    <row r="77" spans="1:7" x14ac:dyDescent="0.25">
      <c r="A77" t="s">
        <v>22</v>
      </c>
      <c r="B77" t="s">
        <v>10324</v>
      </c>
      <c r="C77" t="s">
        <v>10259</v>
      </c>
      <c r="D77" t="s">
        <v>10222</v>
      </c>
      <c r="E77" t="s">
        <v>10324</v>
      </c>
      <c r="F77" t="s">
        <v>10325</v>
      </c>
      <c r="G77" t="s">
        <v>10261</v>
      </c>
    </row>
    <row r="78" spans="1:7" x14ac:dyDescent="0.25">
      <c r="A78" t="s">
        <v>38</v>
      </c>
      <c r="B78" t="s">
        <v>10490</v>
      </c>
      <c r="C78" t="s">
        <v>10221</v>
      </c>
      <c r="D78" t="s">
        <v>10222</v>
      </c>
      <c r="E78" t="s">
        <v>10491</v>
      </c>
      <c r="F78" t="s">
        <v>10491</v>
      </c>
      <c r="G78" t="s">
        <v>10225</v>
      </c>
    </row>
    <row r="79" spans="1:7" x14ac:dyDescent="0.25">
      <c r="A79" t="s">
        <v>38</v>
      </c>
      <c r="B79" t="s">
        <v>10594</v>
      </c>
      <c r="C79" t="s">
        <v>10595</v>
      </c>
      <c r="D79" t="s">
        <v>10222</v>
      </c>
      <c r="E79" t="s">
        <v>10594</v>
      </c>
      <c r="F79" t="s">
        <v>10596</v>
      </c>
      <c r="G79" t="s">
        <v>10396</v>
      </c>
    </row>
    <row r="80" spans="1:7" x14ac:dyDescent="0.25">
      <c r="A80" t="s">
        <v>38</v>
      </c>
      <c r="B80" t="s">
        <v>10644</v>
      </c>
      <c r="C80" t="s">
        <v>10575</v>
      </c>
      <c r="D80" t="s">
        <v>10222</v>
      </c>
      <c r="E80" t="s">
        <v>10645</v>
      </c>
      <c r="F80" t="s">
        <v>10645</v>
      </c>
      <c r="G80" t="s">
        <v>10577</v>
      </c>
    </row>
    <row r="81" spans="1:7" x14ac:dyDescent="0.25">
      <c r="A81" t="s">
        <v>38</v>
      </c>
      <c r="B81" t="s">
        <v>10735</v>
      </c>
      <c r="C81" t="s">
        <v>10736</v>
      </c>
      <c r="D81" t="s">
        <v>10222</v>
      </c>
      <c r="E81" t="s">
        <v>10737</v>
      </c>
      <c r="F81" t="s">
        <v>10737</v>
      </c>
      <c r="G81" t="s">
        <v>10331</v>
      </c>
    </row>
    <row r="82" spans="1:7" x14ac:dyDescent="0.25">
      <c r="A82" t="s">
        <v>38</v>
      </c>
      <c r="B82" t="s">
        <v>10813</v>
      </c>
      <c r="C82" t="s">
        <v>10814</v>
      </c>
      <c r="D82" t="s">
        <v>10222</v>
      </c>
      <c r="E82" t="s">
        <v>10815</v>
      </c>
      <c r="F82" t="s">
        <v>10815</v>
      </c>
      <c r="G82" t="s">
        <v>10747</v>
      </c>
    </row>
    <row r="83" spans="1:7" x14ac:dyDescent="0.25">
      <c r="A83" t="s">
        <v>22</v>
      </c>
      <c r="B83" t="s">
        <v>10836</v>
      </c>
      <c r="C83" t="s">
        <v>10363</v>
      </c>
      <c r="D83" t="s">
        <v>10222</v>
      </c>
      <c r="E83" t="s">
        <v>10836</v>
      </c>
      <c r="F83" t="s">
        <v>10837</v>
      </c>
      <c r="G83" t="s">
        <v>10225</v>
      </c>
    </row>
    <row r="84" spans="1:7" x14ac:dyDescent="0.25">
      <c r="A84" t="s">
        <v>2322</v>
      </c>
      <c r="B84" t="s">
        <v>11701</v>
      </c>
      <c r="C84" t="s">
        <v>11702</v>
      </c>
      <c r="D84" t="s">
        <v>11703</v>
      </c>
      <c r="E84" t="s">
        <v>11701</v>
      </c>
      <c r="F84" t="s">
        <v>11705</v>
      </c>
      <c r="G84" t="s">
        <v>11702</v>
      </c>
    </row>
    <row r="85" spans="1:7" x14ac:dyDescent="0.25">
      <c r="A85" t="s">
        <v>22</v>
      </c>
      <c r="B85" t="s">
        <v>11713</v>
      </c>
      <c r="C85" t="s">
        <v>11702</v>
      </c>
      <c r="D85" t="s">
        <v>11703</v>
      </c>
      <c r="E85" t="s">
        <v>11713</v>
      </c>
      <c r="F85" t="s">
        <v>11714</v>
      </c>
      <c r="G85" t="s">
        <v>11702</v>
      </c>
    </row>
    <row r="86" spans="1:7" x14ac:dyDescent="0.25">
      <c r="A86" t="s">
        <v>38</v>
      </c>
      <c r="B86" t="s">
        <v>11717</v>
      </c>
      <c r="C86" t="s">
        <v>11702</v>
      </c>
      <c r="D86" t="s">
        <v>11703</v>
      </c>
      <c r="E86" t="s">
        <v>11717</v>
      </c>
      <c r="F86" t="s">
        <v>11718</v>
      </c>
      <c r="G86" t="s">
        <v>11702</v>
      </c>
    </row>
    <row r="87" spans="1:7" x14ac:dyDescent="0.25">
      <c r="A87" t="s">
        <v>38</v>
      </c>
      <c r="B87" t="s">
        <v>11721</v>
      </c>
      <c r="C87" t="s">
        <v>11702</v>
      </c>
      <c r="D87" t="s">
        <v>11703</v>
      </c>
      <c r="E87" t="s">
        <v>11721</v>
      </c>
      <c r="F87" t="s">
        <v>11722</v>
      </c>
      <c r="G87" t="s">
        <v>11702</v>
      </c>
    </row>
    <row r="88" spans="1:7" x14ac:dyDescent="0.25">
      <c r="A88" t="s">
        <v>38</v>
      </c>
      <c r="B88" t="s">
        <v>11725</v>
      </c>
      <c r="C88" t="s">
        <v>11726</v>
      </c>
      <c r="D88" t="s">
        <v>11703</v>
      </c>
      <c r="E88" t="s">
        <v>11725</v>
      </c>
      <c r="F88" t="s">
        <v>11727</v>
      </c>
      <c r="G88" t="s">
        <v>11726</v>
      </c>
    </row>
    <row r="89" spans="1:7" x14ac:dyDescent="0.25">
      <c r="A89" t="s">
        <v>22</v>
      </c>
      <c r="B89" t="s">
        <v>11781</v>
      </c>
      <c r="C89" t="s">
        <v>11782</v>
      </c>
      <c r="D89" t="s">
        <v>11783</v>
      </c>
      <c r="E89" t="s">
        <v>11785</v>
      </c>
      <c r="F89" t="s">
        <v>11785</v>
      </c>
      <c r="G89" t="s">
        <v>11786</v>
      </c>
    </row>
    <row r="90" spans="1:7" x14ac:dyDescent="0.25">
      <c r="A90" t="s">
        <v>38</v>
      </c>
      <c r="B90" t="s">
        <v>11797</v>
      </c>
      <c r="C90" t="s">
        <v>11798</v>
      </c>
      <c r="D90" t="s">
        <v>11783</v>
      </c>
      <c r="E90" t="s">
        <v>11800</v>
      </c>
      <c r="F90" t="s">
        <v>11801</v>
      </c>
      <c r="G90" t="s">
        <v>11786</v>
      </c>
    </row>
    <row r="91" spans="1:7" x14ac:dyDescent="0.25">
      <c r="A91" t="s">
        <v>38</v>
      </c>
      <c r="B91" t="s">
        <v>11804</v>
      </c>
      <c r="C91" t="s">
        <v>11794</v>
      </c>
      <c r="D91" t="s">
        <v>11783</v>
      </c>
      <c r="E91" t="s">
        <v>11805</v>
      </c>
      <c r="F91" t="s">
        <v>11805</v>
      </c>
      <c r="G91" t="s">
        <v>11786</v>
      </c>
    </row>
    <row r="92" spans="1:7" x14ac:dyDescent="0.25">
      <c r="A92" t="s">
        <v>38</v>
      </c>
      <c r="B92" t="s">
        <v>11808</v>
      </c>
      <c r="C92" t="s">
        <v>11809</v>
      </c>
      <c r="D92" t="s">
        <v>11783</v>
      </c>
      <c r="E92" t="s">
        <v>11810</v>
      </c>
      <c r="F92" t="s">
        <v>11810</v>
      </c>
      <c r="G92" t="s">
        <v>11786</v>
      </c>
    </row>
    <row r="93" spans="1:7" x14ac:dyDescent="0.25">
      <c r="A93" t="s">
        <v>22</v>
      </c>
      <c r="B93" t="s">
        <v>11877</v>
      </c>
      <c r="C93" t="s">
        <v>11878</v>
      </c>
      <c r="D93" t="s">
        <v>11879</v>
      </c>
      <c r="E93" t="s">
        <v>11877</v>
      </c>
      <c r="F93" t="s">
        <v>11881</v>
      </c>
      <c r="G93" t="s">
        <v>11882</v>
      </c>
    </row>
    <row r="94" spans="1:7" x14ac:dyDescent="0.25">
      <c r="A94" t="s">
        <v>32</v>
      </c>
      <c r="B94" t="s">
        <v>11885</v>
      </c>
      <c r="C94" t="s">
        <v>6786</v>
      </c>
      <c r="D94" t="s">
        <v>11879</v>
      </c>
      <c r="E94" t="s">
        <v>11885</v>
      </c>
      <c r="F94" t="s">
        <v>11886</v>
      </c>
      <c r="G94" t="s">
        <v>11887</v>
      </c>
    </row>
    <row r="95" spans="1:7" x14ac:dyDescent="0.25">
      <c r="A95" t="s">
        <v>32</v>
      </c>
      <c r="B95" t="s">
        <v>11890</v>
      </c>
      <c r="C95" t="s">
        <v>11891</v>
      </c>
      <c r="D95" t="s">
        <v>11879</v>
      </c>
      <c r="E95" t="s">
        <v>11890</v>
      </c>
      <c r="F95" t="s">
        <v>11892</v>
      </c>
      <c r="G95" t="s">
        <v>11893</v>
      </c>
    </row>
    <row r="96" spans="1:7" x14ac:dyDescent="0.25">
      <c r="A96" t="s">
        <v>22</v>
      </c>
      <c r="B96" t="s">
        <v>11896</v>
      </c>
      <c r="C96" t="s">
        <v>11897</v>
      </c>
      <c r="D96" t="s">
        <v>11879</v>
      </c>
      <c r="E96" t="s">
        <v>11896</v>
      </c>
      <c r="F96" t="s">
        <v>11898</v>
      </c>
      <c r="G96" t="s">
        <v>11899</v>
      </c>
    </row>
    <row r="97" spans="1:7" x14ac:dyDescent="0.25">
      <c r="A97" t="s">
        <v>38</v>
      </c>
      <c r="B97" t="s">
        <v>11907</v>
      </c>
      <c r="C97" t="s">
        <v>11908</v>
      </c>
      <c r="D97" t="s">
        <v>11879</v>
      </c>
      <c r="E97" t="s">
        <v>11907</v>
      </c>
      <c r="F97" t="s">
        <v>11909</v>
      </c>
      <c r="G97" t="s">
        <v>11910</v>
      </c>
    </row>
    <row r="98" spans="1:7" x14ac:dyDescent="0.25">
      <c r="A98" t="s">
        <v>22</v>
      </c>
      <c r="B98" t="s">
        <v>11913</v>
      </c>
      <c r="C98" t="s">
        <v>11914</v>
      </c>
      <c r="D98" t="s">
        <v>11879</v>
      </c>
      <c r="E98" t="s">
        <v>11913</v>
      </c>
      <c r="F98" t="s">
        <v>11915</v>
      </c>
      <c r="G98" t="s">
        <v>11882</v>
      </c>
    </row>
    <row r="99" spans="1:7" x14ac:dyDescent="0.25">
      <c r="A99" t="s">
        <v>22</v>
      </c>
      <c r="B99" t="s">
        <v>11928</v>
      </c>
      <c r="C99" t="s">
        <v>11929</v>
      </c>
      <c r="D99" t="s">
        <v>11879</v>
      </c>
      <c r="E99" t="s">
        <v>11928</v>
      </c>
      <c r="F99" t="s">
        <v>11930</v>
      </c>
      <c r="G99" t="s">
        <v>11931</v>
      </c>
    </row>
    <row r="100" spans="1:7" x14ac:dyDescent="0.25">
      <c r="A100" t="s">
        <v>22</v>
      </c>
      <c r="B100" t="s">
        <v>11934</v>
      </c>
      <c r="C100" t="s">
        <v>6786</v>
      </c>
      <c r="D100" t="s">
        <v>11879</v>
      </c>
      <c r="E100" t="s">
        <v>11934</v>
      </c>
      <c r="F100" t="s">
        <v>11935</v>
      </c>
      <c r="G100" t="s">
        <v>11887</v>
      </c>
    </row>
    <row r="101" spans="1:7" x14ac:dyDescent="0.25">
      <c r="A101" t="s">
        <v>22</v>
      </c>
      <c r="B101" t="s">
        <v>11938</v>
      </c>
      <c r="C101" t="s">
        <v>11939</v>
      </c>
      <c r="D101" t="s">
        <v>11879</v>
      </c>
      <c r="E101" t="s">
        <v>11938</v>
      </c>
      <c r="F101" t="s">
        <v>11940</v>
      </c>
      <c r="G101" t="s">
        <v>11939</v>
      </c>
    </row>
    <row r="102" spans="1:7" x14ac:dyDescent="0.25">
      <c r="A102" t="s">
        <v>22</v>
      </c>
      <c r="B102" t="s">
        <v>11948</v>
      </c>
      <c r="C102" t="s">
        <v>11949</v>
      </c>
      <c r="D102" t="s">
        <v>11879</v>
      </c>
      <c r="E102" t="s">
        <v>11948</v>
      </c>
      <c r="F102" t="s">
        <v>11950</v>
      </c>
      <c r="G102" t="s">
        <v>11949</v>
      </c>
    </row>
    <row r="103" spans="1:7" x14ac:dyDescent="0.25">
      <c r="A103" t="s">
        <v>22</v>
      </c>
      <c r="B103" t="s">
        <v>11953</v>
      </c>
      <c r="C103" t="s">
        <v>11949</v>
      </c>
      <c r="D103" t="s">
        <v>11879</v>
      </c>
      <c r="E103" t="s">
        <v>11953</v>
      </c>
      <c r="F103" t="s">
        <v>11954</v>
      </c>
      <c r="G103" t="s">
        <v>11949</v>
      </c>
    </row>
    <row r="104" spans="1:7" x14ac:dyDescent="0.25">
      <c r="A104" t="s">
        <v>38</v>
      </c>
      <c r="B104" t="s">
        <v>11957</v>
      </c>
      <c r="C104" t="s">
        <v>11958</v>
      </c>
      <c r="D104" t="s">
        <v>11879</v>
      </c>
      <c r="E104" t="s">
        <v>11957</v>
      </c>
      <c r="F104" t="s">
        <v>11959</v>
      </c>
      <c r="G104" t="s">
        <v>11960</v>
      </c>
    </row>
    <row r="105" spans="1:7" x14ac:dyDescent="0.25">
      <c r="A105" t="s">
        <v>22</v>
      </c>
      <c r="B105" t="s">
        <v>11972</v>
      </c>
      <c r="C105" t="s">
        <v>11973</v>
      </c>
      <c r="D105" t="s">
        <v>11879</v>
      </c>
      <c r="E105" t="s">
        <v>11972</v>
      </c>
      <c r="F105" t="s">
        <v>11974</v>
      </c>
      <c r="G105" t="s">
        <v>11931</v>
      </c>
    </row>
    <row r="106" spans="1:7" x14ac:dyDescent="0.25">
      <c r="A106" t="s">
        <v>38</v>
      </c>
      <c r="B106" t="s">
        <v>11982</v>
      </c>
      <c r="C106" t="s">
        <v>11983</v>
      </c>
      <c r="D106" t="s">
        <v>11879</v>
      </c>
      <c r="E106" t="s">
        <v>11982</v>
      </c>
      <c r="F106" t="s">
        <v>11984</v>
      </c>
      <c r="G106" t="s">
        <v>11985</v>
      </c>
    </row>
    <row r="107" spans="1:7" x14ac:dyDescent="0.25">
      <c r="A107" t="s">
        <v>22</v>
      </c>
      <c r="B107" t="s">
        <v>11988</v>
      </c>
      <c r="C107" t="s">
        <v>11989</v>
      </c>
      <c r="D107" t="s">
        <v>11879</v>
      </c>
      <c r="E107" t="s">
        <v>11988</v>
      </c>
      <c r="F107" t="s">
        <v>11990</v>
      </c>
      <c r="G107" t="s">
        <v>11921</v>
      </c>
    </row>
    <row r="108" spans="1:7" x14ac:dyDescent="0.25">
      <c r="A108" t="s">
        <v>22</v>
      </c>
      <c r="B108" t="s">
        <v>11993</v>
      </c>
      <c r="C108" t="s">
        <v>11914</v>
      </c>
      <c r="D108" t="s">
        <v>11879</v>
      </c>
      <c r="E108" t="s">
        <v>11993</v>
      </c>
      <c r="F108" t="s">
        <v>11994</v>
      </c>
      <c r="G108" t="s">
        <v>11882</v>
      </c>
    </row>
    <row r="109" spans="1:7" x14ac:dyDescent="0.25">
      <c r="A109" t="s">
        <v>22</v>
      </c>
      <c r="B109" t="s">
        <v>11997</v>
      </c>
      <c r="C109" t="s">
        <v>11897</v>
      </c>
      <c r="D109" t="s">
        <v>11879</v>
      </c>
      <c r="E109" t="s">
        <v>11997</v>
      </c>
      <c r="F109" t="s">
        <v>11998</v>
      </c>
      <c r="G109" t="s">
        <v>11899</v>
      </c>
    </row>
    <row r="110" spans="1:7" x14ac:dyDescent="0.25">
      <c r="A110" t="s">
        <v>38</v>
      </c>
      <c r="B110" t="s">
        <v>12005</v>
      </c>
      <c r="C110" t="s">
        <v>12006</v>
      </c>
      <c r="D110" t="s">
        <v>11879</v>
      </c>
      <c r="E110" t="s">
        <v>12005</v>
      </c>
      <c r="F110" t="s">
        <v>12007</v>
      </c>
      <c r="G110" t="s">
        <v>11899</v>
      </c>
    </row>
    <row r="111" spans="1:7" x14ac:dyDescent="0.25">
      <c r="A111" t="s">
        <v>22</v>
      </c>
      <c r="B111" t="s">
        <v>12010</v>
      </c>
      <c r="C111" t="s">
        <v>11878</v>
      </c>
      <c r="D111" t="s">
        <v>11879</v>
      </c>
      <c r="E111" t="s">
        <v>12010</v>
      </c>
      <c r="F111" t="s">
        <v>12011</v>
      </c>
      <c r="G111" t="s">
        <v>11882</v>
      </c>
    </row>
    <row r="112" spans="1:7" x14ac:dyDescent="0.25">
      <c r="A112" t="s">
        <v>32</v>
      </c>
      <c r="B112" t="s">
        <v>12014</v>
      </c>
      <c r="C112" t="s">
        <v>11914</v>
      </c>
      <c r="D112" t="s">
        <v>11879</v>
      </c>
      <c r="E112" t="s">
        <v>12014</v>
      </c>
      <c r="F112" t="s">
        <v>12015</v>
      </c>
      <c r="G112" t="s">
        <v>11882</v>
      </c>
    </row>
    <row r="113" spans="1:7" x14ac:dyDescent="0.25">
      <c r="A113" t="s">
        <v>22</v>
      </c>
      <c r="B113" t="s">
        <v>12018</v>
      </c>
      <c r="C113" t="s">
        <v>11914</v>
      </c>
      <c r="D113" t="s">
        <v>11879</v>
      </c>
      <c r="E113" t="s">
        <v>12018</v>
      </c>
      <c r="F113" t="s">
        <v>12019</v>
      </c>
      <c r="G113" t="s">
        <v>11882</v>
      </c>
    </row>
    <row r="114" spans="1:7" x14ac:dyDescent="0.25">
      <c r="A114" t="s">
        <v>22</v>
      </c>
      <c r="B114" t="s">
        <v>12022</v>
      </c>
      <c r="C114" t="s">
        <v>11891</v>
      </c>
      <c r="D114" t="s">
        <v>11879</v>
      </c>
      <c r="E114" t="s">
        <v>12022</v>
      </c>
      <c r="F114" t="s">
        <v>12023</v>
      </c>
      <c r="G114" t="s">
        <v>11893</v>
      </c>
    </row>
    <row r="115" spans="1:7" x14ac:dyDescent="0.25">
      <c r="A115" t="s">
        <v>22</v>
      </c>
      <c r="B115" t="s">
        <v>12026</v>
      </c>
      <c r="C115" t="s">
        <v>11973</v>
      </c>
      <c r="D115" t="s">
        <v>11879</v>
      </c>
      <c r="E115" t="s">
        <v>12026</v>
      </c>
      <c r="F115" t="s">
        <v>12027</v>
      </c>
      <c r="G115" t="s">
        <v>11931</v>
      </c>
    </row>
    <row r="116" spans="1:7" x14ac:dyDescent="0.25">
      <c r="A116" t="s">
        <v>22</v>
      </c>
      <c r="B116" t="s">
        <v>12034</v>
      </c>
      <c r="C116" t="s">
        <v>12035</v>
      </c>
      <c r="D116" t="s">
        <v>11879</v>
      </c>
      <c r="E116" t="s">
        <v>12034</v>
      </c>
      <c r="F116" t="s">
        <v>12036</v>
      </c>
      <c r="G116" t="s">
        <v>12037</v>
      </c>
    </row>
    <row r="117" spans="1:7" x14ac:dyDescent="0.25">
      <c r="A117" t="s">
        <v>38</v>
      </c>
      <c r="B117" t="s">
        <v>12045</v>
      </c>
      <c r="C117" t="s">
        <v>11919</v>
      </c>
      <c r="D117" t="s">
        <v>11879</v>
      </c>
      <c r="E117" t="s">
        <v>12045</v>
      </c>
      <c r="F117" t="s">
        <v>12046</v>
      </c>
      <c r="G117" t="s">
        <v>11921</v>
      </c>
    </row>
    <row r="118" spans="1:7" x14ac:dyDescent="0.25">
      <c r="A118" t="s">
        <v>22</v>
      </c>
      <c r="B118" t="s">
        <v>12049</v>
      </c>
      <c r="C118" t="s">
        <v>11919</v>
      </c>
      <c r="D118" t="s">
        <v>11879</v>
      </c>
      <c r="E118" t="s">
        <v>12049</v>
      </c>
      <c r="F118" t="s">
        <v>12050</v>
      </c>
      <c r="G118" t="s">
        <v>11921</v>
      </c>
    </row>
    <row r="119" spans="1:7" x14ac:dyDescent="0.25">
      <c r="A119" t="s">
        <v>22</v>
      </c>
      <c r="B119" t="s">
        <v>12053</v>
      </c>
      <c r="C119" t="s">
        <v>12054</v>
      </c>
      <c r="D119" t="s">
        <v>11879</v>
      </c>
      <c r="E119" t="s">
        <v>12055</v>
      </c>
      <c r="F119" t="s">
        <v>12056</v>
      </c>
      <c r="G119" t="s">
        <v>11882</v>
      </c>
    </row>
    <row r="120" spans="1:7" x14ac:dyDescent="0.25">
      <c r="A120" t="s">
        <v>22</v>
      </c>
      <c r="B120" t="s">
        <v>12059</v>
      </c>
      <c r="C120" t="s">
        <v>12060</v>
      </c>
      <c r="D120" t="s">
        <v>11879</v>
      </c>
      <c r="E120" t="s">
        <v>12059</v>
      </c>
      <c r="F120" t="s">
        <v>12061</v>
      </c>
      <c r="G120" t="s">
        <v>11887</v>
      </c>
    </row>
    <row r="121" spans="1:7" x14ac:dyDescent="0.25">
      <c r="A121" t="s">
        <v>38</v>
      </c>
      <c r="B121" t="s">
        <v>12064</v>
      </c>
      <c r="C121" t="s">
        <v>12065</v>
      </c>
      <c r="D121" t="s">
        <v>11879</v>
      </c>
      <c r="E121" t="s">
        <v>12064</v>
      </c>
      <c r="F121" t="s">
        <v>12066</v>
      </c>
      <c r="G121" t="s">
        <v>12067</v>
      </c>
    </row>
    <row r="122" spans="1:7" x14ac:dyDescent="0.25">
      <c r="A122" t="s">
        <v>22</v>
      </c>
      <c r="B122" t="s">
        <v>12070</v>
      </c>
      <c r="C122" t="s">
        <v>12071</v>
      </c>
      <c r="D122" t="s">
        <v>11879</v>
      </c>
      <c r="E122" t="s">
        <v>12070</v>
      </c>
      <c r="F122" t="s">
        <v>12072</v>
      </c>
      <c r="G122" t="s">
        <v>12073</v>
      </c>
    </row>
    <row r="123" spans="1:7" x14ac:dyDescent="0.25">
      <c r="A123" t="s">
        <v>38</v>
      </c>
      <c r="B123" t="s">
        <v>12076</v>
      </c>
      <c r="C123" t="s">
        <v>12077</v>
      </c>
      <c r="D123" t="s">
        <v>11879</v>
      </c>
      <c r="E123" t="s">
        <v>12076</v>
      </c>
      <c r="F123" t="s">
        <v>12078</v>
      </c>
      <c r="G123" t="s">
        <v>12079</v>
      </c>
    </row>
    <row r="124" spans="1:7" x14ac:dyDescent="0.25">
      <c r="A124" t="s">
        <v>38</v>
      </c>
      <c r="B124" t="s">
        <v>12085</v>
      </c>
      <c r="C124" t="s">
        <v>11919</v>
      </c>
      <c r="D124" t="s">
        <v>11879</v>
      </c>
      <c r="E124" t="s">
        <v>12085</v>
      </c>
      <c r="F124" t="s">
        <v>12086</v>
      </c>
      <c r="G124" t="s">
        <v>11921</v>
      </c>
    </row>
    <row r="125" spans="1:7" x14ac:dyDescent="0.25">
      <c r="A125" t="s">
        <v>22</v>
      </c>
      <c r="B125" t="s">
        <v>12089</v>
      </c>
      <c r="C125" t="s">
        <v>11973</v>
      </c>
      <c r="D125" t="s">
        <v>11879</v>
      </c>
      <c r="E125" t="s">
        <v>12089</v>
      </c>
      <c r="F125" t="s">
        <v>12090</v>
      </c>
      <c r="G125" t="s">
        <v>11931</v>
      </c>
    </row>
    <row r="126" spans="1:7" x14ac:dyDescent="0.25">
      <c r="A126" t="s">
        <v>22</v>
      </c>
      <c r="B126" t="s">
        <v>12093</v>
      </c>
      <c r="C126" t="s">
        <v>12094</v>
      </c>
      <c r="D126" t="s">
        <v>11879</v>
      </c>
      <c r="E126" t="s">
        <v>12093</v>
      </c>
      <c r="F126" t="s">
        <v>12095</v>
      </c>
      <c r="G126" t="s">
        <v>11887</v>
      </c>
    </row>
    <row r="127" spans="1:7" x14ac:dyDescent="0.25">
      <c r="A127" t="s">
        <v>38</v>
      </c>
      <c r="B127" t="s">
        <v>12102</v>
      </c>
      <c r="C127" t="s">
        <v>11939</v>
      </c>
      <c r="D127" t="s">
        <v>11879</v>
      </c>
      <c r="E127" t="s">
        <v>12102</v>
      </c>
      <c r="F127" t="s">
        <v>12103</v>
      </c>
      <c r="G127" t="s">
        <v>11939</v>
      </c>
    </row>
    <row r="128" spans="1:7" x14ac:dyDescent="0.25">
      <c r="A128" t="s">
        <v>38</v>
      </c>
      <c r="B128" t="s">
        <v>12106</v>
      </c>
      <c r="C128" t="s">
        <v>12107</v>
      </c>
      <c r="D128" t="s">
        <v>11879</v>
      </c>
      <c r="E128" t="s">
        <v>12106</v>
      </c>
      <c r="F128" t="s">
        <v>12108</v>
      </c>
      <c r="G128" t="s">
        <v>12067</v>
      </c>
    </row>
    <row r="129" spans="1:7" x14ac:dyDescent="0.25">
      <c r="A129" t="s">
        <v>22</v>
      </c>
      <c r="B129" t="s">
        <v>12111</v>
      </c>
      <c r="C129" t="s">
        <v>11891</v>
      </c>
      <c r="D129" t="s">
        <v>11879</v>
      </c>
      <c r="E129" t="s">
        <v>12111</v>
      </c>
      <c r="F129" t="s">
        <v>12112</v>
      </c>
      <c r="G129" t="s">
        <v>11893</v>
      </c>
    </row>
    <row r="130" spans="1:7" x14ac:dyDescent="0.25">
      <c r="A130" t="s">
        <v>38</v>
      </c>
      <c r="B130" t="s">
        <v>12118</v>
      </c>
      <c r="C130" t="s">
        <v>12035</v>
      </c>
      <c r="D130" t="s">
        <v>11879</v>
      </c>
      <c r="E130" t="s">
        <v>12118</v>
      </c>
      <c r="F130" t="s">
        <v>12119</v>
      </c>
      <c r="G130" t="s">
        <v>12037</v>
      </c>
    </row>
    <row r="131" spans="1:7" x14ac:dyDescent="0.25">
      <c r="A131" t="s">
        <v>38</v>
      </c>
      <c r="B131" t="s">
        <v>12130</v>
      </c>
      <c r="C131" t="s">
        <v>6786</v>
      </c>
      <c r="D131" t="s">
        <v>11879</v>
      </c>
      <c r="E131" t="s">
        <v>12130</v>
      </c>
      <c r="F131" t="s">
        <v>12131</v>
      </c>
      <c r="G131" t="s">
        <v>11887</v>
      </c>
    </row>
    <row r="132" spans="1:7" x14ac:dyDescent="0.25">
      <c r="A132" t="s">
        <v>22</v>
      </c>
      <c r="B132" t="s">
        <v>12138</v>
      </c>
      <c r="C132" t="s">
        <v>12139</v>
      </c>
      <c r="D132" t="s">
        <v>11879</v>
      </c>
      <c r="E132" t="s">
        <v>12138</v>
      </c>
      <c r="F132" t="s">
        <v>12140</v>
      </c>
      <c r="G132" t="s">
        <v>12139</v>
      </c>
    </row>
    <row r="133" spans="1:7" x14ac:dyDescent="0.25">
      <c r="A133" t="s">
        <v>22</v>
      </c>
      <c r="B133" t="s">
        <v>12147</v>
      </c>
      <c r="C133" t="s">
        <v>11919</v>
      </c>
      <c r="D133" t="s">
        <v>11879</v>
      </c>
      <c r="E133" t="s">
        <v>12147</v>
      </c>
      <c r="F133" t="s">
        <v>12148</v>
      </c>
      <c r="G133" t="s">
        <v>11921</v>
      </c>
    </row>
    <row r="134" spans="1:7" x14ac:dyDescent="0.25">
      <c r="A134" t="s">
        <v>22</v>
      </c>
      <c r="B134" t="s">
        <v>13282</v>
      </c>
      <c r="C134" t="s">
        <v>13275</v>
      </c>
      <c r="D134" t="s">
        <v>13276</v>
      </c>
      <c r="E134" t="s">
        <v>13283</v>
      </c>
      <c r="F134" t="s">
        <v>13283</v>
      </c>
      <c r="G134" t="s">
        <v>13279</v>
      </c>
    </row>
    <row r="135" spans="1:7" x14ac:dyDescent="0.25">
      <c r="A135" t="s">
        <v>32</v>
      </c>
      <c r="B135" t="s">
        <v>13647</v>
      </c>
      <c r="C135" t="s">
        <v>13648</v>
      </c>
      <c r="D135" t="s">
        <v>13649</v>
      </c>
      <c r="E135" t="s">
        <v>13647</v>
      </c>
      <c r="F135" t="s">
        <v>13651</v>
      </c>
      <c r="G135" t="s">
        <v>13652</v>
      </c>
    </row>
    <row r="136" spans="1:7" x14ac:dyDescent="0.25">
      <c r="A136" t="s">
        <v>22</v>
      </c>
      <c r="B136" t="s">
        <v>13655</v>
      </c>
      <c r="C136" t="s">
        <v>13648</v>
      </c>
      <c r="D136" t="s">
        <v>13649</v>
      </c>
      <c r="E136" t="s">
        <v>13655</v>
      </c>
      <c r="F136" t="s">
        <v>13656</v>
      </c>
      <c r="G136" t="s">
        <v>13652</v>
      </c>
    </row>
    <row r="137" spans="1:7" x14ac:dyDescent="0.25">
      <c r="A137" t="s">
        <v>22</v>
      </c>
      <c r="B137" t="s">
        <v>13659</v>
      </c>
      <c r="C137" t="s">
        <v>13648</v>
      </c>
      <c r="D137" t="s">
        <v>13649</v>
      </c>
      <c r="E137" t="s">
        <v>13659</v>
      </c>
      <c r="F137" t="s">
        <v>13660</v>
      </c>
      <c r="G137" t="s">
        <v>13652</v>
      </c>
    </row>
    <row r="138" spans="1:7" x14ac:dyDescent="0.25">
      <c r="A138" t="s">
        <v>22</v>
      </c>
      <c r="B138" t="s">
        <v>13663</v>
      </c>
      <c r="C138" t="s">
        <v>13664</v>
      </c>
      <c r="D138" t="s">
        <v>13649</v>
      </c>
      <c r="E138" t="s">
        <v>13663</v>
      </c>
      <c r="F138" t="s">
        <v>13665</v>
      </c>
      <c r="G138" t="s">
        <v>13666</v>
      </c>
    </row>
    <row r="139" spans="1:7" x14ac:dyDescent="0.25">
      <c r="A139" t="s">
        <v>22</v>
      </c>
      <c r="B139" t="s">
        <v>13669</v>
      </c>
      <c r="C139" t="s">
        <v>13648</v>
      </c>
      <c r="D139" t="s">
        <v>13649</v>
      </c>
      <c r="E139" t="s">
        <v>13669</v>
      </c>
      <c r="F139" t="s">
        <v>13670</v>
      </c>
      <c r="G139" t="s">
        <v>13652</v>
      </c>
    </row>
    <row r="140" spans="1:7" x14ac:dyDescent="0.25">
      <c r="A140" t="s">
        <v>22</v>
      </c>
      <c r="B140" t="s">
        <v>13673</v>
      </c>
      <c r="C140" t="s">
        <v>13674</v>
      </c>
      <c r="D140" t="s">
        <v>13649</v>
      </c>
      <c r="E140" t="s">
        <v>13673</v>
      </c>
      <c r="F140" t="s">
        <v>13675</v>
      </c>
      <c r="G140" t="s">
        <v>13676</v>
      </c>
    </row>
    <row r="141" spans="1:7" x14ac:dyDescent="0.25">
      <c r="A141" t="s">
        <v>38</v>
      </c>
      <c r="B141" t="s">
        <v>11829</v>
      </c>
      <c r="C141" t="s">
        <v>13685</v>
      </c>
      <c r="D141" t="s">
        <v>13649</v>
      </c>
      <c r="E141" t="s">
        <v>11829</v>
      </c>
      <c r="F141" t="s">
        <v>13686</v>
      </c>
      <c r="G141" t="s">
        <v>13687</v>
      </c>
    </row>
    <row r="142" spans="1:7" x14ac:dyDescent="0.25">
      <c r="A142" t="s">
        <v>32</v>
      </c>
      <c r="B142" t="s">
        <v>13690</v>
      </c>
      <c r="C142" t="s">
        <v>13648</v>
      </c>
      <c r="D142" t="s">
        <v>13649</v>
      </c>
      <c r="E142" t="s">
        <v>13690</v>
      </c>
      <c r="F142" t="s">
        <v>13691</v>
      </c>
      <c r="G142" t="s">
        <v>13652</v>
      </c>
    </row>
    <row r="143" spans="1:7" x14ac:dyDescent="0.25">
      <c r="A143" t="s">
        <v>38</v>
      </c>
      <c r="B143" t="s">
        <v>13694</v>
      </c>
      <c r="C143" t="s">
        <v>13695</v>
      </c>
      <c r="D143" t="s">
        <v>13649</v>
      </c>
      <c r="E143" t="s">
        <v>13694</v>
      </c>
      <c r="F143" t="s">
        <v>13696</v>
      </c>
      <c r="G143" t="s">
        <v>13687</v>
      </c>
    </row>
    <row r="144" spans="1:7" x14ac:dyDescent="0.25">
      <c r="A144" t="s">
        <v>32</v>
      </c>
      <c r="B144" t="s">
        <v>13699</v>
      </c>
      <c r="C144" t="s">
        <v>13648</v>
      </c>
      <c r="D144" t="s">
        <v>13649</v>
      </c>
      <c r="E144" t="s">
        <v>13699</v>
      </c>
      <c r="F144" t="s">
        <v>13700</v>
      </c>
      <c r="G144" t="s">
        <v>13652</v>
      </c>
    </row>
    <row r="145" spans="1:7" x14ac:dyDescent="0.25">
      <c r="A145" t="s">
        <v>22</v>
      </c>
      <c r="B145" t="s">
        <v>13703</v>
      </c>
      <c r="C145" t="s">
        <v>13704</v>
      </c>
      <c r="D145" t="s">
        <v>13649</v>
      </c>
      <c r="E145" t="s">
        <v>13703</v>
      </c>
      <c r="F145" t="s">
        <v>13705</v>
      </c>
      <c r="G145" t="s">
        <v>13706</v>
      </c>
    </row>
    <row r="146" spans="1:7" x14ac:dyDescent="0.25">
      <c r="A146" t="s">
        <v>22</v>
      </c>
      <c r="B146" t="s">
        <v>13709</v>
      </c>
      <c r="C146" t="s">
        <v>13710</v>
      </c>
      <c r="D146" t="s">
        <v>13649</v>
      </c>
      <c r="E146" t="s">
        <v>13709</v>
      </c>
      <c r="F146" t="s">
        <v>13711</v>
      </c>
      <c r="G146" t="s">
        <v>13712</v>
      </c>
    </row>
    <row r="147" spans="1:7" x14ac:dyDescent="0.25">
      <c r="A147" t="s">
        <v>22</v>
      </c>
      <c r="B147" t="s">
        <v>13715</v>
      </c>
      <c r="C147" t="s">
        <v>13716</v>
      </c>
      <c r="D147" t="s">
        <v>13649</v>
      </c>
      <c r="E147" t="s">
        <v>13715</v>
      </c>
      <c r="F147" t="s">
        <v>13717</v>
      </c>
      <c r="G147" t="s">
        <v>13712</v>
      </c>
    </row>
    <row r="148" spans="1:7" x14ac:dyDescent="0.25">
      <c r="A148" t="s">
        <v>38</v>
      </c>
      <c r="B148" t="s">
        <v>13726</v>
      </c>
      <c r="C148" t="s">
        <v>13704</v>
      </c>
      <c r="D148" t="s">
        <v>13649</v>
      </c>
      <c r="E148" t="s">
        <v>13726</v>
      </c>
      <c r="F148" t="s">
        <v>13727</v>
      </c>
      <c r="G148" t="s">
        <v>13706</v>
      </c>
    </row>
    <row r="149" spans="1:7" x14ac:dyDescent="0.25">
      <c r="A149" t="s">
        <v>22</v>
      </c>
      <c r="B149" t="s">
        <v>13730</v>
      </c>
      <c r="C149" t="s">
        <v>13664</v>
      </c>
      <c r="D149" t="s">
        <v>13649</v>
      </c>
      <c r="E149" t="s">
        <v>13730</v>
      </c>
      <c r="F149" t="s">
        <v>13731</v>
      </c>
      <c r="G149" t="s">
        <v>13666</v>
      </c>
    </row>
    <row r="150" spans="1:7" x14ac:dyDescent="0.25">
      <c r="A150" t="s">
        <v>22</v>
      </c>
      <c r="B150" t="s">
        <v>13734</v>
      </c>
      <c r="C150" t="s">
        <v>13735</v>
      </c>
      <c r="D150" t="s">
        <v>13649</v>
      </c>
      <c r="E150" t="s">
        <v>13734</v>
      </c>
      <c r="F150" t="s">
        <v>13736</v>
      </c>
      <c r="G150" t="s">
        <v>13737</v>
      </c>
    </row>
    <row r="151" spans="1:7" x14ac:dyDescent="0.25">
      <c r="A151" t="s">
        <v>22</v>
      </c>
      <c r="B151" t="s">
        <v>13740</v>
      </c>
      <c r="C151" t="s">
        <v>13664</v>
      </c>
      <c r="D151" t="s">
        <v>13649</v>
      </c>
      <c r="E151" t="s">
        <v>13740</v>
      </c>
      <c r="F151" t="s">
        <v>13741</v>
      </c>
      <c r="G151" t="s">
        <v>13666</v>
      </c>
    </row>
    <row r="152" spans="1:7" x14ac:dyDescent="0.25">
      <c r="A152" t="s">
        <v>22</v>
      </c>
      <c r="B152" t="s">
        <v>13744</v>
      </c>
      <c r="C152" t="s">
        <v>13685</v>
      </c>
      <c r="D152" t="s">
        <v>13649</v>
      </c>
      <c r="E152" t="s">
        <v>13744</v>
      </c>
      <c r="F152" t="s">
        <v>13745</v>
      </c>
      <c r="G152" t="s">
        <v>13687</v>
      </c>
    </row>
    <row r="153" spans="1:7" x14ac:dyDescent="0.25">
      <c r="A153" t="s">
        <v>22</v>
      </c>
      <c r="B153" t="s">
        <v>13748</v>
      </c>
      <c r="C153" t="s">
        <v>13664</v>
      </c>
      <c r="D153" t="s">
        <v>13649</v>
      </c>
      <c r="E153" t="s">
        <v>13748</v>
      </c>
      <c r="F153" t="s">
        <v>13749</v>
      </c>
      <c r="G153" t="s">
        <v>13666</v>
      </c>
    </row>
    <row r="154" spans="1:7" x14ac:dyDescent="0.25">
      <c r="A154" t="s">
        <v>32</v>
      </c>
      <c r="B154" t="s">
        <v>13752</v>
      </c>
      <c r="C154" t="s">
        <v>13704</v>
      </c>
      <c r="D154" t="s">
        <v>13649</v>
      </c>
      <c r="E154" t="s">
        <v>13752</v>
      </c>
      <c r="F154" t="s">
        <v>13753</v>
      </c>
      <c r="G154" t="s">
        <v>13706</v>
      </c>
    </row>
    <row r="155" spans="1:7" x14ac:dyDescent="0.25">
      <c r="A155" t="s">
        <v>38</v>
      </c>
      <c r="B155" t="s">
        <v>13756</v>
      </c>
      <c r="C155" t="s">
        <v>13757</v>
      </c>
      <c r="D155" t="s">
        <v>13649</v>
      </c>
      <c r="E155" t="s">
        <v>13756</v>
      </c>
      <c r="F155" t="s">
        <v>13758</v>
      </c>
      <c r="G155" t="s">
        <v>13712</v>
      </c>
    </row>
    <row r="156" spans="1:7" x14ac:dyDescent="0.25">
      <c r="A156" t="s">
        <v>38</v>
      </c>
      <c r="B156" t="s">
        <v>13761</v>
      </c>
      <c r="C156" t="s">
        <v>13762</v>
      </c>
      <c r="D156" t="s">
        <v>13649</v>
      </c>
      <c r="E156" t="s">
        <v>13761</v>
      </c>
      <c r="F156" t="s">
        <v>13763</v>
      </c>
      <c r="G156" t="s">
        <v>13712</v>
      </c>
    </row>
    <row r="157" spans="1:7" x14ac:dyDescent="0.25">
      <c r="A157" t="s">
        <v>22</v>
      </c>
      <c r="B157" t="s">
        <v>13766</v>
      </c>
      <c r="C157" t="s">
        <v>13716</v>
      </c>
      <c r="D157" t="s">
        <v>13649</v>
      </c>
      <c r="E157" t="s">
        <v>13766</v>
      </c>
      <c r="F157" t="s">
        <v>13767</v>
      </c>
      <c r="G157" t="s">
        <v>13712</v>
      </c>
    </row>
    <row r="158" spans="1:7" x14ac:dyDescent="0.25">
      <c r="A158" t="s">
        <v>38</v>
      </c>
      <c r="B158" t="s">
        <v>13770</v>
      </c>
      <c r="C158" t="s">
        <v>13771</v>
      </c>
      <c r="D158" t="s">
        <v>13649</v>
      </c>
      <c r="E158" t="s">
        <v>13770</v>
      </c>
      <c r="F158" t="s">
        <v>13772</v>
      </c>
      <c r="G158" t="s">
        <v>13773</v>
      </c>
    </row>
    <row r="159" spans="1:7" x14ac:dyDescent="0.25">
      <c r="A159" t="s">
        <v>38</v>
      </c>
      <c r="B159" t="s">
        <v>13776</v>
      </c>
      <c r="C159" t="s">
        <v>13777</v>
      </c>
      <c r="D159" t="s">
        <v>13649</v>
      </c>
      <c r="E159" t="s">
        <v>13776</v>
      </c>
      <c r="F159" t="s">
        <v>13778</v>
      </c>
      <c r="G159" t="s">
        <v>13773</v>
      </c>
    </row>
    <row r="160" spans="1:7" x14ac:dyDescent="0.25">
      <c r="A160" t="s">
        <v>22</v>
      </c>
      <c r="B160" t="s">
        <v>13781</v>
      </c>
      <c r="C160" t="s">
        <v>13782</v>
      </c>
      <c r="D160" t="s">
        <v>13649</v>
      </c>
      <c r="E160" t="s">
        <v>13781</v>
      </c>
      <c r="F160" t="s">
        <v>13783</v>
      </c>
      <c r="G160" t="s">
        <v>13712</v>
      </c>
    </row>
    <row r="161" spans="1:7" x14ac:dyDescent="0.25">
      <c r="A161" t="s">
        <v>38</v>
      </c>
      <c r="B161" t="s">
        <v>13786</v>
      </c>
      <c r="C161" t="s">
        <v>13787</v>
      </c>
      <c r="D161" t="s">
        <v>13649</v>
      </c>
      <c r="E161" t="s">
        <v>13786</v>
      </c>
      <c r="F161" t="s">
        <v>13788</v>
      </c>
      <c r="G161" t="s">
        <v>13712</v>
      </c>
    </row>
    <row r="162" spans="1:7" x14ac:dyDescent="0.25">
      <c r="A162" t="s">
        <v>22</v>
      </c>
      <c r="B162" t="s">
        <v>13795</v>
      </c>
      <c r="C162" t="s">
        <v>13796</v>
      </c>
      <c r="D162" t="s">
        <v>13649</v>
      </c>
      <c r="E162" t="s">
        <v>13795</v>
      </c>
      <c r="F162" t="s">
        <v>13797</v>
      </c>
      <c r="G162" t="s">
        <v>13798</v>
      </c>
    </row>
    <row r="163" spans="1:7" x14ac:dyDescent="0.25">
      <c r="A163" t="s">
        <v>22</v>
      </c>
      <c r="B163" t="s">
        <v>13801</v>
      </c>
      <c r="C163" t="s">
        <v>13802</v>
      </c>
      <c r="D163" t="s">
        <v>13649</v>
      </c>
      <c r="E163" t="s">
        <v>13801</v>
      </c>
      <c r="F163" t="s">
        <v>13803</v>
      </c>
      <c r="G163" t="s">
        <v>13804</v>
      </c>
    </row>
    <row r="164" spans="1:7" x14ac:dyDescent="0.25">
      <c r="A164" t="s">
        <v>22</v>
      </c>
      <c r="B164" t="s">
        <v>13807</v>
      </c>
      <c r="C164" t="s">
        <v>13808</v>
      </c>
      <c r="D164" t="s">
        <v>13649</v>
      </c>
      <c r="E164" t="s">
        <v>13807</v>
      </c>
      <c r="F164" t="s">
        <v>13809</v>
      </c>
      <c r="G164" t="s">
        <v>13712</v>
      </c>
    </row>
    <row r="165" spans="1:7" x14ac:dyDescent="0.25">
      <c r="A165" t="s">
        <v>22</v>
      </c>
      <c r="B165" t="s">
        <v>13812</v>
      </c>
      <c r="C165" t="s">
        <v>13813</v>
      </c>
      <c r="D165" t="s">
        <v>13649</v>
      </c>
      <c r="E165" t="s">
        <v>13812</v>
      </c>
      <c r="F165" t="s">
        <v>13814</v>
      </c>
      <c r="G165" t="s">
        <v>13652</v>
      </c>
    </row>
    <row r="166" spans="1:7" x14ac:dyDescent="0.25">
      <c r="A166" t="s">
        <v>22</v>
      </c>
      <c r="B166" t="s">
        <v>13821</v>
      </c>
      <c r="C166" t="s">
        <v>13685</v>
      </c>
      <c r="D166" t="s">
        <v>13649</v>
      </c>
      <c r="E166" t="s">
        <v>13821</v>
      </c>
      <c r="F166" t="s">
        <v>13822</v>
      </c>
      <c r="G166" t="s">
        <v>13687</v>
      </c>
    </row>
    <row r="167" spans="1:7" x14ac:dyDescent="0.25">
      <c r="A167" t="s">
        <v>38</v>
      </c>
      <c r="B167" t="s">
        <v>13825</v>
      </c>
      <c r="C167" t="s">
        <v>13826</v>
      </c>
      <c r="D167" t="s">
        <v>13649</v>
      </c>
      <c r="E167" t="s">
        <v>13825</v>
      </c>
      <c r="F167" t="s">
        <v>13827</v>
      </c>
      <c r="G167" t="s">
        <v>13828</v>
      </c>
    </row>
    <row r="168" spans="1:7" x14ac:dyDescent="0.25">
      <c r="A168" t="s">
        <v>38</v>
      </c>
      <c r="B168" t="s">
        <v>13835</v>
      </c>
      <c r="C168" t="s">
        <v>13771</v>
      </c>
      <c r="D168" t="s">
        <v>13649</v>
      </c>
      <c r="E168" t="s">
        <v>13835</v>
      </c>
      <c r="F168" t="s">
        <v>13836</v>
      </c>
      <c r="G168" t="s">
        <v>13773</v>
      </c>
    </row>
    <row r="169" spans="1:7" x14ac:dyDescent="0.25">
      <c r="A169" t="s">
        <v>22</v>
      </c>
      <c r="B169" t="s">
        <v>13839</v>
      </c>
      <c r="C169" t="s">
        <v>13840</v>
      </c>
      <c r="D169" t="s">
        <v>13649</v>
      </c>
      <c r="E169" t="s">
        <v>13839</v>
      </c>
      <c r="F169" t="s">
        <v>13841</v>
      </c>
      <c r="G169" t="s">
        <v>13687</v>
      </c>
    </row>
    <row r="170" spans="1:7" x14ac:dyDescent="0.25">
      <c r="A170" t="s">
        <v>38</v>
      </c>
      <c r="B170" t="s">
        <v>13844</v>
      </c>
      <c r="C170" t="s">
        <v>13802</v>
      </c>
      <c r="D170" t="s">
        <v>13649</v>
      </c>
      <c r="E170" t="s">
        <v>13844</v>
      </c>
      <c r="F170" t="s">
        <v>13845</v>
      </c>
      <c r="G170" t="s">
        <v>13804</v>
      </c>
    </row>
    <row r="171" spans="1:7" x14ac:dyDescent="0.25">
      <c r="A171" t="s">
        <v>22</v>
      </c>
      <c r="B171" t="s">
        <v>13848</v>
      </c>
      <c r="C171" t="s">
        <v>13849</v>
      </c>
      <c r="D171" t="s">
        <v>13649</v>
      </c>
      <c r="E171" t="s">
        <v>13848</v>
      </c>
      <c r="F171" t="s">
        <v>13850</v>
      </c>
      <c r="G171" t="s">
        <v>13851</v>
      </c>
    </row>
    <row r="172" spans="1:7" x14ac:dyDescent="0.25">
      <c r="A172" t="s">
        <v>38</v>
      </c>
      <c r="B172" t="s">
        <v>13854</v>
      </c>
      <c r="C172" t="s">
        <v>13855</v>
      </c>
      <c r="D172" t="s">
        <v>13649</v>
      </c>
      <c r="E172" t="s">
        <v>13854</v>
      </c>
      <c r="F172" t="s">
        <v>13856</v>
      </c>
      <c r="G172" t="s">
        <v>13687</v>
      </c>
    </row>
    <row r="173" spans="1:7" x14ac:dyDescent="0.25">
      <c r="A173" t="s">
        <v>22</v>
      </c>
      <c r="B173" t="s">
        <v>13859</v>
      </c>
      <c r="C173" t="s">
        <v>13664</v>
      </c>
      <c r="D173" t="s">
        <v>13649</v>
      </c>
      <c r="E173" t="s">
        <v>13859</v>
      </c>
      <c r="F173" t="s">
        <v>13860</v>
      </c>
      <c r="G173" t="s">
        <v>13666</v>
      </c>
    </row>
    <row r="174" spans="1:7" x14ac:dyDescent="0.25">
      <c r="A174" t="s">
        <v>22</v>
      </c>
      <c r="B174" t="s">
        <v>13863</v>
      </c>
      <c r="C174" t="s">
        <v>13864</v>
      </c>
      <c r="D174" t="s">
        <v>13649</v>
      </c>
      <c r="E174" t="s">
        <v>13863</v>
      </c>
      <c r="F174" t="s">
        <v>13865</v>
      </c>
      <c r="G174" t="s">
        <v>13706</v>
      </c>
    </row>
    <row r="175" spans="1:7" x14ac:dyDescent="0.25">
      <c r="A175" t="s">
        <v>38</v>
      </c>
      <c r="B175" t="s">
        <v>13873</v>
      </c>
      <c r="C175" t="s">
        <v>13874</v>
      </c>
      <c r="D175" t="s">
        <v>13649</v>
      </c>
      <c r="E175" t="s">
        <v>13873</v>
      </c>
      <c r="F175" t="s">
        <v>13875</v>
      </c>
      <c r="G175" t="s">
        <v>13706</v>
      </c>
    </row>
    <row r="176" spans="1:7" x14ac:dyDescent="0.25">
      <c r="A176" t="s">
        <v>22</v>
      </c>
      <c r="B176" t="s">
        <v>13878</v>
      </c>
      <c r="C176" t="s">
        <v>13879</v>
      </c>
      <c r="D176" t="s">
        <v>13649</v>
      </c>
      <c r="E176" t="s">
        <v>13878</v>
      </c>
      <c r="F176" t="s">
        <v>13880</v>
      </c>
      <c r="G176" t="s">
        <v>13706</v>
      </c>
    </row>
    <row r="177" spans="1:7" x14ac:dyDescent="0.25">
      <c r="A177" t="s">
        <v>38</v>
      </c>
      <c r="B177" t="s">
        <v>13883</v>
      </c>
      <c r="C177" t="s">
        <v>13884</v>
      </c>
      <c r="D177" t="s">
        <v>13649</v>
      </c>
      <c r="E177" t="s">
        <v>13883</v>
      </c>
      <c r="F177" t="s">
        <v>13885</v>
      </c>
      <c r="G177" t="s">
        <v>13666</v>
      </c>
    </row>
    <row r="178" spans="1:7" x14ac:dyDescent="0.25">
      <c r="A178" t="s">
        <v>22</v>
      </c>
      <c r="B178" t="s">
        <v>13888</v>
      </c>
      <c r="C178" t="s">
        <v>13889</v>
      </c>
      <c r="D178" t="s">
        <v>13649</v>
      </c>
      <c r="E178" t="s">
        <v>13888</v>
      </c>
      <c r="F178" t="s">
        <v>13890</v>
      </c>
      <c r="G178" t="s">
        <v>13676</v>
      </c>
    </row>
    <row r="179" spans="1:7" x14ac:dyDescent="0.25">
      <c r="A179" t="s">
        <v>38</v>
      </c>
      <c r="B179" t="s">
        <v>13897</v>
      </c>
      <c r="C179" t="s">
        <v>13898</v>
      </c>
      <c r="D179" t="s">
        <v>13649</v>
      </c>
      <c r="E179" t="s">
        <v>13897</v>
      </c>
      <c r="F179" t="s">
        <v>13899</v>
      </c>
      <c r="G179" t="s">
        <v>13804</v>
      </c>
    </row>
    <row r="180" spans="1:7" x14ac:dyDescent="0.25">
      <c r="A180" t="s">
        <v>22</v>
      </c>
      <c r="B180" t="s">
        <v>13902</v>
      </c>
      <c r="C180" t="s">
        <v>13777</v>
      </c>
      <c r="D180" t="s">
        <v>13649</v>
      </c>
      <c r="E180" t="s">
        <v>13902</v>
      </c>
      <c r="F180" t="s">
        <v>13903</v>
      </c>
      <c r="G180" t="s">
        <v>13773</v>
      </c>
    </row>
    <row r="181" spans="1:7" x14ac:dyDescent="0.25">
      <c r="A181" t="s">
        <v>22</v>
      </c>
      <c r="B181" t="s">
        <v>13906</v>
      </c>
      <c r="C181" t="s">
        <v>13907</v>
      </c>
      <c r="D181" t="s">
        <v>13649</v>
      </c>
      <c r="E181" t="s">
        <v>13906</v>
      </c>
      <c r="F181" t="s">
        <v>13908</v>
      </c>
      <c r="G181" t="s">
        <v>13909</v>
      </c>
    </row>
    <row r="182" spans="1:7" x14ac:dyDescent="0.25">
      <c r="A182" t="s">
        <v>38</v>
      </c>
      <c r="B182" t="s">
        <v>13916</v>
      </c>
      <c r="C182" t="s">
        <v>13787</v>
      </c>
      <c r="D182" t="s">
        <v>13649</v>
      </c>
      <c r="E182" t="s">
        <v>13916</v>
      </c>
      <c r="F182" t="s">
        <v>13917</v>
      </c>
      <c r="G182" t="s">
        <v>13712</v>
      </c>
    </row>
    <row r="183" spans="1:7" x14ac:dyDescent="0.25">
      <c r="A183" t="s">
        <v>38</v>
      </c>
      <c r="B183" t="s">
        <v>13920</v>
      </c>
      <c r="C183" t="s">
        <v>13921</v>
      </c>
      <c r="D183" t="s">
        <v>13649</v>
      </c>
      <c r="E183" t="s">
        <v>13922</v>
      </c>
      <c r="F183" t="s">
        <v>13923</v>
      </c>
      <c r="G183" t="s">
        <v>13712</v>
      </c>
    </row>
    <row r="184" spans="1:7" x14ac:dyDescent="0.25">
      <c r="A184" t="s">
        <v>38</v>
      </c>
      <c r="B184" t="s">
        <v>13931</v>
      </c>
      <c r="C184" t="s">
        <v>13932</v>
      </c>
      <c r="D184" t="s">
        <v>13649</v>
      </c>
      <c r="E184" t="s">
        <v>13931</v>
      </c>
      <c r="F184" t="s">
        <v>13933</v>
      </c>
      <c r="G184" t="s">
        <v>13712</v>
      </c>
    </row>
    <row r="185" spans="1:7" x14ac:dyDescent="0.25">
      <c r="A185" t="s">
        <v>38</v>
      </c>
      <c r="B185" t="s">
        <v>13936</v>
      </c>
      <c r="C185" t="s">
        <v>13937</v>
      </c>
      <c r="D185" t="s">
        <v>13649</v>
      </c>
      <c r="E185" t="s">
        <v>13936</v>
      </c>
      <c r="F185" t="s">
        <v>13938</v>
      </c>
      <c r="G185" t="s">
        <v>13773</v>
      </c>
    </row>
    <row r="186" spans="1:7" x14ac:dyDescent="0.25">
      <c r="A186" t="s">
        <v>38</v>
      </c>
      <c r="B186" t="s">
        <v>13941</v>
      </c>
      <c r="C186" t="s">
        <v>13942</v>
      </c>
      <c r="D186" t="s">
        <v>13649</v>
      </c>
      <c r="E186" t="s">
        <v>13941</v>
      </c>
      <c r="F186" t="s">
        <v>13943</v>
      </c>
      <c r="G186" t="s">
        <v>13798</v>
      </c>
    </row>
    <row r="187" spans="1:7" x14ac:dyDescent="0.25">
      <c r="A187" t="s">
        <v>38</v>
      </c>
      <c r="B187" t="s">
        <v>13946</v>
      </c>
      <c r="C187" t="s">
        <v>13947</v>
      </c>
      <c r="D187" t="s">
        <v>13649</v>
      </c>
      <c r="E187" t="s">
        <v>13946</v>
      </c>
      <c r="F187" t="s">
        <v>13948</v>
      </c>
      <c r="G187" t="s">
        <v>13712</v>
      </c>
    </row>
    <row r="188" spans="1:7" x14ac:dyDescent="0.25">
      <c r="A188" t="s">
        <v>22</v>
      </c>
      <c r="B188" t="s">
        <v>13960</v>
      </c>
      <c r="C188" t="s">
        <v>13961</v>
      </c>
      <c r="D188" t="s">
        <v>13649</v>
      </c>
      <c r="E188" t="s">
        <v>13960</v>
      </c>
      <c r="F188" t="s">
        <v>13962</v>
      </c>
      <c r="G188" t="s">
        <v>13666</v>
      </c>
    </row>
    <row r="189" spans="1:7" x14ac:dyDescent="0.25">
      <c r="A189" t="s">
        <v>38</v>
      </c>
      <c r="B189" t="s">
        <v>13965</v>
      </c>
      <c r="C189" t="s">
        <v>13966</v>
      </c>
      <c r="D189" t="s">
        <v>13649</v>
      </c>
      <c r="E189" t="s">
        <v>13965</v>
      </c>
      <c r="F189" t="s">
        <v>13967</v>
      </c>
      <c r="G189" t="s">
        <v>13909</v>
      </c>
    </row>
    <row r="190" spans="1:7" x14ac:dyDescent="0.25">
      <c r="A190" t="s">
        <v>38</v>
      </c>
      <c r="B190" t="s">
        <v>13976</v>
      </c>
      <c r="C190" t="s">
        <v>13977</v>
      </c>
      <c r="D190" t="s">
        <v>13649</v>
      </c>
      <c r="E190" t="s">
        <v>13976</v>
      </c>
      <c r="F190" t="s">
        <v>13978</v>
      </c>
      <c r="G190" t="s">
        <v>13828</v>
      </c>
    </row>
    <row r="191" spans="1:7" x14ac:dyDescent="0.25">
      <c r="A191" t="s">
        <v>22</v>
      </c>
      <c r="B191" t="s">
        <v>13981</v>
      </c>
      <c r="C191" t="s">
        <v>13982</v>
      </c>
      <c r="D191" t="s">
        <v>13649</v>
      </c>
      <c r="E191" t="s">
        <v>13981</v>
      </c>
      <c r="F191" t="s">
        <v>13983</v>
      </c>
      <c r="G191" t="s">
        <v>13652</v>
      </c>
    </row>
    <row r="192" spans="1:7" x14ac:dyDescent="0.25">
      <c r="A192" t="s">
        <v>22</v>
      </c>
      <c r="B192" t="s">
        <v>13986</v>
      </c>
      <c r="C192" t="s">
        <v>13947</v>
      </c>
      <c r="D192" t="s">
        <v>13649</v>
      </c>
      <c r="E192" t="s">
        <v>13986</v>
      </c>
      <c r="F192" t="s">
        <v>13987</v>
      </c>
      <c r="G192" t="s">
        <v>13712</v>
      </c>
    </row>
    <row r="193" spans="1:7" x14ac:dyDescent="0.25">
      <c r="A193" t="s">
        <v>22</v>
      </c>
      <c r="B193" t="s">
        <v>13994</v>
      </c>
      <c r="C193" t="s">
        <v>13921</v>
      </c>
      <c r="D193" t="s">
        <v>13649</v>
      </c>
      <c r="E193" t="s">
        <v>13994</v>
      </c>
      <c r="F193" t="s">
        <v>13995</v>
      </c>
      <c r="G193" t="s">
        <v>13712</v>
      </c>
    </row>
    <row r="194" spans="1:7" x14ac:dyDescent="0.25">
      <c r="A194" t="s">
        <v>38</v>
      </c>
      <c r="B194" t="s">
        <v>14002</v>
      </c>
      <c r="C194" t="s">
        <v>14003</v>
      </c>
      <c r="D194" t="s">
        <v>13649</v>
      </c>
      <c r="E194" t="s">
        <v>14002</v>
      </c>
      <c r="F194" t="s">
        <v>14004</v>
      </c>
      <c r="G194" t="s">
        <v>13652</v>
      </c>
    </row>
    <row r="195" spans="1:7" x14ac:dyDescent="0.25">
      <c r="A195" t="s">
        <v>38</v>
      </c>
      <c r="B195" t="s">
        <v>14007</v>
      </c>
      <c r="C195" t="s">
        <v>13674</v>
      </c>
      <c r="D195" t="s">
        <v>13649</v>
      </c>
      <c r="E195" t="s">
        <v>14007</v>
      </c>
      <c r="F195" t="s">
        <v>14008</v>
      </c>
      <c r="G195" t="s">
        <v>13676</v>
      </c>
    </row>
    <row r="196" spans="1:7" x14ac:dyDescent="0.25">
      <c r="A196" t="s">
        <v>38</v>
      </c>
      <c r="B196" t="s">
        <v>14011</v>
      </c>
      <c r="C196" t="s">
        <v>14012</v>
      </c>
      <c r="D196" t="s">
        <v>13649</v>
      </c>
      <c r="E196" t="s">
        <v>14011</v>
      </c>
      <c r="F196" t="s">
        <v>14013</v>
      </c>
      <c r="G196" t="s">
        <v>13666</v>
      </c>
    </row>
    <row r="197" spans="1:7" x14ac:dyDescent="0.25">
      <c r="A197" t="s">
        <v>38</v>
      </c>
      <c r="B197" t="s">
        <v>14016</v>
      </c>
      <c r="C197" t="s">
        <v>14017</v>
      </c>
      <c r="D197" t="s">
        <v>13649</v>
      </c>
      <c r="E197" t="s">
        <v>14016</v>
      </c>
      <c r="F197" t="s">
        <v>14018</v>
      </c>
      <c r="G197" t="s">
        <v>13798</v>
      </c>
    </row>
    <row r="198" spans="1:7" x14ac:dyDescent="0.25">
      <c r="A198" t="s">
        <v>38</v>
      </c>
      <c r="B198" t="s">
        <v>14025</v>
      </c>
      <c r="C198" t="s">
        <v>14026</v>
      </c>
      <c r="D198" t="s">
        <v>13649</v>
      </c>
      <c r="E198" t="s">
        <v>14025</v>
      </c>
      <c r="F198" t="s">
        <v>14027</v>
      </c>
      <c r="G198" t="s">
        <v>13706</v>
      </c>
    </row>
    <row r="199" spans="1:7" x14ac:dyDescent="0.25">
      <c r="A199" t="s">
        <v>38</v>
      </c>
      <c r="B199" t="s">
        <v>14030</v>
      </c>
      <c r="C199" t="s">
        <v>14031</v>
      </c>
      <c r="D199" t="s">
        <v>13649</v>
      </c>
      <c r="E199" t="s">
        <v>14030</v>
      </c>
      <c r="F199" t="s">
        <v>14032</v>
      </c>
      <c r="G199" t="s">
        <v>13666</v>
      </c>
    </row>
    <row r="200" spans="1:7" x14ac:dyDescent="0.25">
      <c r="A200" t="s">
        <v>22</v>
      </c>
      <c r="B200" t="s">
        <v>14035</v>
      </c>
      <c r="C200" t="s">
        <v>13716</v>
      </c>
      <c r="D200" t="s">
        <v>13649</v>
      </c>
      <c r="E200" t="s">
        <v>14035</v>
      </c>
      <c r="F200" t="s">
        <v>14036</v>
      </c>
      <c r="G200" t="s">
        <v>13712</v>
      </c>
    </row>
    <row r="201" spans="1:7" x14ac:dyDescent="0.25">
      <c r="A201" t="s">
        <v>38</v>
      </c>
      <c r="B201" t="s">
        <v>14048</v>
      </c>
      <c r="C201" t="s">
        <v>13808</v>
      </c>
      <c r="D201" t="s">
        <v>13649</v>
      </c>
      <c r="E201" t="s">
        <v>14048</v>
      </c>
      <c r="F201" t="s">
        <v>14049</v>
      </c>
      <c r="G201" t="s">
        <v>13712</v>
      </c>
    </row>
    <row r="202" spans="1:7" x14ac:dyDescent="0.25">
      <c r="A202" t="s">
        <v>38</v>
      </c>
      <c r="B202" t="s">
        <v>14052</v>
      </c>
      <c r="C202" t="s">
        <v>13695</v>
      </c>
      <c r="D202" t="s">
        <v>13649</v>
      </c>
      <c r="E202" t="s">
        <v>14052</v>
      </c>
      <c r="F202" t="s">
        <v>14053</v>
      </c>
      <c r="G202" t="s">
        <v>13687</v>
      </c>
    </row>
    <row r="203" spans="1:7" x14ac:dyDescent="0.25">
      <c r="A203" t="s">
        <v>38</v>
      </c>
      <c r="B203" t="s">
        <v>11829</v>
      </c>
      <c r="C203" t="s">
        <v>14056</v>
      </c>
      <c r="D203" t="s">
        <v>13649</v>
      </c>
      <c r="E203" t="s">
        <v>11829</v>
      </c>
      <c r="F203" t="s">
        <v>14057</v>
      </c>
      <c r="G203" t="s">
        <v>13773</v>
      </c>
    </row>
    <row r="204" spans="1:7" x14ac:dyDescent="0.25">
      <c r="A204" t="s">
        <v>38</v>
      </c>
      <c r="B204" t="s">
        <v>14060</v>
      </c>
      <c r="C204" t="s">
        <v>14061</v>
      </c>
      <c r="D204" t="s">
        <v>13649</v>
      </c>
      <c r="E204" t="s">
        <v>14060</v>
      </c>
      <c r="F204" t="s">
        <v>14062</v>
      </c>
      <c r="G204" t="s">
        <v>13666</v>
      </c>
    </row>
    <row r="205" spans="1:7" x14ac:dyDescent="0.25">
      <c r="A205" t="s">
        <v>38</v>
      </c>
      <c r="B205" t="s">
        <v>14065</v>
      </c>
      <c r="C205" t="s">
        <v>14066</v>
      </c>
      <c r="D205" t="s">
        <v>13649</v>
      </c>
      <c r="E205" t="s">
        <v>14065</v>
      </c>
      <c r="F205" t="s">
        <v>14067</v>
      </c>
      <c r="G205" t="s">
        <v>13676</v>
      </c>
    </row>
    <row r="206" spans="1:7" x14ac:dyDescent="0.25">
      <c r="A206" t="s">
        <v>22</v>
      </c>
      <c r="B206" t="s">
        <v>14070</v>
      </c>
      <c r="C206" t="s">
        <v>13826</v>
      </c>
      <c r="D206" t="s">
        <v>13649</v>
      </c>
      <c r="E206" t="s">
        <v>14070</v>
      </c>
      <c r="F206" t="s">
        <v>14071</v>
      </c>
      <c r="G206" t="s">
        <v>13828</v>
      </c>
    </row>
    <row r="207" spans="1:7" x14ac:dyDescent="0.25">
      <c r="A207" t="s">
        <v>22</v>
      </c>
      <c r="B207" t="s">
        <v>14074</v>
      </c>
      <c r="C207" t="s">
        <v>13826</v>
      </c>
      <c r="D207" t="s">
        <v>13649</v>
      </c>
      <c r="E207" t="s">
        <v>14074</v>
      </c>
      <c r="F207" t="s">
        <v>14075</v>
      </c>
      <c r="G207" t="s">
        <v>13828</v>
      </c>
    </row>
    <row r="208" spans="1:7" x14ac:dyDescent="0.25">
      <c r="A208" t="s">
        <v>38</v>
      </c>
      <c r="B208" t="s">
        <v>14088</v>
      </c>
      <c r="C208" t="s">
        <v>14089</v>
      </c>
      <c r="D208" t="s">
        <v>13649</v>
      </c>
      <c r="E208" t="s">
        <v>14088</v>
      </c>
      <c r="F208" t="s">
        <v>14090</v>
      </c>
      <c r="G208" t="s">
        <v>13687</v>
      </c>
    </row>
    <row r="209" spans="1:7" x14ac:dyDescent="0.25">
      <c r="A209" t="s">
        <v>38</v>
      </c>
      <c r="B209" t="s">
        <v>14093</v>
      </c>
      <c r="C209" t="s">
        <v>13947</v>
      </c>
      <c r="D209" t="s">
        <v>13649</v>
      </c>
      <c r="E209" t="s">
        <v>14093</v>
      </c>
      <c r="F209" t="s">
        <v>14094</v>
      </c>
      <c r="G209" t="s">
        <v>13712</v>
      </c>
    </row>
    <row r="210" spans="1:7" x14ac:dyDescent="0.25">
      <c r="A210" t="s">
        <v>22</v>
      </c>
      <c r="B210" t="s">
        <v>14107</v>
      </c>
      <c r="C210" t="s">
        <v>13874</v>
      </c>
      <c r="D210" t="s">
        <v>13649</v>
      </c>
      <c r="E210" t="s">
        <v>14107</v>
      </c>
      <c r="F210" t="s">
        <v>14108</v>
      </c>
      <c r="G210" t="s">
        <v>13706</v>
      </c>
    </row>
    <row r="211" spans="1:7" x14ac:dyDescent="0.25">
      <c r="A211" t="s">
        <v>38</v>
      </c>
      <c r="B211" t="s">
        <v>14111</v>
      </c>
      <c r="C211" t="s">
        <v>14112</v>
      </c>
      <c r="D211" t="s">
        <v>13649</v>
      </c>
      <c r="E211" t="s">
        <v>14111</v>
      </c>
      <c r="F211" t="s">
        <v>14113</v>
      </c>
      <c r="G211" t="s">
        <v>13652</v>
      </c>
    </row>
    <row r="212" spans="1:7" x14ac:dyDescent="0.25">
      <c r="A212" t="s">
        <v>38</v>
      </c>
      <c r="B212" t="s">
        <v>14116</v>
      </c>
      <c r="C212" t="s">
        <v>13982</v>
      </c>
      <c r="D212" t="s">
        <v>13649</v>
      </c>
      <c r="E212" t="s">
        <v>14116</v>
      </c>
      <c r="F212" t="s">
        <v>14117</v>
      </c>
      <c r="G212" t="s">
        <v>13652</v>
      </c>
    </row>
    <row r="213" spans="1:7" x14ac:dyDescent="0.25">
      <c r="A213" t="s">
        <v>22</v>
      </c>
      <c r="B213" t="s">
        <v>14120</v>
      </c>
      <c r="C213" t="s">
        <v>13648</v>
      </c>
      <c r="D213" t="s">
        <v>13649</v>
      </c>
      <c r="E213" t="s">
        <v>14120</v>
      </c>
      <c r="F213" t="s">
        <v>14121</v>
      </c>
      <c r="G213" t="s">
        <v>13652</v>
      </c>
    </row>
    <row r="214" spans="1:7" x14ac:dyDescent="0.25">
      <c r="A214" t="s">
        <v>22</v>
      </c>
      <c r="B214" t="s">
        <v>14124</v>
      </c>
      <c r="C214" t="s">
        <v>13664</v>
      </c>
      <c r="D214" t="s">
        <v>13649</v>
      </c>
      <c r="E214" t="s">
        <v>14124</v>
      </c>
      <c r="F214" t="s">
        <v>14125</v>
      </c>
      <c r="G214" t="s">
        <v>13666</v>
      </c>
    </row>
    <row r="215" spans="1:7" x14ac:dyDescent="0.25">
      <c r="A215" t="s">
        <v>38</v>
      </c>
      <c r="B215" t="s">
        <v>14128</v>
      </c>
      <c r="C215" t="s">
        <v>14129</v>
      </c>
      <c r="D215" t="s">
        <v>13649</v>
      </c>
      <c r="E215" t="s">
        <v>14128</v>
      </c>
      <c r="F215" t="s">
        <v>14130</v>
      </c>
      <c r="G215" t="s">
        <v>13851</v>
      </c>
    </row>
    <row r="216" spans="1:7" x14ac:dyDescent="0.25">
      <c r="A216" t="s">
        <v>22</v>
      </c>
      <c r="B216" t="s">
        <v>14133</v>
      </c>
      <c r="C216" t="s">
        <v>13796</v>
      </c>
      <c r="D216" t="s">
        <v>13649</v>
      </c>
      <c r="E216" t="s">
        <v>14133</v>
      </c>
      <c r="F216" t="s">
        <v>14134</v>
      </c>
      <c r="G216" t="s">
        <v>13798</v>
      </c>
    </row>
    <row r="217" spans="1:7" x14ac:dyDescent="0.25">
      <c r="A217" t="s">
        <v>38</v>
      </c>
      <c r="B217" t="s">
        <v>14141</v>
      </c>
      <c r="C217" t="s">
        <v>14142</v>
      </c>
      <c r="D217" t="s">
        <v>13649</v>
      </c>
      <c r="E217" t="s">
        <v>14141</v>
      </c>
      <c r="F217" t="s">
        <v>14143</v>
      </c>
      <c r="G217" t="s">
        <v>13828</v>
      </c>
    </row>
    <row r="218" spans="1:7" x14ac:dyDescent="0.25">
      <c r="A218" t="s">
        <v>38</v>
      </c>
      <c r="B218" t="s">
        <v>14151</v>
      </c>
      <c r="C218" t="s">
        <v>14152</v>
      </c>
      <c r="D218" t="s">
        <v>13649</v>
      </c>
      <c r="E218" t="s">
        <v>14151</v>
      </c>
      <c r="F218" t="s">
        <v>14153</v>
      </c>
      <c r="G218" t="s">
        <v>13773</v>
      </c>
    </row>
    <row r="219" spans="1:7" x14ac:dyDescent="0.25">
      <c r="A219" t="s">
        <v>38</v>
      </c>
      <c r="B219" t="s">
        <v>14156</v>
      </c>
      <c r="C219" t="s">
        <v>14157</v>
      </c>
      <c r="D219" t="s">
        <v>13649</v>
      </c>
      <c r="E219" t="s">
        <v>14156</v>
      </c>
      <c r="F219" t="s">
        <v>14158</v>
      </c>
      <c r="G219" t="s">
        <v>13652</v>
      </c>
    </row>
    <row r="220" spans="1:7" x14ac:dyDescent="0.25">
      <c r="A220" t="s">
        <v>22</v>
      </c>
      <c r="B220" t="s">
        <v>14161</v>
      </c>
      <c r="C220" t="s">
        <v>13648</v>
      </c>
      <c r="D220" t="s">
        <v>13649</v>
      </c>
      <c r="E220" t="s">
        <v>14161</v>
      </c>
      <c r="F220" t="s">
        <v>14162</v>
      </c>
      <c r="G220" t="s">
        <v>13652</v>
      </c>
    </row>
    <row r="221" spans="1:7" x14ac:dyDescent="0.25">
      <c r="A221" t="s">
        <v>38</v>
      </c>
      <c r="B221" t="s">
        <v>14169</v>
      </c>
      <c r="C221" t="s">
        <v>14170</v>
      </c>
      <c r="D221" t="s">
        <v>13649</v>
      </c>
      <c r="E221" t="s">
        <v>14169</v>
      </c>
      <c r="F221" t="s">
        <v>14171</v>
      </c>
      <c r="G221" t="s">
        <v>13652</v>
      </c>
    </row>
    <row r="222" spans="1:7" x14ac:dyDescent="0.25">
      <c r="A222" t="s">
        <v>22</v>
      </c>
      <c r="B222" t="s">
        <v>14174</v>
      </c>
      <c r="C222" t="s">
        <v>13648</v>
      </c>
      <c r="D222" t="s">
        <v>13649</v>
      </c>
      <c r="E222" t="s">
        <v>14174</v>
      </c>
      <c r="F222" t="s">
        <v>14175</v>
      </c>
      <c r="G222" t="s">
        <v>13652</v>
      </c>
    </row>
    <row r="223" spans="1:7" x14ac:dyDescent="0.25">
      <c r="A223" t="s">
        <v>38</v>
      </c>
      <c r="B223" t="s">
        <v>14178</v>
      </c>
      <c r="C223" t="s">
        <v>14179</v>
      </c>
      <c r="D223" t="s">
        <v>13649</v>
      </c>
      <c r="E223" t="s">
        <v>14178</v>
      </c>
      <c r="F223" t="s">
        <v>14180</v>
      </c>
      <c r="G223" t="s">
        <v>13652</v>
      </c>
    </row>
    <row r="224" spans="1:7" x14ac:dyDescent="0.25">
      <c r="A224" t="s">
        <v>22</v>
      </c>
      <c r="B224" t="s">
        <v>14183</v>
      </c>
      <c r="C224" t="s">
        <v>13695</v>
      </c>
      <c r="D224" t="s">
        <v>13649</v>
      </c>
      <c r="E224" t="s">
        <v>14183</v>
      </c>
      <c r="F224" t="s">
        <v>14184</v>
      </c>
      <c r="G224" t="s">
        <v>13687</v>
      </c>
    </row>
    <row r="225" spans="1:7" x14ac:dyDescent="0.25">
      <c r="A225" t="s">
        <v>38</v>
      </c>
      <c r="B225" t="s">
        <v>14187</v>
      </c>
      <c r="C225" t="s">
        <v>14061</v>
      </c>
      <c r="D225" t="s">
        <v>13649</v>
      </c>
      <c r="E225" t="s">
        <v>14187</v>
      </c>
      <c r="F225" t="s">
        <v>14188</v>
      </c>
      <c r="G225" t="s">
        <v>13666</v>
      </c>
    </row>
    <row r="226" spans="1:7" x14ac:dyDescent="0.25">
      <c r="A226" t="s">
        <v>22</v>
      </c>
      <c r="B226" t="s">
        <v>14196</v>
      </c>
      <c r="C226" t="s">
        <v>14197</v>
      </c>
      <c r="D226" t="s">
        <v>13649</v>
      </c>
      <c r="E226" t="s">
        <v>14196</v>
      </c>
      <c r="F226" t="s">
        <v>14198</v>
      </c>
      <c r="G226" t="s">
        <v>13737</v>
      </c>
    </row>
    <row r="227" spans="1:7" x14ac:dyDescent="0.25">
      <c r="A227" t="s">
        <v>38</v>
      </c>
      <c r="B227" t="s">
        <v>14201</v>
      </c>
      <c r="C227" t="s">
        <v>14202</v>
      </c>
      <c r="D227" t="s">
        <v>13649</v>
      </c>
      <c r="E227" t="s">
        <v>14201</v>
      </c>
      <c r="F227" t="s">
        <v>14203</v>
      </c>
      <c r="G227" t="s">
        <v>13687</v>
      </c>
    </row>
    <row r="228" spans="1:7" x14ac:dyDescent="0.25">
      <c r="A228" t="s">
        <v>22</v>
      </c>
      <c r="B228" t="s">
        <v>14206</v>
      </c>
      <c r="C228" t="s">
        <v>14207</v>
      </c>
      <c r="D228" t="s">
        <v>13649</v>
      </c>
      <c r="E228" t="s">
        <v>14206</v>
      </c>
      <c r="F228" t="s">
        <v>14208</v>
      </c>
      <c r="G228" t="s">
        <v>13687</v>
      </c>
    </row>
    <row r="229" spans="1:7" x14ac:dyDescent="0.25">
      <c r="A229" t="s">
        <v>22</v>
      </c>
      <c r="B229" t="s">
        <v>14211</v>
      </c>
      <c r="C229" t="s">
        <v>13704</v>
      </c>
      <c r="D229" t="s">
        <v>13649</v>
      </c>
      <c r="E229" t="s">
        <v>14211</v>
      </c>
      <c r="F229" t="s">
        <v>14212</v>
      </c>
      <c r="G229" t="s">
        <v>13706</v>
      </c>
    </row>
    <row r="230" spans="1:7" x14ac:dyDescent="0.25">
      <c r="A230" t="s">
        <v>38</v>
      </c>
      <c r="B230" t="s">
        <v>14215</v>
      </c>
      <c r="C230" t="s">
        <v>14216</v>
      </c>
      <c r="D230" t="s">
        <v>13649</v>
      </c>
      <c r="E230" t="s">
        <v>14215</v>
      </c>
      <c r="F230" t="s">
        <v>14217</v>
      </c>
      <c r="G230" t="s">
        <v>13798</v>
      </c>
    </row>
    <row r="231" spans="1:7" x14ac:dyDescent="0.25">
      <c r="A231" t="s">
        <v>38</v>
      </c>
      <c r="B231" t="s">
        <v>14220</v>
      </c>
      <c r="C231" t="s">
        <v>14221</v>
      </c>
      <c r="D231" t="s">
        <v>13649</v>
      </c>
      <c r="E231" t="s">
        <v>14220</v>
      </c>
      <c r="F231" t="s">
        <v>14222</v>
      </c>
      <c r="G231" t="s">
        <v>13676</v>
      </c>
    </row>
    <row r="232" spans="1:7" x14ac:dyDescent="0.25">
      <c r="A232" t="s">
        <v>22</v>
      </c>
      <c r="B232" t="s">
        <v>14229</v>
      </c>
      <c r="C232" t="s">
        <v>13664</v>
      </c>
      <c r="D232" t="s">
        <v>13649</v>
      </c>
      <c r="E232" t="s">
        <v>14229</v>
      </c>
      <c r="F232" t="s">
        <v>14230</v>
      </c>
      <c r="G232" t="s">
        <v>13666</v>
      </c>
    </row>
    <row r="233" spans="1:7" x14ac:dyDescent="0.25">
      <c r="A233" t="s">
        <v>38</v>
      </c>
      <c r="B233" t="s">
        <v>14233</v>
      </c>
      <c r="C233" t="s">
        <v>14234</v>
      </c>
      <c r="D233" t="s">
        <v>13649</v>
      </c>
      <c r="E233" t="s">
        <v>14233</v>
      </c>
      <c r="F233" t="s">
        <v>14235</v>
      </c>
      <c r="G233" t="s">
        <v>13666</v>
      </c>
    </row>
    <row r="234" spans="1:7" x14ac:dyDescent="0.25">
      <c r="A234" t="s">
        <v>38</v>
      </c>
      <c r="B234" t="s">
        <v>14238</v>
      </c>
      <c r="C234" t="s">
        <v>14234</v>
      </c>
      <c r="D234" t="s">
        <v>13649</v>
      </c>
      <c r="E234" t="s">
        <v>14238</v>
      </c>
      <c r="F234" t="s">
        <v>14239</v>
      </c>
      <c r="G234" t="s">
        <v>13666</v>
      </c>
    </row>
    <row r="235" spans="1:7" x14ac:dyDescent="0.25">
      <c r="A235" t="s">
        <v>38</v>
      </c>
      <c r="B235" t="s">
        <v>14242</v>
      </c>
      <c r="C235" t="s">
        <v>14243</v>
      </c>
      <c r="D235" t="s">
        <v>13649</v>
      </c>
      <c r="E235" t="s">
        <v>14242</v>
      </c>
      <c r="F235" t="s">
        <v>14244</v>
      </c>
      <c r="G235" t="s">
        <v>13712</v>
      </c>
    </row>
    <row r="236" spans="1:7" x14ac:dyDescent="0.25">
      <c r="A236" t="s">
        <v>38</v>
      </c>
      <c r="B236" t="s">
        <v>14247</v>
      </c>
      <c r="C236" t="s">
        <v>14248</v>
      </c>
      <c r="D236" t="s">
        <v>13649</v>
      </c>
      <c r="E236" t="s">
        <v>14247</v>
      </c>
      <c r="F236" t="s">
        <v>14249</v>
      </c>
      <c r="G236" t="s">
        <v>13737</v>
      </c>
    </row>
    <row r="237" spans="1:7" x14ac:dyDescent="0.25">
      <c r="A237" t="s">
        <v>38</v>
      </c>
      <c r="B237" t="s">
        <v>14252</v>
      </c>
      <c r="C237" t="s">
        <v>13674</v>
      </c>
      <c r="D237" t="s">
        <v>13649</v>
      </c>
      <c r="E237" t="s">
        <v>14252</v>
      </c>
      <c r="F237" t="s">
        <v>14253</v>
      </c>
      <c r="G237" t="s">
        <v>13676</v>
      </c>
    </row>
    <row r="238" spans="1:7" x14ac:dyDescent="0.25">
      <c r="A238" t="s">
        <v>38</v>
      </c>
      <c r="B238" t="s">
        <v>14256</v>
      </c>
      <c r="C238" t="s">
        <v>14257</v>
      </c>
      <c r="D238" t="s">
        <v>13649</v>
      </c>
      <c r="E238" t="s">
        <v>14256</v>
      </c>
      <c r="F238" t="s">
        <v>14258</v>
      </c>
      <c r="G238" t="s">
        <v>13687</v>
      </c>
    </row>
    <row r="239" spans="1:7" x14ac:dyDescent="0.25">
      <c r="A239" t="s">
        <v>22</v>
      </c>
      <c r="B239" t="s">
        <v>14261</v>
      </c>
      <c r="C239" t="s">
        <v>13685</v>
      </c>
      <c r="D239" t="s">
        <v>13649</v>
      </c>
      <c r="E239" t="s">
        <v>14261</v>
      </c>
      <c r="F239" t="s">
        <v>14262</v>
      </c>
      <c r="G239" t="s">
        <v>13687</v>
      </c>
    </row>
    <row r="240" spans="1:7" x14ac:dyDescent="0.25">
      <c r="A240" t="s">
        <v>38</v>
      </c>
      <c r="B240" t="s">
        <v>14265</v>
      </c>
      <c r="C240" t="s">
        <v>13796</v>
      </c>
      <c r="D240" t="s">
        <v>13649</v>
      </c>
      <c r="E240" t="s">
        <v>14265</v>
      </c>
      <c r="F240" t="s">
        <v>14266</v>
      </c>
      <c r="G240" t="s">
        <v>13798</v>
      </c>
    </row>
    <row r="241" spans="1:7" x14ac:dyDescent="0.25">
      <c r="A241" t="s">
        <v>22</v>
      </c>
      <c r="B241" t="s">
        <v>14269</v>
      </c>
      <c r="C241" t="s">
        <v>13771</v>
      </c>
      <c r="D241" t="s">
        <v>13649</v>
      </c>
      <c r="E241" t="s">
        <v>14269</v>
      </c>
      <c r="F241" t="s">
        <v>14270</v>
      </c>
      <c r="G241" t="s">
        <v>13773</v>
      </c>
    </row>
    <row r="242" spans="1:7" x14ac:dyDescent="0.25">
      <c r="A242" t="s">
        <v>22</v>
      </c>
      <c r="B242" t="s">
        <v>14273</v>
      </c>
      <c r="C242" t="s">
        <v>13704</v>
      </c>
      <c r="D242" t="s">
        <v>13649</v>
      </c>
      <c r="E242" t="s">
        <v>14273</v>
      </c>
      <c r="F242" t="s">
        <v>14274</v>
      </c>
      <c r="G242" t="s">
        <v>13706</v>
      </c>
    </row>
    <row r="243" spans="1:7" x14ac:dyDescent="0.25">
      <c r="A243" t="s">
        <v>38</v>
      </c>
      <c r="B243" t="s">
        <v>14277</v>
      </c>
      <c r="C243" t="s">
        <v>13802</v>
      </c>
      <c r="D243" t="s">
        <v>13649</v>
      </c>
      <c r="E243" t="s">
        <v>14277</v>
      </c>
      <c r="F243" t="s">
        <v>14278</v>
      </c>
      <c r="G243" t="s">
        <v>13804</v>
      </c>
    </row>
    <row r="244" spans="1:7" x14ac:dyDescent="0.25">
      <c r="A244" t="s">
        <v>22</v>
      </c>
      <c r="B244" t="s">
        <v>14285</v>
      </c>
      <c r="C244" t="s">
        <v>13735</v>
      </c>
      <c r="D244" t="s">
        <v>13649</v>
      </c>
      <c r="E244" t="s">
        <v>14285</v>
      </c>
      <c r="F244" t="s">
        <v>14286</v>
      </c>
      <c r="G244" t="s">
        <v>13737</v>
      </c>
    </row>
    <row r="245" spans="1:7" x14ac:dyDescent="0.25">
      <c r="A245" t="s">
        <v>38</v>
      </c>
      <c r="B245" t="s">
        <v>14289</v>
      </c>
      <c r="C245" t="s">
        <v>14290</v>
      </c>
      <c r="D245" t="s">
        <v>13649</v>
      </c>
      <c r="E245" t="s">
        <v>14289</v>
      </c>
      <c r="F245" t="s">
        <v>14291</v>
      </c>
      <c r="G245" t="s">
        <v>13851</v>
      </c>
    </row>
    <row r="246" spans="1:7" x14ac:dyDescent="0.25">
      <c r="A246" t="s">
        <v>22</v>
      </c>
      <c r="B246" t="s">
        <v>14294</v>
      </c>
      <c r="C246" t="s">
        <v>13648</v>
      </c>
      <c r="D246" t="s">
        <v>13649</v>
      </c>
      <c r="E246" t="s">
        <v>14294</v>
      </c>
      <c r="F246" t="s">
        <v>14295</v>
      </c>
      <c r="G246" t="s">
        <v>13652</v>
      </c>
    </row>
    <row r="247" spans="1:7" x14ac:dyDescent="0.25">
      <c r="A247" t="s">
        <v>38</v>
      </c>
      <c r="B247" t="s">
        <v>14298</v>
      </c>
      <c r="C247" t="s">
        <v>14299</v>
      </c>
      <c r="D247" t="s">
        <v>13649</v>
      </c>
      <c r="E247" t="s">
        <v>14298</v>
      </c>
      <c r="F247" t="s">
        <v>14300</v>
      </c>
      <c r="G247" t="s">
        <v>13687</v>
      </c>
    </row>
    <row r="248" spans="1:7" x14ac:dyDescent="0.25">
      <c r="A248" t="s">
        <v>38</v>
      </c>
      <c r="B248" t="s">
        <v>14303</v>
      </c>
      <c r="C248" t="s">
        <v>14304</v>
      </c>
      <c r="D248" t="s">
        <v>13649</v>
      </c>
      <c r="E248" t="s">
        <v>14303</v>
      </c>
      <c r="F248" t="s">
        <v>14305</v>
      </c>
      <c r="G248" t="s">
        <v>13652</v>
      </c>
    </row>
    <row r="249" spans="1:7" x14ac:dyDescent="0.25">
      <c r="A249" t="s">
        <v>38</v>
      </c>
      <c r="B249" t="s">
        <v>14317</v>
      </c>
      <c r="C249" t="s">
        <v>14318</v>
      </c>
      <c r="D249" t="s">
        <v>13649</v>
      </c>
      <c r="E249" t="s">
        <v>14317</v>
      </c>
      <c r="F249" t="s">
        <v>14319</v>
      </c>
      <c r="G249" t="s">
        <v>13652</v>
      </c>
    </row>
    <row r="250" spans="1:7" x14ac:dyDescent="0.25">
      <c r="A250" t="s">
        <v>22</v>
      </c>
      <c r="B250" t="s">
        <v>14322</v>
      </c>
      <c r="C250" t="s">
        <v>13685</v>
      </c>
      <c r="D250" t="s">
        <v>13649</v>
      </c>
      <c r="E250" t="s">
        <v>14322</v>
      </c>
      <c r="F250" t="s">
        <v>14323</v>
      </c>
      <c r="G250" t="s">
        <v>13687</v>
      </c>
    </row>
    <row r="251" spans="1:7" x14ac:dyDescent="0.25">
      <c r="A251" t="s">
        <v>38</v>
      </c>
      <c r="B251" t="s">
        <v>14326</v>
      </c>
      <c r="C251" t="s">
        <v>14327</v>
      </c>
      <c r="D251" t="s">
        <v>13649</v>
      </c>
      <c r="E251" t="s">
        <v>14326</v>
      </c>
      <c r="F251" t="s">
        <v>14328</v>
      </c>
      <c r="G251" t="s">
        <v>13828</v>
      </c>
    </row>
    <row r="252" spans="1:7" x14ac:dyDescent="0.25">
      <c r="A252" t="s">
        <v>38</v>
      </c>
      <c r="B252" t="s">
        <v>14331</v>
      </c>
      <c r="C252" t="s">
        <v>14332</v>
      </c>
      <c r="D252" t="s">
        <v>13649</v>
      </c>
      <c r="E252" t="s">
        <v>14331</v>
      </c>
      <c r="F252" t="s">
        <v>14333</v>
      </c>
      <c r="G252" t="s">
        <v>13712</v>
      </c>
    </row>
    <row r="253" spans="1:7" x14ac:dyDescent="0.25">
      <c r="A253" t="s">
        <v>38</v>
      </c>
      <c r="B253" t="s">
        <v>14336</v>
      </c>
      <c r="C253" t="s">
        <v>14337</v>
      </c>
      <c r="D253" t="s">
        <v>13649</v>
      </c>
      <c r="E253" t="s">
        <v>14336</v>
      </c>
      <c r="F253" t="s">
        <v>14338</v>
      </c>
      <c r="G253" t="s">
        <v>13652</v>
      </c>
    </row>
    <row r="254" spans="1:7" x14ac:dyDescent="0.25">
      <c r="A254" t="s">
        <v>22</v>
      </c>
      <c r="B254" t="s">
        <v>14341</v>
      </c>
      <c r="C254" t="s">
        <v>13648</v>
      </c>
      <c r="D254" t="s">
        <v>13649</v>
      </c>
      <c r="E254" t="s">
        <v>14341</v>
      </c>
      <c r="F254" t="s">
        <v>14342</v>
      </c>
      <c r="G254" t="s">
        <v>13652</v>
      </c>
    </row>
    <row r="255" spans="1:7" x14ac:dyDescent="0.25">
      <c r="A255" t="s">
        <v>22</v>
      </c>
      <c r="B255" t="s">
        <v>14345</v>
      </c>
      <c r="C255" t="s">
        <v>13648</v>
      </c>
      <c r="D255" t="s">
        <v>13649</v>
      </c>
      <c r="E255" t="s">
        <v>14345</v>
      </c>
      <c r="F255" t="s">
        <v>14346</v>
      </c>
      <c r="G255" t="s">
        <v>13652</v>
      </c>
    </row>
    <row r="256" spans="1:7" x14ac:dyDescent="0.25">
      <c r="A256" t="s">
        <v>38</v>
      </c>
      <c r="B256" t="s">
        <v>14349</v>
      </c>
      <c r="C256" t="s">
        <v>13648</v>
      </c>
      <c r="D256" t="s">
        <v>13649</v>
      </c>
      <c r="E256" t="s">
        <v>14349</v>
      </c>
      <c r="F256" t="s">
        <v>14350</v>
      </c>
      <c r="G256" t="s">
        <v>13652</v>
      </c>
    </row>
    <row r="257" spans="1:7" x14ac:dyDescent="0.25">
      <c r="A257" t="s">
        <v>38</v>
      </c>
      <c r="B257" t="s">
        <v>14353</v>
      </c>
      <c r="C257" t="s">
        <v>14354</v>
      </c>
      <c r="D257" t="s">
        <v>13649</v>
      </c>
      <c r="E257" t="s">
        <v>14353</v>
      </c>
      <c r="F257" t="s">
        <v>14355</v>
      </c>
      <c r="G257" t="s">
        <v>13652</v>
      </c>
    </row>
    <row r="258" spans="1:7" x14ac:dyDescent="0.25">
      <c r="A258" t="s">
        <v>38</v>
      </c>
      <c r="B258" t="s">
        <v>14358</v>
      </c>
      <c r="C258" t="s">
        <v>14359</v>
      </c>
      <c r="D258" t="s">
        <v>13649</v>
      </c>
      <c r="E258" t="s">
        <v>14358</v>
      </c>
      <c r="F258" t="s">
        <v>14360</v>
      </c>
      <c r="G258" t="s">
        <v>13828</v>
      </c>
    </row>
    <row r="259" spans="1:7" x14ac:dyDescent="0.25">
      <c r="A259" t="s">
        <v>38</v>
      </c>
      <c r="B259" t="s">
        <v>14367</v>
      </c>
      <c r="C259" t="s">
        <v>13664</v>
      </c>
      <c r="D259" t="s">
        <v>13649</v>
      </c>
      <c r="E259" t="s">
        <v>14367</v>
      </c>
      <c r="F259" t="s">
        <v>14368</v>
      </c>
      <c r="G259" t="s">
        <v>13666</v>
      </c>
    </row>
    <row r="260" spans="1:7" x14ac:dyDescent="0.25">
      <c r="A260" t="s">
        <v>22</v>
      </c>
      <c r="B260" t="s">
        <v>14371</v>
      </c>
      <c r="C260" t="s">
        <v>13796</v>
      </c>
      <c r="D260" t="s">
        <v>13649</v>
      </c>
      <c r="E260" t="s">
        <v>14371</v>
      </c>
      <c r="F260" t="s">
        <v>14372</v>
      </c>
      <c r="G260" t="s">
        <v>13798</v>
      </c>
    </row>
    <row r="261" spans="1:7" x14ac:dyDescent="0.25">
      <c r="A261" t="s">
        <v>38</v>
      </c>
      <c r="B261" t="s">
        <v>14375</v>
      </c>
      <c r="C261" t="s">
        <v>13889</v>
      </c>
      <c r="D261" t="s">
        <v>13649</v>
      </c>
      <c r="E261" t="s">
        <v>14375</v>
      </c>
      <c r="F261" t="s">
        <v>14376</v>
      </c>
      <c r="G261" t="s">
        <v>13676</v>
      </c>
    </row>
    <row r="262" spans="1:7" x14ac:dyDescent="0.25">
      <c r="A262" t="s">
        <v>38</v>
      </c>
      <c r="B262" t="s">
        <v>14379</v>
      </c>
      <c r="C262" t="s">
        <v>14380</v>
      </c>
      <c r="D262" t="s">
        <v>13649</v>
      </c>
      <c r="E262" t="s">
        <v>14379</v>
      </c>
      <c r="F262" t="s">
        <v>14381</v>
      </c>
      <c r="G262" t="s">
        <v>13712</v>
      </c>
    </row>
    <row r="263" spans="1:7" x14ac:dyDescent="0.25">
      <c r="A263" t="s">
        <v>38</v>
      </c>
      <c r="B263" t="s">
        <v>14384</v>
      </c>
      <c r="C263" t="s">
        <v>14385</v>
      </c>
      <c r="D263" t="s">
        <v>13649</v>
      </c>
      <c r="E263" t="s">
        <v>14384</v>
      </c>
      <c r="F263" t="s">
        <v>14386</v>
      </c>
      <c r="G263" t="s">
        <v>13687</v>
      </c>
    </row>
    <row r="264" spans="1:7" x14ac:dyDescent="0.25">
      <c r="A264" t="s">
        <v>38</v>
      </c>
      <c r="B264" t="s">
        <v>14389</v>
      </c>
      <c r="C264" t="s">
        <v>14390</v>
      </c>
      <c r="D264" t="s">
        <v>13649</v>
      </c>
      <c r="E264" t="s">
        <v>14389</v>
      </c>
      <c r="F264" t="s">
        <v>14391</v>
      </c>
      <c r="G264" t="s">
        <v>13712</v>
      </c>
    </row>
    <row r="265" spans="1:7" x14ac:dyDescent="0.25">
      <c r="A265" t="s">
        <v>38</v>
      </c>
      <c r="B265" t="s">
        <v>14394</v>
      </c>
      <c r="C265" t="s">
        <v>13685</v>
      </c>
      <c r="D265" t="s">
        <v>13649</v>
      </c>
      <c r="E265" t="s">
        <v>14394</v>
      </c>
      <c r="F265" t="s">
        <v>14395</v>
      </c>
      <c r="G265" t="s">
        <v>13687</v>
      </c>
    </row>
    <row r="266" spans="1:7" x14ac:dyDescent="0.25">
      <c r="A266" t="s">
        <v>38</v>
      </c>
      <c r="B266" t="s">
        <v>14398</v>
      </c>
      <c r="C266" t="s">
        <v>14399</v>
      </c>
      <c r="D266" t="s">
        <v>13649</v>
      </c>
      <c r="E266" t="s">
        <v>14398</v>
      </c>
      <c r="F266" t="s">
        <v>14400</v>
      </c>
      <c r="G266" t="s">
        <v>13652</v>
      </c>
    </row>
    <row r="267" spans="1:7" x14ac:dyDescent="0.25">
      <c r="A267" t="s">
        <v>38</v>
      </c>
      <c r="B267" t="s">
        <v>14408</v>
      </c>
      <c r="C267" t="s">
        <v>14409</v>
      </c>
      <c r="D267" t="s">
        <v>13649</v>
      </c>
      <c r="E267" t="s">
        <v>14408</v>
      </c>
      <c r="F267" t="s">
        <v>14410</v>
      </c>
      <c r="G267" t="s">
        <v>13712</v>
      </c>
    </row>
    <row r="268" spans="1:7" x14ac:dyDescent="0.25">
      <c r="A268" t="s">
        <v>22</v>
      </c>
      <c r="B268" t="s">
        <v>14413</v>
      </c>
      <c r="C268" t="s">
        <v>13648</v>
      </c>
      <c r="D268" t="s">
        <v>13649</v>
      </c>
      <c r="E268" t="s">
        <v>14413</v>
      </c>
      <c r="F268" t="s">
        <v>14414</v>
      </c>
      <c r="G268" t="s">
        <v>13652</v>
      </c>
    </row>
    <row r="269" spans="1:7" x14ac:dyDescent="0.25">
      <c r="A269" t="s">
        <v>38</v>
      </c>
      <c r="B269" t="s">
        <v>14421</v>
      </c>
      <c r="C269" t="s">
        <v>14422</v>
      </c>
      <c r="D269" t="s">
        <v>13649</v>
      </c>
      <c r="E269" t="s">
        <v>14421</v>
      </c>
      <c r="F269" t="s">
        <v>14423</v>
      </c>
      <c r="G269" t="s">
        <v>13712</v>
      </c>
    </row>
    <row r="270" spans="1:7" x14ac:dyDescent="0.25">
      <c r="A270" t="s">
        <v>38</v>
      </c>
      <c r="B270" t="s">
        <v>14426</v>
      </c>
      <c r="C270" t="s">
        <v>13907</v>
      </c>
      <c r="D270" t="s">
        <v>13649</v>
      </c>
      <c r="E270" t="s">
        <v>14426</v>
      </c>
      <c r="F270" t="s">
        <v>14427</v>
      </c>
      <c r="G270" t="s">
        <v>13909</v>
      </c>
    </row>
    <row r="271" spans="1:7" x14ac:dyDescent="0.25">
      <c r="A271" t="s">
        <v>38</v>
      </c>
      <c r="B271" t="s">
        <v>14430</v>
      </c>
      <c r="C271" t="s">
        <v>14431</v>
      </c>
      <c r="D271" t="s">
        <v>13649</v>
      </c>
      <c r="E271" t="s">
        <v>14430</v>
      </c>
      <c r="F271" t="s">
        <v>14432</v>
      </c>
      <c r="G271" t="s">
        <v>13828</v>
      </c>
    </row>
    <row r="272" spans="1:7" x14ac:dyDescent="0.25">
      <c r="A272" t="s">
        <v>38</v>
      </c>
      <c r="B272" t="s">
        <v>14435</v>
      </c>
      <c r="C272" t="s">
        <v>13966</v>
      </c>
      <c r="D272" t="s">
        <v>13649</v>
      </c>
      <c r="E272" t="s">
        <v>14435</v>
      </c>
      <c r="F272" t="s">
        <v>14436</v>
      </c>
      <c r="G272" t="s">
        <v>13909</v>
      </c>
    </row>
    <row r="273" spans="1:7" x14ac:dyDescent="0.25">
      <c r="A273" t="s">
        <v>38</v>
      </c>
      <c r="B273" t="s">
        <v>14439</v>
      </c>
      <c r="C273" t="s">
        <v>13704</v>
      </c>
      <c r="D273" t="s">
        <v>13649</v>
      </c>
      <c r="E273" t="s">
        <v>14439</v>
      </c>
      <c r="F273" t="s">
        <v>14440</v>
      </c>
      <c r="G273" t="s">
        <v>13706</v>
      </c>
    </row>
    <row r="274" spans="1:7" x14ac:dyDescent="0.25">
      <c r="A274" t="s">
        <v>38</v>
      </c>
      <c r="B274" t="s">
        <v>14443</v>
      </c>
      <c r="C274" t="s">
        <v>14444</v>
      </c>
      <c r="D274" t="s">
        <v>13649</v>
      </c>
      <c r="E274" t="s">
        <v>14443</v>
      </c>
      <c r="F274" t="s">
        <v>14445</v>
      </c>
      <c r="G274" t="s">
        <v>13712</v>
      </c>
    </row>
    <row r="275" spans="1:7" x14ac:dyDescent="0.25">
      <c r="A275" t="s">
        <v>22</v>
      </c>
      <c r="B275" t="s">
        <v>14463</v>
      </c>
      <c r="C275" t="s">
        <v>13648</v>
      </c>
      <c r="D275" t="s">
        <v>13649</v>
      </c>
      <c r="E275" t="s">
        <v>14463</v>
      </c>
      <c r="F275" t="s">
        <v>14464</v>
      </c>
      <c r="G275" t="s">
        <v>13652</v>
      </c>
    </row>
    <row r="276" spans="1:7" x14ac:dyDescent="0.25">
      <c r="A276" t="s">
        <v>22</v>
      </c>
      <c r="B276" t="s">
        <v>14495</v>
      </c>
      <c r="C276" t="s">
        <v>14484</v>
      </c>
      <c r="D276" t="s">
        <v>14485</v>
      </c>
      <c r="E276" t="s">
        <v>14495</v>
      </c>
      <c r="F276" t="s">
        <v>14496</v>
      </c>
      <c r="G276" t="s">
        <v>14487</v>
      </c>
    </row>
    <row r="277" spans="1:7" x14ac:dyDescent="0.25">
      <c r="A277" t="s">
        <v>22</v>
      </c>
      <c r="B277" t="s">
        <v>14509</v>
      </c>
      <c r="C277" t="s">
        <v>14484</v>
      </c>
      <c r="D277" t="s">
        <v>14485</v>
      </c>
      <c r="E277" t="s">
        <v>14509</v>
      </c>
      <c r="F277" t="s">
        <v>14510</v>
      </c>
      <c r="G277" t="s">
        <v>14511</v>
      </c>
    </row>
    <row r="278" spans="1:7" x14ac:dyDescent="0.25">
      <c r="A278" t="s">
        <v>22</v>
      </c>
      <c r="B278" t="s">
        <v>14524</v>
      </c>
      <c r="C278" t="s">
        <v>14484</v>
      </c>
      <c r="D278" t="s">
        <v>14485</v>
      </c>
      <c r="E278" t="s">
        <v>14524</v>
      </c>
      <c r="F278" t="s">
        <v>14525</v>
      </c>
      <c r="G278" t="s">
        <v>14487</v>
      </c>
    </row>
    <row r="279" spans="1:7" x14ac:dyDescent="0.25">
      <c r="A279" t="s">
        <v>22</v>
      </c>
      <c r="B279" t="s">
        <v>14572</v>
      </c>
      <c r="C279" t="s">
        <v>14573</v>
      </c>
      <c r="D279" t="s">
        <v>14485</v>
      </c>
      <c r="E279" t="s">
        <v>14572</v>
      </c>
      <c r="F279" t="s">
        <v>14574</v>
      </c>
      <c r="G279" t="s">
        <v>14575</v>
      </c>
    </row>
    <row r="280" spans="1:7" x14ac:dyDescent="0.25">
      <c r="A280" t="s">
        <v>22</v>
      </c>
      <c r="B280" t="s">
        <v>14582</v>
      </c>
      <c r="C280" t="s">
        <v>14583</v>
      </c>
      <c r="D280" t="s">
        <v>14485</v>
      </c>
      <c r="E280" t="s">
        <v>14584</v>
      </c>
      <c r="F280" t="s">
        <v>14585</v>
      </c>
      <c r="G280" t="s">
        <v>14569</v>
      </c>
    </row>
    <row r="281" spans="1:7" x14ac:dyDescent="0.25">
      <c r="A281" t="s">
        <v>22</v>
      </c>
      <c r="B281" t="s">
        <v>14961</v>
      </c>
      <c r="C281" t="s">
        <v>14962</v>
      </c>
      <c r="D281" t="s">
        <v>14963</v>
      </c>
      <c r="E281" t="s">
        <v>14961</v>
      </c>
      <c r="F281" t="s">
        <v>14965</v>
      </c>
      <c r="G281" t="s">
        <v>14966</v>
      </c>
    </row>
    <row r="282" spans="1:7" x14ac:dyDescent="0.25">
      <c r="A282" t="s">
        <v>22</v>
      </c>
      <c r="B282" t="s">
        <v>15013</v>
      </c>
      <c r="C282" t="s">
        <v>15014</v>
      </c>
      <c r="D282" t="s">
        <v>14963</v>
      </c>
      <c r="E282" t="s">
        <v>15013</v>
      </c>
      <c r="F282" t="s">
        <v>15015</v>
      </c>
      <c r="G282" t="s">
        <v>15016</v>
      </c>
    </row>
    <row r="283" spans="1:7" x14ac:dyDescent="0.25">
      <c r="A283" t="s">
        <v>38</v>
      </c>
      <c r="B283" t="s">
        <v>15023</v>
      </c>
      <c r="C283" t="s">
        <v>15024</v>
      </c>
      <c r="D283" t="s">
        <v>14963</v>
      </c>
      <c r="E283" t="s">
        <v>15023</v>
      </c>
      <c r="F283" t="s">
        <v>15025</v>
      </c>
      <c r="G283" t="s">
        <v>15026</v>
      </c>
    </row>
    <row r="284" spans="1:7" x14ac:dyDescent="0.25">
      <c r="A284" t="s">
        <v>22</v>
      </c>
      <c r="B284" t="s">
        <v>15035</v>
      </c>
      <c r="C284" t="s">
        <v>15036</v>
      </c>
      <c r="D284" t="s">
        <v>14963</v>
      </c>
      <c r="E284" t="s">
        <v>15035</v>
      </c>
      <c r="F284" t="s">
        <v>15037</v>
      </c>
      <c r="G284" t="s">
        <v>15038</v>
      </c>
    </row>
    <row r="285" spans="1:7" x14ac:dyDescent="0.25">
      <c r="A285" t="s">
        <v>22</v>
      </c>
      <c r="B285" t="s">
        <v>15051</v>
      </c>
      <c r="C285" t="s">
        <v>15030</v>
      </c>
      <c r="D285" t="s">
        <v>14963</v>
      </c>
      <c r="E285" t="s">
        <v>15051</v>
      </c>
      <c r="F285" t="s">
        <v>15052</v>
      </c>
      <c r="G285" t="s">
        <v>15032</v>
      </c>
    </row>
    <row r="286" spans="1:7" x14ac:dyDescent="0.25">
      <c r="A286" t="s">
        <v>38</v>
      </c>
      <c r="B286" t="s">
        <v>15051</v>
      </c>
      <c r="C286" t="s">
        <v>15036</v>
      </c>
      <c r="D286" t="s">
        <v>14963</v>
      </c>
      <c r="E286" t="s">
        <v>15051</v>
      </c>
      <c r="F286" t="s">
        <v>15055</v>
      </c>
      <c r="G286" t="s">
        <v>15038</v>
      </c>
    </row>
    <row r="287" spans="1:7" x14ac:dyDescent="0.25">
      <c r="A287" t="s">
        <v>38</v>
      </c>
      <c r="B287" t="s">
        <v>15067</v>
      </c>
      <c r="C287" t="s">
        <v>15068</v>
      </c>
      <c r="D287" t="s">
        <v>14963</v>
      </c>
      <c r="E287" t="s">
        <v>15067</v>
      </c>
      <c r="F287" t="s">
        <v>15069</v>
      </c>
      <c r="G287" t="s">
        <v>15070</v>
      </c>
    </row>
    <row r="288" spans="1:7" x14ac:dyDescent="0.25">
      <c r="A288" t="s">
        <v>38</v>
      </c>
      <c r="B288" t="s">
        <v>15073</v>
      </c>
      <c r="C288" t="s">
        <v>15074</v>
      </c>
      <c r="D288" t="s">
        <v>14963</v>
      </c>
      <c r="E288" t="s">
        <v>15073</v>
      </c>
      <c r="F288" t="s">
        <v>15075</v>
      </c>
      <c r="G288" t="s">
        <v>15076</v>
      </c>
    </row>
    <row r="289" spans="1:7" x14ac:dyDescent="0.25">
      <c r="A289" t="s">
        <v>38</v>
      </c>
      <c r="B289" t="s">
        <v>15087</v>
      </c>
      <c r="C289" t="s">
        <v>15088</v>
      </c>
      <c r="D289" t="s">
        <v>14963</v>
      </c>
      <c r="E289" t="s">
        <v>15087</v>
      </c>
      <c r="F289" t="s">
        <v>15089</v>
      </c>
      <c r="G289" t="s">
        <v>15090</v>
      </c>
    </row>
    <row r="290" spans="1:7" x14ac:dyDescent="0.25">
      <c r="A290" t="s">
        <v>22</v>
      </c>
      <c r="B290" t="s">
        <v>15093</v>
      </c>
      <c r="C290" t="s">
        <v>15036</v>
      </c>
      <c r="D290" t="s">
        <v>14963</v>
      </c>
      <c r="E290" t="s">
        <v>15093</v>
      </c>
      <c r="F290" t="s">
        <v>15094</v>
      </c>
      <c r="G290" t="s">
        <v>15038</v>
      </c>
    </row>
    <row r="291" spans="1:7" x14ac:dyDescent="0.25">
      <c r="A291" t="s">
        <v>22</v>
      </c>
      <c r="B291" t="s">
        <v>15097</v>
      </c>
      <c r="C291" t="s">
        <v>15098</v>
      </c>
      <c r="D291" t="s">
        <v>14963</v>
      </c>
      <c r="E291" t="s">
        <v>15097</v>
      </c>
      <c r="F291" t="s">
        <v>15099</v>
      </c>
      <c r="G291" t="s">
        <v>15100</v>
      </c>
    </row>
    <row r="292" spans="1:7" x14ac:dyDescent="0.25">
      <c r="A292" t="s">
        <v>38</v>
      </c>
      <c r="B292" t="s">
        <v>15083</v>
      </c>
      <c r="C292" t="s">
        <v>15103</v>
      </c>
      <c r="D292" t="s">
        <v>14963</v>
      </c>
      <c r="E292" t="s">
        <v>15083</v>
      </c>
      <c r="F292" t="s">
        <v>15104</v>
      </c>
      <c r="G292" t="s">
        <v>15105</v>
      </c>
    </row>
    <row r="293" spans="1:7" x14ac:dyDescent="0.25">
      <c r="A293" t="s">
        <v>38</v>
      </c>
      <c r="B293" t="s">
        <v>15108</v>
      </c>
      <c r="C293" t="s">
        <v>15109</v>
      </c>
      <c r="D293" t="s">
        <v>14963</v>
      </c>
      <c r="E293" t="s">
        <v>15108</v>
      </c>
      <c r="F293" t="s">
        <v>15110</v>
      </c>
      <c r="G293" t="s">
        <v>15064</v>
      </c>
    </row>
    <row r="294" spans="1:7" x14ac:dyDescent="0.25">
      <c r="A294" t="s">
        <v>38</v>
      </c>
      <c r="B294" t="s">
        <v>15134</v>
      </c>
      <c r="C294" t="s">
        <v>15036</v>
      </c>
      <c r="D294" t="s">
        <v>14963</v>
      </c>
      <c r="E294" t="s">
        <v>15134</v>
      </c>
      <c r="F294" t="s">
        <v>15135</v>
      </c>
      <c r="G294" t="s">
        <v>15038</v>
      </c>
    </row>
    <row r="295" spans="1:7" x14ac:dyDescent="0.25">
      <c r="A295" t="s">
        <v>22</v>
      </c>
      <c r="B295" t="s">
        <v>15164</v>
      </c>
      <c r="C295" t="s">
        <v>15165</v>
      </c>
      <c r="D295" t="s">
        <v>14963</v>
      </c>
      <c r="E295" t="s">
        <v>15164</v>
      </c>
      <c r="F295" t="s">
        <v>15166</v>
      </c>
      <c r="G295" t="s">
        <v>15167</v>
      </c>
    </row>
    <row r="296" spans="1:7" x14ac:dyDescent="0.25">
      <c r="A296" t="s">
        <v>38</v>
      </c>
      <c r="B296" t="s">
        <v>15174</v>
      </c>
      <c r="C296" t="s">
        <v>15036</v>
      </c>
      <c r="D296" t="s">
        <v>14963</v>
      </c>
      <c r="E296" t="s">
        <v>15174</v>
      </c>
      <c r="F296" t="s">
        <v>15175</v>
      </c>
      <c r="G296" t="s">
        <v>15038</v>
      </c>
    </row>
    <row r="297" spans="1:7" x14ac:dyDescent="0.25">
      <c r="A297" t="s">
        <v>38</v>
      </c>
      <c r="B297" t="s">
        <v>15213</v>
      </c>
      <c r="C297" t="s">
        <v>15214</v>
      </c>
      <c r="D297" t="s">
        <v>14963</v>
      </c>
      <c r="E297" t="s">
        <v>15213</v>
      </c>
      <c r="F297" t="s">
        <v>15215</v>
      </c>
      <c r="G297" t="s">
        <v>15216</v>
      </c>
    </row>
    <row r="298" spans="1:7" x14ac:dyDescent="0.25">
      <c r="A298" t="s">
        <v>22</v>
      </c>
      <c r="B298" t="s">
        <v>15152</v>
      </c>
      <c r="C298" t="s">
        <v>15224</v>
      </c>
      <c r="D298" t="s">
        <v>14963</v>
      </c>
      <c r="E298" t="s">
        <v>15152</v>
      </c>
      <c r="F298" t="s">
        <v>15225</v>
      </c>
      <c r="G298" t="s">
        <v>15226</v>
      </c>
    </row>
    <row r="299" spans="1:7" x14ac:dyDescent="0.25">
      <c r="A299" t="s">
        <v>22</v>
      </c>
      <c r="B299" t="s">
        <v>15237</v>
      </c>
      <c r="C299" t="s">
        <v>15030</v>
      </c>
      <c r="D299" t="s">
        <v>14963</v>
      </c>
      <c r="E299" t="s">
        <v>15237</v>
      </c>
      <c r="F299" t="s">
        <v>15238</v>
      </c>
      <c r="G299" t="s">
        <v>15032</v>
      </c>
    </row>
    <row r="300" spans="1:7" x14ac:dyDescent="0.25">
      <c r="A300" t="s">
        <v>22</v>
      </c>
      <c r="B300" t="s">
        <v>15256</v>
      </c>
      <c r="C300" t="s">
        <v>15257</v>
      </c>
      <c r="D300" t="s">
        <v>14963</v>
      </c>
      <c r="E300" t="s">
        <v>15256</v>
      </c>
      <c r="F300" t="s">
        <v>15258</v>
      </c>
      <c r="G300" t="s">
        <v>15259</v>
      </c>
    </row>
    <row r="301" spans="1:7" x14ac:dyDescent="0.25">
      <c r="A301" t="s">
        <v>22</v>
      </c>
      <c r="B301" t="s">
        <v>15262</v>
      </c>
      <c r="C301" t="s">
        <v>15263</v>
      </c>
      <c r="D301" t="s">
        <v>14963</v>
      </c>
      <c r="E301" t="s">
        <v>15262</v>
      </c>
      <c r="F301" t="s">
        <v>15264</v>
      </c>
      <c r="G301" t="s">
        <v>15265</v>
      </c>
    </row>
    <row r="302" spans="1:7" x14ac:dyDescent="0.25">
      <c r="A302" t="s">
        <v>38</v>
      </c>
      <c r="B302" t="s">
        <v>15305</v>
      </c>
      <c r="C302" t="s">
        <v>15306</v>
      </c>
      <c r="D302" t="s">
        <v>14963</v>
      </c>
      <c r="E302" t="s">
        <v>15305</v>
      </c>
      <c r="F302" t="s">
        <v>15307</v>
      </c>
      <c r="G302" t="s">
        <v>15308</v>
      </c>
    </row>
    <row r="303" spans="1:7" x14ac:dyDescent="0.25">
      <c r="A303" t="s">
        <v>22</v>
      </c>
      <c r="B303" t="s">
        <v>15152</v>
      </c>
      <c r="C303" t="s">
        <v>15316</v>
      </c>
      <c r="D303" t="s">
        <v>14963</v>
      </c>
      <c r="E303" t="s">
        <v>15152</v>
      </c>
      <c r="F303" t="s">
        <v>15317</v>
      </c>
      <c r="G303" t="s">
        <v>15318</v>
      </c>
    </row>
    <row r="304" spans="1:7" x14ac:dyDescent="0.25">
      <c r="A304" t="s">
        <v>38</v>
      </c>
      <c r="B304" t="s">
        <v>15301</v>
      </c>
      <c r="C304" t="s">
        <v>15321</v>
      </c>
      <c r="D304" t="s">
        <v>14963</v>
      </c>
      <c r="E304" t="s">
        <v>15301</v>
      </c>
      <c r="F304" t="s">
        <v>15322</v>
      </c>
      <c r="G304" t="s">
        <v>15323</v>
      </c>
    </row>
    <row r="305" spans="1:7" x14ac:dyDescent="0.25">
      <c r="A305" t="s">
        <v>38</v>
      </c>
      <c r="B305" t="s">
        <v>15347</v>
      </c>
      <c r="C305" t="s">
        <v>15348</v>
      </c>
      <c r="D305" t="s">
        <v>14963</v>
      </c>
      <c r="E305" t="s">
        <v>15347</v>
      </c>
      <c r="F305" t="s">
        <v>15349</v>
      </c>
      <c r="G305" t="s">
        <v>15350</v>
      </c>
    </row>
    <row r="306" spans="1:7" x14ac:dyDescent="0.25">
      <c r="A306" t="s">
        <v>22</v>
      </c>
      <c r="B306" t="s">
        <v>15363</v>
      </c>
      <c r="C306" t="s">
        <v>15214</v>
      </c>
      <c r="D306" t="s">
        <v>14963</v>
      </c>
      <c r="E306" t="s">
        <v>15363</v>
      </c>
      <c r="F306" t="s">
        <v>15364</v>
      </c>
      <c r="G306" t="s">
        <v>15216</v>
      </c>
    </row>
    <row r="307" spans="1:7" x14ac:dyDescent="0.25">
      <c r="A307" t="s">
        <v>22</v>
      </c>
      <c r="B307" t="s">
        <v>15371</v>
      </c>
      <c r="C307" t="s">
        <v>15316</v>
      </c>
      <c r="D307" t="s">
        <v>14963</v>
      </c>
      <c r="E307" t="s">
        <v>15371</v>
      </c>
      <c r="F307" t="s">
        <v>15372</v>
      </c>
      <c r="G307" t="s">
        <v>15318</v>
      </c>
    </row>
    <row r="308" spans="1:7" x14ac:dyDescent="0.25">
      <c r="A308" t="s">
        <v>38</v>
      </c>
      <c r="B308" t="s">
        <v>15388</v>
      </c>
      <c r="C308" t="s">
        <v>15389</v>
      </c>
      <c r="D308" t="s">
        <v>14963</v>
      </c>
      <c r="E308" t="s">
        <v>15390</v>
      </c>
      <c r="F308" t="s">
        <v>15390</v>
      </c>
      <c r="G308" t="s">
        <v>15391</v>
      </c>
    </row>
    <row r="309" spans="1:7" x14ac:dyDescent="0.25">
      <c r="A309" t="s">
        <v>22</v>
      </c>
      <c r="B309" t="s">
        <v>15394</v>
      </c>
      <c r="C309" t="s">
        <v>15251</v>
      </c>
      <c r="D309" t="s">
        <v>14963</v>
      </c>
      <c r="E309" t="s">
        <v>15394</v>
      </c>
      <c r="F309" t="s">
        <v>15395</v>
      </c>
      <c r="G309" t="s">
        <v>15253</v>
      </c>
    </row>
    <row r="310" spans="1:7" x14ac:dyDescent="0.25">
      <c r="A310" t="s">
        <v>22</v>
      </c>
      <c r="B310" t="s">
        <v>15404</v>
      </c>
      <c r="C310" t="s">
        <v>15405</v>
      </c>
      <c r="D310" t="s">
        <v>14963</v>
      </c>
      <c r="E310" t="s">
        <v>15404</v>
      </c>
      <c r="F310" t="s">
        <v>15406</v>
      </c>
      <c r="G310" t="s">
        <v>15407</v>
      </c>
    </row>
    <row r="311" spans="1:7" x14ac:dyDescent="0.25">
      <c r="A311" t="s">
        <v>22</v>
      </c>
      <c r="B311" t="s">
        <v>15418</v>
      </c>
      <c r="C311" t="s">
        <v>15354</v>
      </c>
      <c r="D311" t="s">
        <v>14963</v>
      </c>
      <c r="E311" t="s">
        <v>15418</v>
      </c>
      <c r="F311" t="s">
        <v>15419</v>
      </c>
      <c r="G311" t="s">
        <v>15356</v>
      </c>
    </row>
    <row r="312" spans="1:7" x14ac:dyDescent="0.25">
      <c r="A312" t="s">
        <v>38</v>
      </c>
      <c r="B312" t="s">
        <v>15428</v>
      </c>
      <c r="C312" t="s">
        <v>15348</v>
      </c>
      <c r="D312" t="s">
        <v>14963</v>
      </c>
      <c r="E312" t="s">
        <v>15428</v>
      </c>
      <c r="F312" t="s">
        <v>15429</v>
      </c>
      <c r="G312" t="s">
        <v>15350</v>
      </c>
    </row>
    <row r="313" spans="1:7" x14ac:dyDescent="0.25">
      <c r="A313" t="s">
        <v>22</v>
      </c>
      <c r="B313" t="s">
        <v>15432</v>
      </c>
      <c r="C313" t="s">
        <v>14970</v>
      </c>
      <c r="D313" t="s">
        <v>14963</v>
      </c>
      <c r="E313" t="s">
        <v>15432</v>
      </c>
      <c r="F313" t="s">
        <v>15433</v>
      </c>
      <c r="G313" t="s">
        <v>14966</v>
      </c>
    </row>
    <row r="314" spans="1:7" x14ac:dyDescent="0.25">
      <c r="A314" t="s">
        <v>22</v>
      </c>
      <c r="B314" t="s">
        <v>15440</v>
      </c>
      <c r="C314" t="s">
        <v>15024</v>
      </c>
      <c r="D314" t="s">
        <v>14963</v>
      </c>
      <c r="E314" t="s">
        <v>15440</v>
      </c>
      <c r="F314" t="s">
        <v>15441</v>
      </c>
      <c r="G314" t="s">
        <v>15026</v>
      </c>
    </row>
    <row r="315" spans="1:7" x14ac:dyDescent="0.25">
      <c r="A315" t="s">
        <v>38</v>
      </c>
      <c r="B315" t="s">
        <v>15444</v>
      </c>
      <c r="C315" t="s">
        <v>15109</v>
      </c>
      <c r="D315" t="s">
        <v>14963</v>
      </c>
      <c r="E315" t="s">
        <v>15444</v>
      </c>
      <c r="F315" t="s">
        <v>15445</v>
      </c>
      <c r="G315" t="s">
        <v>15064</v>
      </c>
    </row>
    <row r="316" spans="1:7" x14ac:dyDescent="0.25">
      <c r="A316" t="s">
        <v>38</v>
      </c>
      <c r="B316" t="s">
        <v>15463</v>
      </c>
      <c r="C316" t="s">
        <v>15165</v>
      </c>
      <c r="D316" t="s">
        <v>14963</v>
      </c>
      <c r="E316" t="s">
        <v>15463</v>
      </c>
      <c r="F316" t="s">
        <v>15464</v>
      </c>
      <c r="G316" t="s">
        <v>15167</v>
      </c>
    </row>
    <row r="317" spans="1:7" x14ac:dyDescent="0.25">
      <c r="A317" t="s">
        <v>38</v>
      </c>
      <c r="B317" t="s">
        <v>15471</v>
      </c>
      <c r="C317" t="s">
        <v>15472</v>
      </c>
      <c r="D317" t="s">
        <v>14963</v>
      </c>
      <c r="E317" t="s">
        <v>15471</v>
      </c>
      <c r="F317" t="s">
        <v>15473</v>
      </c>
      <c r="G317" t="s">
        <v>15474</v>
      </c>
    </row>
    <row r="318" spans="1:7" x14ac:dyDescent="0.25">
      <c r="A318" t="s">
        <v>22</v>
      </c>
      <c r="B318" t="s">
        <v>15477</v>
      </c>
      <c r="C318" t="s">
        <v>15478</v>
      </c>
      <c r="D318" t="s">
        <v>14963</v>
      </c>
      <c r="E318" t="s">
        <v>15477</v>
      </c>
      <c r="F318" t="s">
        <v>15479</v>
      </c>
      <c r="G318" t="s">
        <v>15480</v>
      </c>
    </row>
    <row r="319" spans="1:7" x14ac:dyDescent="0.25">
      <c r="A319" t="s">
        <v>38</v>
      </c>
      <c r="B319" t="s">
        <v>15501</v>
      </c>
      <c r="C319" t="s">
        <v>15502</v>
      </c>
      <c r="D319" t="s">
        <v>14963</v>
      </c>
      <c r="E319" t="s">
        <v>15501</v>
      </c>
      <c r="F319" t="s">
        <v>15503</v>
      </c>
      <c r="G319" t="s">
        <v>15504</v>
      </c>
    </row>
    <row r="320" spans="1:7" x14ac:dyDescent="0.25">
      <c r="A320" t="s">
        <v>38</v>
      </c>
      <c r="B320" t="s">
        <v>15512</v>
      </c>
      <c r="C320" t="s">
        <v>15513</v>
      </c>
      <c r="D320" t="s">
        <v>14963</v>
      </c>
      <c r="E320" t="s">
        <v>15512</v>
      </c>
      <c r="F320" t="s">
        <v>15514</v>
      </c>
      <c r="G320" t="s">
        <v>15032</v>
      </c>
    </row>
    <row r="321" spans="1:7" x14ac:dyDescent="0.25">
      <c r="A321" t="s">
        <v>22</v>
      </c>
      <c r="B321" t="s">
        <v>15517</v>
      </c>
      <c r="C321" t="s">
        <v>15518</v>
      </c>
      <c r="D321" t="s">
        <v>14963</v>
      </c>
      <c r="E321" t="s">
        <v>15517</v>
      </c>
      <c r="F321" t="s">
        <v>15519</v>
      </c>
      <c r="G321" t="s">
        <v>15520</v>
      </c>
    </row>
    <row r="322" spans="1:7" x14ac:dyDescent="0.25">
      <c r="A322" t="s">
        <v>38</v>
      </c>
      <c r="B322" t="s">
        <v>15527</v>
      </c>
      <c r="C322" t="s">
        <v>15528</v>
      </c>
      <c r="D322" t="s">
        <v>14963</v>
      </c>
      <c r="E322" t="s">
        <v>15527</v>
      </c>
      <c r="F322" t="s">
        <v>15529</v>
      </c>
      <c r="G322" t="s">
        <v>15530</v>
      </c>
    </row>
    <row r="323" spans="1:7" x14ac:dyDescent="0.25">
      <c r="A323" t="s">
        <v>38</v>
      </c>
      <c r="B323" t="s">
        <v>15537</v>
      </c>
      <c r="C323" t="s">
        <v>15538</v>
      </c>
      <c r="D323" t="s">
        <v>14963</v>
      </c>
      <c r="E323" t="s">
        <v>15537</v>
      </c>
      <c r="F323" t="s">
        <v>15539</v>
      </c>
      <c r="G323" t="s">
        <v>14966</v>
      </c>
    </row>
    <row r="324" spans="1:7" x14ac:dyDescent="0.25">
      <c r="A324" t="s">
        <v>38</v>
      </c>
      <c r="B324" t="s">
        <v>15542</v>
      </c>
      <c r="C324" t="s">
        <v>15336</v>
      </c>
      <c r="D324" t="s">
        <v>14963</v>
      </c>
      <c r="E324" t="s">
        <v>15542</v>
      </c>
      <c r="F324" t="s">
        <v>15543</v>
      </c>
      <c r="G324" t="s">
        <v>15338</v>
      </c>
    </row>
    <row r="325" spans="1:7" x14ac:dyDescent="0.25">
      <c r="A325" t="s">
        <v>38</v>
      </c>
      <c r="B325" t="s">
        <v>15546</v>
      </c>
      <c r="C325" t="s">
        <v>15014</v>
      </c>
      <c r="D325" t="s">
        <v>14963</v>
      </c>
      <c r="E325" t="s">
        <v>15546</v>
      </c>
      <c r="F325" t="s">
        <v>15547</v>
      </c>
      <c r="G325" t="s">
        <v>15548</v>
      </c>
    </row>
    <row r="326" spans="1:7" x14ac:dyDescent="0.25">
      <c r="A326" t="s">
        <v>22</v>
      </c>
      <c r="B326" t="s">
        <v>15557</v>
      </c>
      <c r="C326" t="s">
        <v>15552</v>
      </c>
      <c r="D326" t="s">
        <v>14963</v>
      </c>
      <c r="E326" t="s">
        <v>15557</v>
      </c>
      <c r="F326" t="s">
        <v>15558</v>
      </c>
      <c r="G326" t="s">
        <v>15559</v>
      </c>
    </row>
    <row r="327" spans="1:7" x14ac:dyDescent="0.25">
      <c r="A327" t="s">
        <v>38</v>
      </c>
      <c r="B327" t="s">
        <v>15582</v>
      </c>
      <c r="C327" t="s">
        <v>15583</v>
      </c>
      <c r="D327" t="s">
        <v>14963</v>
      </c>
      <c r="E327" t="s">
        <v>15582</v>
      </c>
      <c r="F327" t="s">
        <v>15584</v>
      </c>
      <c r="G327" t="s">
        <v>15585</v>
      </c>
    </row>
    <row r="328" spans="1:7" x14ac:dyDescent="0.25">
      <c r="A328" t="s">
        <v>38</v>
      </c>
      <c r="B328" t="s">
        <v>15588</v>
      </c>
      <c r="C328" t="s">
        <v>15589</v>
      </c>
      <c r="D328" t="s">
        <v>14963</v>
      </c>
      <c r="E328" t="s">
        <v>15588</v>
      </c>
      <c r="F328" t="s">
        <v>15590</v>
      </c>
      <c r="G328" t="s">
        <v>15591</v>
      </c>
    </row>
    <row r="329" spans="1:7" x14ac:dyDescent="0.25">
      <c r="A329" t="s">
        <v>38</v>
      </c>
      <c r="B329" t="s">
        <v>15594</v>
      </c>
      <c r="C329" t="s">
        <v>15595</v>
      </c>
      <c r="D329" t="s">
        <v>14963</v>
      </c>
      <c r="E329" t="s">
        <v>15594</v>
      </c>
      <c r="F329" t="s">
        <v>15596</v>
      </c>
      <c r="G329" t="s">
        <v>15597</v>
      </c>
    </row>
    <row r="330" spans="1:7" x14ac:dyDescent="0.25">
      <c r="A330" t="s">
        <v>38</v>
      </c>
      <c r="B330" t="s">
        <v>15117</v>
      </c>
      <c r="C330" t="s">
        <v>15600</v>
      </c>
      <c r="D330" t="s">
        <v>14963</v>
      </c>
      <c r="E330" t="s">
        <v>15117</v>
      </c>
      <c r="F330" t="s">
        <v>15601</v>
      </c>
      <c r="G330" t="s">
        <v>15602</v>
      </c>
    </row>
    <row r="331" spans="1:7" x14ac:dyDescent="0.25">
      <c r="A331" t="s">
        <v>38</v>
      </c>
      <c r="B331" t="s">
        <v>15117</v>
      </c>
      <c r="C331" t="s">
        <v>15609</v>
      </c>
      <c r="D331" t="s">
        <v>14963</v>
      </c>
      <c r="E331" t="s">
        <v>15117</v>
      </c>
      <c r="F331" t="s">
        <v>15610</v>
      </c>
      <c r="G331" t="s">
        <v>15611</v>
      </c>
    </row>
    <row r="332" spans="1:7" x14ac:dyDescent="0.25">
      <c r="A332" t="s">
        <v>38</v>
      </c>
      <c r="B332" t="s">
        <v>15618</v>
      </c>
      <c r="C332" t="s">
        <v>15619</v>
      </c>
      <c r="D332" t="s">
        <v>14963</v>
      </c>
      <c r="E332" t="s">
        <v>15620</v>
      </c>
      <c r="F332" t="s">
        <v>15621</v>
      </c>
      <c r="G332" t="s">
        <v>15622</v>
      </c>
    </row>
    <row r="333" spans="1:7" x14ac:dyDescent="0.25">
      <c r="A333" t="s">
        <v>22</v>
      </c>
      <c r="B333" t="s">
        <v>15625</v>
      </c>
      <c r="C333" t="s">
        <v>15493</v>
      </c>
      <c r="D333" t="s">
        <v>14963</v>
      </c>
      <c r="E333" t="s">
        <v>15625</v>
      </c>
      <c r="F333" t="s">
        <v>15626</v>
      </c>
      <c r="G333" t="s">
        <v>15627</v>
      </c>
    </row>
    <row r="334" spans="1:7" x14ac:dyDescent="0.25">
      <c r="A334" t="s">
        <v>38</v>
      </c>
      <c r="B334" t="s">
        <v>15634</v>
      </c>
      <c r="C334" t="s">
        <v>15088</v>
      </c>
      <c r="D334" t="s">
        <v>14963</v>
      </c>
      <c r="E334" t="s">
        <v>15634</v>
      </c>
      <c r="F334" t="s">
        <v>15635</v>
      </c>
      <c r="G334" t="s">
        <v>15636</v>
      </c>
    </row>
    <row r="335" spans="1:7" x14ac:dyDescent="0.25">
      <c r="A335" t="s">
        <v>22</v>
      </c>
      <c r="B335" t="s">
        <v>15639</v>
      </c>
      <c r="C335" t="s">
        <v>15640</v>
      </c>
      <c r="D335" t="s">
        <v>14963</v>
      </c>
      <c r="E335" t="s">
        <v>15639</v>
      </c>
      <c r="F335" t="s">
        <v>15641</v>
      </c>
      <c r="G335" t="s">
        <v>15642</v>
      </c>
    </row>
    <row r="336" spans="1:7" x14ac:dyDescent="0.25">
      <c r="A336" t="s">
        <v>38</v>
      </c>
      <c r="B336" t="s">
        <v>15645</v>
      </c>
      <c r="C336" t="s">
        <v>15036</v>
      </c>
      <c r="D336" t="s">
        <v>14963</v>
      </c>
      <c r="E336" t="s">
        <v>15645</v>
      </c>
      <c r="F336" t="s">
        <v>15646</v>
      </c>
      <c r="G336" t="s">
        <v>15647</v>
      </c>
    </row>
    <row r="337" spans="1:7" x14ac:dyDescent="0.25">
      <c r="A337" t="s">
        <v>22</v>
      </c>
      <c r="B337" t="s">
        <v>17040</v>
      </c>
      <c r="C337" t="s">
        <v>16815</v>
      </c>
      <c r="D337" t="s">
        <v>16816</v>
      </c>
      <c r="E337" t="s">
        <v>17041</v>
      </c>
      <c r="F337" t="s">
        <v>17042</v>
      </c>
      <c r="G337" t="s">
        <v>16819</v>
      </c>
    </row>
    <row r="338" spans="1:7" x14ac:dyDescent="0.25">
      <c r="A338" t="s">
        <v>22</v>
      </c>
      <c r="B338" t="s">
        <v>17110</v>
      </c>
      <c r="C338" t="s">
        <v>17111</v>
      </c>
      <c r="D338" t="s">
        <v>17112</v>
      </c>
      <c r="E338" t="s">
        <v>17110</v>
      </c>
      <c r="F338" t="s">
        <v>17114</v>
      </c>
      <c r="G338" t="s">
        <v>17115</v>
      </c>
    </row>
    <row r="339" spans="1:7" x14ac:dyDescent="0.25">
      <c r="A339" t="s">
        <v>22</v>
      </c>
      <c r="B339" t="s">
        <v>17118</v>
      </c>
      <c r="C339" t="s">
        <v>17111</v>
      </c>
      <c r="D339" t="s">
        <v>17112</v>
      </c>
      <c r="E339" t="s">
        <v>17118</v>
      </c>
      <c r="F339" t="s">
        <v>17119</v>
      </c>
      <c r="G339" t="s">
        <v>17115</v>
      </c>
    </row>
    <row r="340" spans="1:7" x14ac:dyDescent="0.25">
      <c r="A340" t="s">
        <v>22</v>
      </c>
      <c r="B340" t="s">
        <v>17122</v>
      </c>
      <c r="C340" t="s">
        <v>17111</v>
      </c>
      <c r="D340" t="s">
        <v>17112</v>
      </c>
      <c r="E340" t="s">
        <v>17122</v>
      </c>
      <c r="F340" t="s">
        <v>17123</v>
      </c>
      <c r="G340" t="s">
        <v>17115</v>
      </c>
    </row>
    <row r="341" spans="1:7" x14ac:dyDescent="0.25">
      <c r="A341" t="s">
        <v>22</v>
      </c>
      <c r="B341" t="s">
        <v>17126</v>
      </c>
      <c r="C341" t="s">
        <v>17111</v>
      </c>
      <c r="D341" t="s">
        <v>17112</v>
      </c>
      <c r="E341" t="s">
        <v>17126</v>
      </c>
      <c r="F341" t="s">
        <v>17127</v>
      </c>
      <c r="G341" t="s">
        <v>17115</v>
      </c>
    </row>
    <row r="342" spans="1:7" x14ac:dyDescent="0.25">
      <c r="A342" t="s">
        <v>22</v>
      </c>
      <c r="B342" t="s">
        <v>17156</v>
      </c>
      <c r="C342" t="s">
        <v>17157</v>
      </c>
      <c r="D342" t="s">
        <v>14473</v>
      </c>
      <c r="E342" t="s">
        <v>17156</v>
      </c>
      <c r="F342" t="s">
        <v>17158</v>
      </c>
      <c r="G342" t="s">
        <v>17159</v>
      </c>
    </row>
    <row r="343" spans="1:7" x14ac:dyDescent="0.25">
      <c r="A343" t="s">
        <v>22</v>
      </c>
      <c r="B343" t="s">
        <v>17162</v>
      </c>
      <c r="C343" t="s">
        <v>17163</v>
      </c>
      <c r="D343" t="s">
        <v>14473</v>
      </c>
      <c r="E343" t="s">
        <v>17162</v>
      </c>
      <c r="F343" t="s">
        <v>17164</v>
      </c>
      <c r="G343" t="s">
        <v>17165</v>
      </c>
    </row>
    <row r="344" spans="1:7" x14ac:dyDescent="0.25">
      <c r="A344" t="s">
        <v>22</v>
      </c>
      <c r="B344" t="s">
        <v>17168</v>
      </c>
      <c r="C344" t="s">
        <v>17169</v>
      </c>
      <c r="D344" t="s">
        <v>14473</v>
      </c>
      <c r="E344" t="s">
        <v>17168</v>
      </c>
      <c r="F344" t="s">
        <v>17170</v>
      </c>
      <c r="G344" t="s">
        <v>17165</v>
      </c>
    </row>
    <row r="345" spans="1:7" x14ac:dyDescent="0.25">
      <c r="A345" t="s">
        <v>22</v>
      </c>
      <c r="B345" t="s">
        <v>17173</v>
      </c>
      <c r="C345" t="s">
        <v>17174</v>
      </c>
      <c r="D345" t="s">
        <v>14473</v>
      </c>
      <c r="E345" t="s">
        <v>17173</v>
      </c>
      <c r="F345" t="s">
        <v>17175</v>
      </c>
      <c r="G345" t="s">
        <v>17165</v>
      </c>
    </row>
    <row r="346" spans="1:7" x14ac:dyDescent="0.25">
      <c r="A346" t="s">
        <v>22</v>
      </c>
      <c r="B346" t="s">
        <v>17178</v>
      </c>
      <c r="C346" t="s">
        <v>17179</v>
      </c>
      <c r="D346" t="s">
        <v>14473</v>
      </c>
      <c r="E346" t="s">
        <v>17178</v>
      </c>
      <c r="F346" t="s">
        <v>17180</v>
      </c>
      <c r="G346" t="s">
        <v>17181</v>
      </c>
    </row>
    <row r="347" spans="1:7" x14ac:dyDescent="0.25">
      <c r="A347" t="s">
        <v>22</v>
      </c>
      <c r="B347" t="s">
        <v>17184</v>
      </c>
      <c r="C347" t="s">
        <v>17185</v>
      </c>
      <c r="D347" t="s">
        <v>14473</v>
      </c>
      <c r="E347" t="s">
        <v>17184</v>
      </c>
      <c r="F347" t="s">
        <v>17186</v>
      </c>
      <c r="G347" t="s">
        <v>17165</v>
      </c>
    </row>
    <row r="348" spans="1:7" x14ac:dyDescent="0.25">
      <c r="A348" t="s">
        <v>22</v>
      </c>
      <c r="B348" t="s">
        <v>17189</v>
      </c>
      <c r="C348" t="s">
        <v>17190</v>
      </c>
      <c r="D348" t="s">
        <v>14473</v>
      </c>
      <c r="E348" t="s">
        <v>17189</v>
      </c>
      <c r="F348" t="s">
        <v>17191</v>
      </c>
      <c r="G348" t="s">
        <v>17165</v>
      </c>
    </row>
    <row r="349" spans="1:7" x14ac:dyDescent="0.25">
      <c r="A349" t="s">
        <v>38</v>
      </c>
      <c r="B349" t="s">
        <v>17194</v>
      </c>
      <c r="C349" t="s">
        <v>17195</v>
      </c>
      <c r="D349" t="s">
        <v>14473</v>
      </c>
      <c r="E349" t="s">
        <v>17194</v>
      </c>
      <c r="F349" t="s">
        <v>17196</v>
      </c>
      <c r="G349" t="s">
        <v>17165</v>
      </c>
    </row>
    <row r="350" spans="1:7" x14ac:dyDescent="0.25">
      <c r="A350" t="s">
        <v>22</v>
      </c>
      <c r="B350" t="s">
        <v>17199</v>
      </c>
      <c r="C350" t="s">
        <v>17200</v>
      </c>
      <c r="D350" t="s">
        <v>14473</v>
      </c>
      <c r="E350" t="s">
        <v>17199</v>
      </c>
      <c r="F350" t="s">
        <v>17201</v>
      </c>
      <c r="G350" t="s">
        <v>17202</v>
      </c>
    </row>
    <row r="351" spans="1:7" x14ac:dyDescent="0.25">
      <c r="A351" t="s">
        <v>38</v>
      </c>
      <c r="B351" t="s">
        <v>17205</v>
      </c>
      <c r="C351" t="s">
        <v>17206</v>
      </c>
      <c r="D351" t="s">
        <v>14473</v>
      </c>
      <c r="E351" t="s">
        <v>17205</v>
      </c>
      <c r="F351" t="s">
        <v>17208</v>
      </c>
      <c r="G351" t="s">
        <v>17165</v>
      </c>
    </row>
    <row r="352" spans="1:7" x14ac:dyDescent="0.25">
      <c r="A352" t="s">
        <v>22</v>
      </c>
      <c r="B352" t="s">
        <v>17211</v>
      </c>
      <c r="C352" t="s">
        <v>17212</v>
      </c>
      <c r="D352" t="s">
        <v>14473</v>
      </c>
      <c r="E352" t="s">
        <v>17211</v>
      </c>
      <c r="F352" t="s">
        <v>17213</v>
      </c>
      <c r="G352" t="s">
        <v>17165</v>
      </c>
    </row>
    <row r="353" spans="1:7" x14ac:dyDescent="0.25">
      <c r="A353" t="s">
        <v>38</v>
      </c>
      <c r="B353" t="s">
        <v>17216</v>
      </c>
      <c r="C353" t="s">
        <v>17217</v>
      </c>
      <c r="D353" t="s">
        <v>14473</v>
      </c>
      <c r="E353" t="s">
        <v>17216</v>
      </c>
      <c r="F353" t="s">
        <v>17218</v>
      </c>
      <c r="G353" t="s">
        <v>17159</v>
      </c>
    </row>
    <row r="354" spans="1:7" x14ac:dyDescent="0.25">
      <c r="A354" t="s">
        <v>22</v>
      </c>
      <c r="B354" t="s">
        <v>17221</v>
      </c>
      <c r="C354" t="s">
        <v>17222</v>
      </c>
      <c r="D354" t="s">
        <v>14473</v>
      </c>
      <c r="E354" t="s">
        <v>17221</v>
      </c>
      <c r="F354" t="s">
        <v>17223</v>
      </c>
      <c r="G354" t="s">
        <v>17159</v>
      </c>
    </row>
    <row r="355" spans="1:7" x14ac:dyDescent="0.25">
      <c r="A355" t="s">
        <v>22</v>
      </c>
      <c r="B355" t="s">
        <v>17226</v>
      </c>
      <c r="C355" t="s">
        <v>17227</v>
      </c>
      <c r="D355" t="s">
        <v>14473</v>
      </c>
      <c r="E355" t="s">
        <v>17226</v>
      </c>
      <c r="F355" t="s">
        <v>17228</v>
      </c>
      <c r="G355" t="s">
        <v>17181</v>
      </c>
    </row>
    <row r="356" spans="1:7" x14ac:dyDescent="0.25">
      <c r="A356" t="s">
        <v>22</v>
      </c>
      <c r="B356" t="s">
        <v>17231</v>
      </c>
      <c r="C356" t="s">
        <v>17232</v>
      </c>
      <c r="D356" t="s">
        <v>14473</v>
      </c>
      <c r="E356" t="s">
        <v>17231</v>
      </c>
      <c r="F356" t="s">
        <v>17233</v>
      </c>
      <c r="G356" t="s">
        <v>17165</v>
      </c>
    </row>
    <row r="357" spans="1:7" x14ac:dyDescent="0.25">
      <c r="A357" t="s">
        <v>22</v>
      </c>
      <c r="B357" t="s">
        <v>17236</v>
      </c>
      <c r="C357" t="s">
        <v>17237</v>
      </c>
      <c r="D357" t="s">
        <v>14473</v>
      </c>
      <c r="E357" t="s">
        <v>17236</v>
      </c>
      <c r="F357" t="s">
        <v>17238</v>
      </c>
      <c r="G357" t="s">
        <v>17165</v>
      </c>
    </row>
    <row r="358" spans="1:7" x14ac:dyDescent="0.25">
      <c r="A358" t="s">
        <v>22</v>
      </c>
      <c r="B358" t="s">
        <v>17241</v>
      </c>
      <c r="C358" t="s">
        <v>17242</v>
      </c>
      <c r="D358" t="s">
        <v>14473</v>
      </c>
      <c r="E358" t="s">
        <v>17241</v>
      </c>
      <c r="F358" t="s">
        <v>17243</v>
      </c>
      <c r="G358" t="s">
        <v>17159</v>
      </c>
    </row>
    <row r="359" spans="1:7" x14ac:dyDescent="0.25">
      <c r="A359" t="s">
        <v>22</v>
      </c>
      <c r="B359" t="s">
        <v>17246</v>
      </c>
      <c r="C359" t="s">
        <v>17247</v>
      </c>
      <c r="D359" t="s">
        <v>14473</v>
      </c>
      <c r="E359" t="s">
        <v>17246</v>
      </c>
      <c r="F359" t="s">
        <v>17248</v>
      </c>
      <c r="G359" t="s">
        <v>17181</v>
      </c>
    </row>
    <row r="360" spans="1:7" x14ac:dyDescent="0.25">
      <c r="A360" t="s">
        <v>32</v>
      </c>
      <c r="B360" t="s">
        <v>17251</v>
      </c>
      <c r="C360" t="s">
        <v>17252</v>
      </c>
      <c r="D360" t="s">
        <v>14473</v>
      </c>
      <c r="E360" t="s">
        <v>17251</v>
      </c>
      <c r="F360" t="s">
        <v>17253</v>
      </c>
      <c r="G360" t="s">
        <v>17165</v>
      </c>
    </row>
    <row r="361" spans="1:7" x14ac:dyDescent="0.25">
      <c r="A361" t="s">
        <v>38</v>
      </c>
      <c r="B361" t="s">
        <v>17256</v>
      </c>
      <c r="C361" t="s">
        <v>17257</v>
      </c>
      <c r="D361" t="s">
        <v>14473</v>
      </c>
      <c r="E361" t="s">
        <v>17256</v>
      </c>
      <c r="F361" t="s">
        <v>17258</v>
      </c>
      <c r="G361" t="s">
        <v>17259</v>
      </c>
    </row>
    <row r="362" spans="1:7" x14ac:dyDescent="0.25">
      <c r="A362" t="s">
        <v>22</v>
      </c>
      <c r="B362" t="s">
        <v>17262</v>
      </c>
      <c r="C362" t="s">
        <v>17263</v>
      </c>
      <c r="D362" t="s">
        <v>14473</v>
      </c>
      <c r="E362" t="s">
        <v>17262</v>
      </c>
      <c r="F362" t="s">
        <v>17264</v>
      </c>
      <c r="G362" t="s">
        <v>17159</v>
      </c>
    </row>
    <row r="363" spans="1:7" x14ac:dyDescent="0.25">
      <c r="A363" t="s">
        <v>22</v>
      </c>
      <c r="B363" t="s">
        <v>17267</v>
      </c>
      <c r="C363" t="s">
        <v>17268</v>
      </c>
      <c r="D363" t="s">
        <v>14473</v>
      </c>
      <c r="E363" t="s">
        <v>17267</v>
      </c>
      <c r="F363" t="s">
        <v>17269</v>
      </c>
      <c r="G363" t="s">
        <v>17270</v>
      </c>
    </row>
    <row r="364" spans="1:7" x14ac:dyDescent="0.25">
      <c r="A364" t="s">
        <v>22</v>
      </c>
      <c r="B364" t="s">
        <v>17273</v>
      </c>
      <c r="C364" t="s">
        <v>17274</v>
      </c>
      <c r="D364" t="s">
        <v>14473</v>
      </c>
      <c r="E364" t="s">
        <v>17273</v>
      </c>
      <c r="F364" t="s">
        <v>17275</v>
      </c>
      <c r="G364" t="s">
        <v>17165</v>
      </c>
    </row>
    <row r="365" spans="1:7" x14ac:dyDescent="0.25">
      <c r="A365" t="s">
        <v>32</v>
      </c>
      <c r="B365" t="s">
        <v>17278</v>
      </c>
      <c r="C365" t="s">
        <v>17279</v>
      </c>
      <c r="D365" t="s">
        <v>14473</v>
      </c>
      <c r="E365" t="s">
        <v>17278</v>
      </c>
      <c r="F365" t="s">
        <v>17280</v>
      </c>
      <c r="G365" t="s">
        <v>17270</v>
      </c>
    </row>
    <row r="366" spans="1:7" x14ac:dyDescent="0.25">
      <c r="A366" t="s">
        <v>22</v>
      </c>
      <c r="B366" t="s">
        <v>17283</v>
      </c>
      <c r="C366" t="s">
        <v>17284</v>
      </c>
      <c r="D366" t="s">
        <v>14473</v>
      </c>
      <c r="E366" t="s">
        <v>17283</v>
      </c>
      <c r="F366" t="s">
        <v>17285</v>
      </c>
      <c r="G366" t="s">
        <v>17286</v>
      </c>
    </row>
    <row r="367" spans="1:7" x14ac:dyDescent="0.25">
      <c r="A367" t="s">
        <v>32</v>
      </c>
      <c r="B367" t="s">
        <v>17289</v>
      </c>
      <c r="C367" t="s">
        <v>17290</v>
      </c>
      <c r="D367" t="s">
        <v>14473</v>
      </c>
      <c r="E367" t="s">
        <v>17289</v>
      </c>
      <c r="F367" t="s">
        <v>17291</v>
      </c>
      <c r="G367" t="s">
        <v>17292</v>
      </c>
    </row>
    <row r="368" spans="1:7" x14ac:dyDescent="0.25">
      <c r="A368" t="s">
        <v>38</v>
      </c>
      <c r="B368" t="s">
        <v>17295</v>
      </c>
      <c r="C368" t="s">
        <v>17296</v>
      </c>
      <c r="D368" t="s">
        <v>14473</v>
      </c>
      <c r="E368" t="s">
        <v>17295</v>
      </c>
      <c r="F368" t="s">
        <v>17297</v>
      </c>
      <c r="G368" t="s">
        <v>17202</v>
      </c>
    </row>
    <row r="369" spans="1:7" x14ac:dyDescent="0.25">
      <c r="A369" t="s">
        <v>38</v>
      </c>
      <c r="B369" t="s">
        <v>17300</v>
      </c>
      <c r="C369" t="s">
        <v>17301</v>
      </c>
      <c r="D369" t="s">
        <v>14473</v>
      </c>
      <c r="E369" t="s">
        <v>17300</v>
      </c>
      <c r="F369" t="s">
        <v>17302</v>
      </c>
      <c r="G369" t="s">
        <v>17202</v>
      </c>
    </row>
    <row r="370" spans="1:7" x14ac:dyDescent="0.25">
      <c r="A370" t="s">
        <v>22</v>
      </c>
      <c r="B370" t="s">
        <v>17305</v>
      </c>
      <c r="C370" t="s">
        <v>17306</v>
      </c>
      <c r="D370" t="s">
        <v>14473</v>
      </c>
      <c r="E370" t="s">
        <v>17305</v>
      </c>
      <c r="F370" t="s">
        <v>17307</v>
      </c>
      <c r="G370" t="s">
        <v>17165</v>
      </c>
    </row>
    <row r="371" spans="1:7" x14ac:dyDescent="0.25">
      <c r="A371" t="s">
        <v>32</v>
      </c>
      <c r="B371" t="s">
        <v>17310</v>
      </c>
      <c r="C371" t="s">
        <v>17311</v>
      </c>
      <c r="D371" t="s">
        <v>14473</v>
      </c>
      <c r="E371" t="s">
        <v>17310</v>
      </c>
      <c r="F371" t="s">
        <v>17312</v>
      </c>
      <c r="G371" t="s">
        <v>17313</v>
      </c>
    </row>
    <row r="372" spans="1:7" x14ac:dyDescent="0.25">
      <c r="A372" t="s">
        <v>22</v>
      </c>
      <c r="B372" t="s">
        <v>17316</v>
      </c>
      <c r="C372" t="s">
        <v>17317</v>
      </c>
      <c r="D372" t="s">
        <v>14473</v>
      </c>
      <c r="E372" t="s">
        <v>17316</v>
      </c>
      <c r="F372" t="s">
        <v>17318</v>
      </c>
      <c r="G372" t="s">
        <v>17313</v>
      </c>
    </row>
    <row r="373" spans="1:7" x14ac:dyDescent="0.25">
      <c r="A373" t="s">
        <v>22</v>
      </c>
      <c r="B373" t="s">
        <v>17321</v>
      </c>
      <c r="C373" t="s">
        <v>17274</v>
      </c>
      <c r="D373" t="s">
        <v>14473</v>
      </c>
      <c r="E373" t="s">
        <v>17321</v>
      </c>
      <c r="F373" t="s">
        <v>17322</v>
      </c>
      <c r="G373" t="s">
        <v>17165</v>
      </c>
    </row>
    <row r="374" spans="1:7" x14ac:dyDescent="0.25">
      <c r="A374" t="s">
        <v>38</v>
      </c>
      <c r="B374" t="s">
        <v>17325</v>
      </c>
      <c r="C374" t="s">
        <v>17279</v>
      </c>
      <c r="D374" t="s">
        <v>14473</v>
      </c>
      <c r="E374" t="s">
        <v>17325</v>
      </c>
      <c r="F374" t="s">
        <v>17326</v>
      </c>
      <c r="G374" t="s">
        <v>17270</v>
      </c>
    </row>
    <row r="375" spans="1:7" x14ac:dyDescent="0.25">
      <c r="A375" t="s">
        <v>22</v>
      </c>
      <c r="B375" t="s">
        <v>17329</v>
      </c>
      <c r="C375" t="s">
        <v>1385</v>
      </c>
      <c r="D375" t="s">
        <v>14473</v>
      </c>
      <c r="E375" t="s">
        <v>17329</v>
      </c>
      <c r="F375" t="s">
        <v>17330</v>
      </c>
      <c r="G375" t="s">
        <v>17202</v>
      </c>
    </row>
    <row r="376" spans="1:7" x14ac:dyDescent="0.25">
      <c r="A376" t="s">
        <v>38</v>
      </c>
      <c r="B376" t="s">
        <v>17333</v>
      </c>
      <c r="C376" t="s">
        <v>17334</v>
      </c>
      <c r="D376" t="s">
        <v>14473</v>
      </c>
      <c r="E376" t="s">
        <v>17333</v>
      </c>
      <c r="F376" t="s">
        <v>17335</v>
      </c>
      <c r="G376" t="s">
        <v>17336</v>
      </c>
    </row>
    <row r="377" spans="1:7" x14ac:dyDescent="0.25">
      <c r="A377" t="s">
        <v>38</v>
      </c>
      <c r="B377" t="s">
        <v>17339</v>
      </c>
      <c r="C377" t="s">
        <v>17340</v>
      </c>
      <c r="D377" t="s">
        <v>14473</v>
      </c>
      <c r="E377" t="s">
        <v>17339</v>
      </c>
      <c r="F377" t="s">
        <v>17341</v>
      </c>
      <c r="G377" t="s">
        <v>17313</v>
      </c>
    </row>
    <row r="378" spans="1:7" x14ac:dyDescent="0.25">
      <c r="A378" t="s">
        <v>38</v>
      </c>
      <c r="B378" t="s">
        <v>17344</v>
      </c>
      <c r="C378" t="s">
        <v>17345</v>
      </c>
      <c r="D378" t="s">
        <v>14473</v>
      </c>
      <c r="E378" t="s">
        <v>17344</v>
      </c>
      <c r="F378" t="s">
        <v>17346</v>
      </c>
      <c r="G378" t="s">
        <v>17159</v>
      </c>
    </row>
    <row r="379" spans="1:7" x14ac:dyDescent="0.25">
      <c r="A379" t="s">
        <v>22</v>
      </c>
      <c r="B379" t="s">
        <v>17349</v>
      </c>
      <c r="C379" t="s">
        <v>8252</v>
      </c>
      <c r="D379" t="s">
        <v>14473</v>
      </c>
      <c r="E379" t="s">
        <v>17349</v>
      </c>
      <c r="F379" t="s">
        <v>17350</v>
      </c>
      <c r="G379" t="s">
        <v>17181</v>
      </c>
    </row>
    <row r="380" spans="1:7" x14ac:dyDescent="0.25">
      <c r="A380" t="s">
        <v>22</v>
      </c>
      <c r="B380" t="s">
        <v>17353</v>
      </c>
      <c r="C380" t="s">
        <v>17354</v>
      </c>
      <c r="D380" t="s">
        <v>14473</v>
      </c>
      <c r="E380" t="s">
        <v>17353</v>
      </c>
      <c r="F380" t="s">
        <v>17355</v>
      </c>
      <c r="G380" t="s">
        <v>17313</v>
      </c>
    </row>
    <row r="381" spans="1:7" x14ac:dyDescent="0.25">
      <c r="A381" t="s">
        <v>38</v>
      </c>
      <c r="B381" t="s">
        <v>17358</v>
      </c>
      <c r="C381" t="s">
        <v>17359</v>
      </c>
      <c r="D381" t="s">
        <v>14473</v>
      </c>
      <c r="E381" t="s">
        <v>17358</v>
      </c>
      <c r="F381" t="s">
        <v>17360</v>
      </c>
      <c r="G381" t="s">
        <v>17313</v>
      </c>
    </row>
    <row r="382" spans="1:7" x14ac:dyDescent="0.25">
      <c r="A382" t="s">
        <v>38</v>
      </c>
      <c r="B382" t="s">
        <v>17363</v>
      </c>
      <c r="C382" t="s">
        <v>17364</v>
      </c>
      <c r="D382" t="s">
        <v>14473</v>
      </c>
      <c r="E382" t="s">
        <v>17363</v>
      </c>
      <c r="F382" t="s">
        <v>17365</v>
      </c>
      <c r="G382" t="s">
        <v>17366</v>
      </c>
    </row>
    <row r="383" spans="1:7" x14ac:dyDescent="0.25">
      <c r="A383" t="s">
        <v>22</v>
      </c>
      <c r="B383" t="s">
        <v>17369</v>
      </c>
      <c r="C383" t="s">
        <v>17370</v>
      </c>
      <c r="D383" t="s">
        <v>14473</v>
      </c>
      <c r="E383" t="s">
        <v>17369</v>
      </c>
      <c r="F383" t="s">
        <v>17371</v>
      </c>
      <c r="G383" t="s">
        <v>17372</v>
      </c>
    </row>
    <row r="384" spans="1:7" x14ac:dyDescent="0.25">
      <c r="A384" t="s">
        <v>38</v>
      </c>
      <c r="B384" t="s">
        <v>17375</v>
      </c>
      <c r="C384" t="s">
        <v>17376</v>
      </c>
      <c r="D384" t="s">
        <v>14473</v>
      </c>
      <c r="E384" t="s">
        <v>17375</v>
      </c>
      <c r="F384" t="s">
        <v>17377</v>
      </c>
      <c r="G384" t="s">
        <v>17202</v>
      </c>
    </row>
    <row r="385" spans="1:7" x14ac:dyDescent="0.25">
      <c r="A385" t="s">
        <v>22</v>
      </c>
      <c r="B385" t="s">
        <v>17380</v>
      </c>
      <c r="C385" t="s">
        <v>17381</v>
      </c>
      <c r="D385" t="s">
        <v>14473</v>
      </c>
      <c r="E385" t="s">
        <v>17380</v>
      </c>
      <c r="F385" t="s">
        <v>17382</v>
      </c>
      <c r="G385" t="s">
        <v>17366</v>
      </c>
    </row>
    <row r="386" spans="1:7" x14ac:dyDescent="0.25">
      <c r="A386" t="s">
        <v>38</v>
      </c>
      <c r="B386" t="s">
        <v>17385</v>
      </c>
      <c r="C386" t="s">
        <v>17386</v>
      </c>
      <c r="D386" t="s">
        <v>14473</v>
      </c>
      <c r="E386" t="s">
        <v>17385</v>
      </c>
      <c r="F386" t="s">
        <v>17387</v>
      </c>
      <c r="G386" t="s">
        <v>17313</v>
      </c>
    </row>
    <row r="387" spans="1:7" x14ac:dyDescent="0.25">
      <c r="A387" t="s">
        <v>22</v>
      </c>
      <c r="B387" t="s">
        <v>17390</v>
      </c>
      <c r="C387" t="s">
        <v>17391</v>
      </c>
      <c r="D387" t="s">
        <v>14473</v>
      </c>
      <c r="E387" t="s">
        <v>17390</v>
      </c>
      <c r="F387" t="s">
        <v>17392</v>
      </c>
      <c r="G387" t="s">
        <v>17393</v>
      </c>
    </row>
    <row r="388" spans="1:7" x14ac:dyDescent="0.25">
      <c r="A388" t="s">
        <v>22</v>
      </c>
      <c r="B388" t="s">
        <v>17396</v>
      </c>
      <c r="C388" t="s">
        <v>17397</v>
      </c>
      <c r="D388" t="s">
        <v>14473</v>
      </c>
      <c r="E388" t="s">
        <v>17396</v>
      </c>
      <c r="F388" t="s">
        <v>17398</v>
      </c>
      <c r="G388" t="s">
        <v>17202</v>
      </c>
    </row>
    <row r="389" spans="1:7" x14ac:dyDescent="0.25">
      <c r="A389" t="s">
        <v>22</v>
      </c>
      <c r="B389" t="s">
        <v>17401</v>
      </c>
      <c r="C389" t="s">
        <v>17402</v>
      </c>
      <c r="D389" t="s">
        <v>14473</v>
      </c>
      <c r="E389" t="s">
        <v>17401</v>
      </c>
      <c r="F389" t="s">
        <v>17403</v>
      </c>
      <c r="G389" t="s">
        <v>17202</v>
      </c>
    </row>
    <row r="390" spans="1:7" x14ac:dyDescent="0.25">
      <c r="A390" t="s">
        <v>22</v>
      </c>
      <c r="B390" t="s">
        <v>17406</v>
      </c>
      <c r="C390" t="s">
        <v>17407</v>
      </c>
      <c r="D390" t="s">
        <v>14473</v>
      </c>
      <c r="E390" t="s">
        <v>17406</v>
      </c>
      <c r="F390" t="s">
        <v>17408</v>
      </c>
      <c r="G390" t="s">
        <v>17409</v>
      </c>
    </row>
    <row r="391" spans="1:7" x14ac:dyDescent="0.25">
      <c r="A391" t="s">
        <v>22</v>
      </c>
      <c r="B391" t="s">
        <v>17412</v>
      </c>
      <c r="C391" t="s">
        <v>17413</v>
      </c>
      <c r="D391" t="s">
        <v>14473</v>
      </c>
      <c r="E391" t="s">
        <v>17412</v>
      </c>
      <c r="F391" t="s">
        <v>17414</v>
      </c>
      <c r="G391" t="s">
        <v>17393</v>
      </c>
    </row>
    <row r="392" spans="1:7" x14ac:dyDescent="0.25">
      <c r="A392" t="s">
        <v>22</v>
      </c>
      <c r="B392" t="s">
        <v>17417</v>
      </c>
      <c r="C392" t="s">
        <v>9806</v>
      </c>
      <c r="D392" t="s">
        <v>14473</v>
      </c>
      <c r="E392" t="s">
        <v>17417</v>
      </c>
      <c r="F392" t="s">
        <v>17418</v>
      </c>
      <c r="G392" t="s">
        <v>17419</v>
      </c>
    </row>
    <row r="393" spans="1:7" x14ac:dyDescent="0.25">
      <c r="A393" t="s">
        <v>38</v>
      </c>
      <c r="B393" t="s">
        <v>17422</v>
      </c>
      <c r="C393" t="s">
        <v>17423</v>
      </c>
      <c r="D393" t="s">
        <v>14473</v>
      </c>
      <c r="E393" t="s">
        <v>17422</v>
      </c>
      <c r="F393" t="s">
        <v>17424</v>
      </c>
      <c r="G393" t="s">
        <v>17409</v>
      </c>
    </row>
    <row r="394" spans="1:7" x14ac:dyDescent="0.25">
      <c r="A394" t="s">
        <v>22</v>
      </c>
      <c r="B394" t="s">
        <v>17427</v>
      </c>
      <c r="C394" t="s">
        <v>17428</v>
      </c>
      <c r="D394" t="s">
        <v>14473</v>
      </c>
      <c r="E394" t="s">
        <v>17427</v>
      </c>
      <c r="F394" t="s">
        <v>17429</v>
      </c>
      <c r="G394" t="s">
        <v>17202</v>
      </c>
    </row>
    <row r="395" spans="1:7" x14ac:dyDescent="0.25">
      <c r="A395" t="s">
        <v>32</v>
      </c>
      <c r="B395" t="s">
        <v>17432</v>
      </c>
      <c r="C395" t="s">
        <v>17274</v>
      </c>
      <c r="D395" t="s">
        <v>14473</v>
      </c>
      <c r="E395" t="s">
        <v>17432</v>
      </c>
      <c r="F395" t="s">
        <v>17433</v>
      </c>
      <c r="G395" t="s">
        <v>17165</v>
      </c>
    </row>
    <row r="396" spans="1:7" x14ac:dyDescent="0.25">
      <c r="A396" t="s">
        <v>32</v>
      </c>
      <c r="B396" t="s">
        <v>17436</v>
      </c>
      <c r="C396" t="s">
        <v>17437</v>
      </c>
      <c r="D396" t="s">
        <v>14473</v>
      </c>
      <c r="E396" t="s">
        <v>17436</v>
      </c>
      <c r="F396" t="s">
        <v>17438</v>
      </c>
      <c r="G396" t="s">
        <v>17181</v>
      </c>
    </row>
    <row r="397" spans="1:7" x14ac:dyDescent="0.25">
      <c r="A397" t="s">
        <v>22</v>
      </c>
      <c r="B397" t="s">
        <v>17441</v>
      </c>
      <c r="C397" t="s">
        <v>17442</v>
      </c>
      <c r="D397" t="s">
        <v>14473</v>
      </c>
      <c r="E397" t="s">
        <v>17441</v>
      </c>
      <c r="F397" t="s">
        <v>17443</v>
      </c>
      <c r="G397" t="s">
        <v>17372</v>
      </c>
    </row>
    <row r="398" spans="1:7" x14ac:dyDescent="0.25">
      <c r="A398" t="s">
        <v>22</v>
      </c>
      <c r="B398" t="s">
        <v>17446</v>
      </c>
      <c r="C398" t="s">
        <v>17274</v>
      </c>
      <c r="D398" t="s">
        <v>14473</v>
      </c>
      <c r="E398" t="s">
        <v>17446</v>
      </c>
      <c r="F398" t="s">
        <v>17447</v>
      </c>
      <c r="G398" t="s">
        <v>17165</v>
      </c>
    </row>
    <row r="399" spans="1:7" x14ac:dyDescent="0.25">
      <c r="A399" t="s">
        <v>22</v>
      </c>
      <c r="B399" t="s">
        <v>17450</v>
      </c>
      <c r="C399" t="s">
        <v>17451</v>
      </c>
      <c r="D399" t="s">
        <v>14473</v>
      </c>
      <c r="E399" t="s">
        <v>17450</v>
      </c>
      <c r="F399" t="s">
        <v>17452</v>
      </c>
      <c r="G399" t="s">
        <v>17270</v>
      </c>
    </row>
    <row r="400" spans="1:7" x14ac:dyDescent="0.25">
      <c r="A400" t="s">
        <v>32</v>
      </c>
      <c r="B400" t="s">
        <v>17455</v>
      </c>
      <c r="C400" t="s">
        <v>17456</v>
      </c>
      <c r="D400" t="s">
        <v>14473</v>
      </c>
      <c r="E400" t="s">
        <v>17455</v>
      </c>
      <c r="F400" t="s">
        <v>17457</v>
      </c>
      <c r="G400" t="s">
        <v>17372</v>
      </c>
    </row>
    <row r="401" spans="1:7" x14ac:dyDescent="0.25">
      <c r="A401" t="s">
        <v>32</v>
      </c>
      <c r="B401" t="s">
        <v>17460</v>
      </c>
      <c r="C401" t="s">
        <v>17461</v>
      </c>
      <c r="D401" t="s">
        <v>14473</v>
      </c>
      <c r="E401" t="s">
        <v>17460</v>
      </c>
      <c r="F401" t="s">
        <v>17462</v>
      </c>
      <c r="G401" t="s">
        <v>17372</v>
      </c>
    </row>
    <row r="402" spans="1:7" x14ac:dyDescent="0.25">
      <c r="A402" t="s">
        <v>22</v>
      </c>
      <c r="B402" t="s">
        <v>17465</v>
      </c>
      <c r="C402" t="s">
        <v>17466</v>
      </c>
      <c r="D402" t="s">
        <v>14473</v>
      </c>
      <c r="E402" t="s">
        <v>17465</v>
      </c>
      <c r="F402" t="s">
        <v>17467</v>
      </c>
      <c r="G402" t="s">
        <v>17372</v>
      </c>
    </row>
    <row r="403" spans="1:7" x14ac:dyDescent="0.25">
      <c r="A403" t="s">
        <v>38</v>
      </c>
      <c r="B403" t="s">
        <v>17470</v>
      </c>
      <c r="C403" t="s">
        <v>17471</v>
      </c>
      <c r="D403" t="s">
        <v>14473</v>
      </c>
      <c r="E403" t="s">
        <v>17470</v>
      </c>
      <c r="F403" t="s">
        <v>17472</v>
      </c>
      <c r="G403" t="s">
        <v>17336</v>
      </c>
    </row>
    <row r="404" spans="1:7" x14ac:dyDescent="0.25">
      <c r="A404" t="s">
        <v>22</v>
      </c>
      <c r="B404" t="s">
        <v>17475</v>
      </c>
      <c r="C404" t="s">
        <v>17476</v>
      </c>
      <c r="D404" t="s">
        <v>14473</v>
      </c>
      <c r="E404" t="s">
        <v>17475</v>
      </c>
      <c r="F404" t="s">
        <v>17477</v>
      </c>
      <c r="G404" t="s">
        <v>17286</v>
      </c>
    </row>
    <row r="405" spans="1:7" x14ac:dyDescent="0.25">
      <c r="A405" t="s">
        <v>22</v>
      </c>
      <c r="B405" t="s">
        <v>17480</v>
      </c>
      <c r="C405" t="s">
        <v>17481</v>
      </c>
      <c r="D405" t="s">
        <v>14473</v>
      </c>
      <c r="E405" t="s">
        <v>17480</v>
      </c>
      <c r="F405" t="s">
        <v>17482</v>
      </c>
      <c r="G405" t="s">
        <v>17419</v>
      </c>
    </row>
    <row r="406" spans="1:7" x14ac:dyDescent="0.25">
      <c r="A406" t="s">
        <v>38</v>
      </c>
      <c r="B406" t="s">
        <v>17485</v>
      </c>
      <c r="C406" t="s">
        <v>17486</v>
      </c>
      <c r="D406" t="s">
        <v>14473</v>
      </c>
      <c r="E406" t="s">
        <v>17485</v>
      </c>
      <c r="F406" t="s">
        <v>17487</v>
      </c>
      <c r="G406" t="s">
        <v>17419</v>
      </c>
    </row>
    <row r="407" spans="1:7" x14ac:dyDescent="0.25">
      <c r="A407" t="s">
        <v>22</v>
      </c>
      <c r="B407" t="s">
        <v>17490</v>
      </c>
      <c r="C407" t="s">
        <v>17491</v>
      </c>
      <c r="D407" t="s">
        <v>14473</v>
      </c>
      <c r="E407" t="s">
        <v>17490</v>
      </c>
      <c r="F407" t="s">
        <v>17492</v>
      </c>
      <c r="G407" t="s">
        <v>17372</v>
      </c>
    </row>
    <row r="408" spans="1:7" x14ac:dyDescent="0.25">
      <c r="A408" t="s">
        <v>22</v>
      </c>
      <c r="B408" t="s">
        <v>17495</v>
      </c>
      <c r="C408" t="s">
        <v>17496</v>
      </c>
      <c r="D408" t="s">
        <v>14473</v>
      </c>
      <c r="E408" t="s">
        <v>17495</v>
      </c>
      <c r="F408" t="s">
        <v>17497</v>
      </c>
      <c r="G408" t="s">
        <v>17372</v>
      </c>
    </row>
    <row r="409" spans="1:7" x14ac:dyDescent="0.25">
      <c r="A409" t="s">
        <v>22</v>
      </c>
      <c r="B409" t="s">
        <v>17500</v>
      </c>
      <c r="C409" t="s">
        <v>17501</v>
      </c>
      <c r="D409" t="s">
        <v>14473</v>
      </c>
      <c r="E409" t="s">
        <v>17500</v>
      </c>
      <c r="F409" t="s">
        <v>17502</v>
      </c>
      <c r="G409" t="s">
        <v>17313</v>
      </c>
    </row>
    <row r="410" spans="1:7" x14ac:dyDescent="0.25">
      <c r="A410" t="s">
        <v>22</v>
      </c>
      <c r="B410" t="s">
        <v>17505</v>
      </c>
      <c r="C410" t="s">
        <v>17506</v>
      </c>
      <c r="D410" t="s">
        <v>14473</v>
      </c>
      <c r="E410" t="s">
        <v>17505</v>
      </c>
      <c r="F410" t="s">
        <v>17507</v>
      </c>
      <c r="G410" t="s">
        <v>17270</v>
      </c>
    </row>
    <row r="411" spans="1:7" x14ac:dyDescent="0.25">
      <c r="A411" t="s">
        <v>38</v>
      </c>
      <c r="B411" t="s">
        <v>17510</v>
      </c>
      <c r="C411" t="s">
        <v>17461</v>
      </c>
      <c r="D411" t="s">
        <v>14473</v>
      </c>
      <c r="E411" t="s">
        <v>17510</v>
      </c>
      <c r="F411" t="s">
        <v>17511</v>
      </c>
      <c r="G411" t="s">
        <v>17409</v>
      </c>
    </row>
    <row r="412" spans="1:7" x14ac:dyDescent="0.25">
      <c r="A412" t="s">
        <v>22</v>
      </c>
      <c r="B412" t="s">
        <v>17514</v>
      </c>
      <c r="C412" t="s">
        <v>17515</v>
      </c>
      <c r="D412" t="s">
        <v>14473</v>
      </c>
      <c r="E412" t="s">
        <v>17514</v>
      </c>
      <c r="F412" t="s">
        <v>17516</v>
      </c>
      <c r="G412" t="s">
        <v>17286</v>
      </c>
    </row>
    <row r="413" spans="1:7" x14ac:dyDescent="0.25">
      <c r="A413" t="s">
        <v>22</v>
      </c>
      <c r="B413" t="s">
        <v>17519</v>
      </c>
      <c r="C413" t="s">
        <v>17520</v>
      </c>
      <c r="D413" t="s">
        <v>14473</v>
      </c>
      <c r="E413" t="s">
        <v>17519</v>
      </c>
      <c r="F413" t="s">
        <v>17521</v>
      </c>
      <c r="G413" t="s">
        <v>17286</v>
      </c>
    </row>
    <row r="414" spans="1:7" x14ac:dyDescent="0.25">
      <c r="A414" t="s">
        <v>22</v>
      </c>
      <c r="B414" t="s">
        <v>17524</v>
      </c>
      <c r="C414" t="s">
        <v>17525</v>
      </c>
      <c r="D414" t="s">
        <v>14473</v>
      </c>
      <c r="E414" t="s">
        <v>17524</v>
      </c>
      <c r="F414" t="s">
        <v>17526</v>
      </c>
      <c r="G414" t="s">
        <v>17372</v>
      </c>
    </row>
    <row r="415" spans="1:7" x14ac:dyDescent="0.25">
      <c r="A415" t="s">
        <v>38</v>
      </c>
      <c r="B415" t="s">
        <v>17529</v>
      </c>
      <c r="C415" t="s">
        <v>17530</v>
      </c>
      <c r="D415" t="s">
        <v>14473</v>
      </c>
      <c r="E415" t="s">
        <v>17529</v>
      </c>
      <c r="F415" t="s">
        <v>17531</v>
      </c>
      <c r="G415" t="s">
        <v>17181</v>
      </c>
    </row>
    <row r="416" spans="1:7" x14ac:dyDescent="0.25">
      <c r="A416" t="s">
        <v>22</v>
      </c>
      <c r="B416" t="s">
        <v>17534</v>
      </c>
      <c r="C416" t="s">
        <v>17535</v>
      </c>
      <c r="D416" t="s">
        <v>14473</v>
      </c>
      <c r="E416" t="s">
        <v>17534</v>
      </c>
      <c r="F416" t="s">
        <v>17536</v>
      </c>
      <c r="G416" t="s">
        <v>17165</v>
      </c>
    </row>
    <row r="417" spans="1:7" x14ac:dyDescent="0.25">
      <c r="A417" t="s">
        <v>22</v>
      </c>
      <c r="B417" t="s">
        <v>17539</v>
      </c>
      <c r="C417" t="s">
        <v>17442</v>
      </c>
      <c r="D417" t="s">
        <v>14473</v>
      </c>
      <c r="E417" t="s">
        <v>17539</v>
      </c>
      <c r="F417" t="s">
        <v>17540</v>
      </c>
      <c r="G417" t="s">
        <v>17372</v>
      </c>
    </row>
    <row r="418" spans="1:7" x14ac:dyDescent="0.25">
      <c r="A418" t="s">
        <v>38</v>
      </c>
      <c r="B418" t="s">
        <v>17543</v>
      </c>
      <c r="C418" t="s">
        <v>17544</v>
      </c>
      <c r="D418" t="s">
        <v>14473</v>
      </c>
      <c r="E418" t="s">
        <v>17543</v>
      </c>
      <c r="F418" t="s">
        <v>17545</v>
      </c>
      <c r="G418" t="s">
        <v>17546</v>
      </c>
    </row>
    <row r="419" spans="1:7" x14ac:dyDescent="0.25">
      <c r="A419" t="s">
        <v>38</v>
      </c>
      <c r="B419" t="s">
        <v>17549</v>
      </c>
      <c r="C419" t="s">
        <v>17550</v>
      </c>
      <c r="D419" t="s">
        <v>14473</v>
      </c>
      <c r="E419" t="s">
        <v>17549</v>
      </c>
      <c r="F419" t="s">
        <v>17551</v>
      </c>
      <c r="G419" t="s">
        <v>17546</v>
      </c>
    </row>
    <row r="420" spans="1:7" x14ac:dyDescent="0.25">
      <c r="A420" t="s">
        <v>22</v>
      </c>
      <c r="B420" t="s">
        <v>17554</v>
      </c>
      <c r="C420" t="s">
        <v>17555</v>
      </c>
      <c r="D420" t="s">
        <v>14473</v>
      </c>
      <c r="E420" t="s">
        <v>17554</v>
      </c>
      <c r="F420" t="s">
        <v>17556</v>
      </c>
      <c r="G420" t="s">
        <v>17336</v>
      </c>
    </row>
    <row r="421" spans="1:7" x14ac:dyDescent="0.25">
      <c r="A421" t="s">
        <v>22</v>
      </c>
      <c r="B421" t="s">
        <v>17559</v>
      </c>
      <c r="C421" t="s">
        <v>17560</v>
      </c>
      <c r="D421" t="s">
        <v>14473</v>
      </c>
      <c r="E421" t="s">
        <v>17559</v>
      </c>
      <c r="F421" t="s">
        <v>17561</v>
      </c>
      <c r="G421" t="s">
        <v>17562</v>
      </c>
    </row>
    <row r="422" spans="1:7" x14ac:dyDescent="0.25">
      <c r="A422" t="s">
        <v>22</v>
      </c>
      <c r="B422" t="s">
        <v>17565</v>
      </c>
      <c r="C422" t="s">
        <v>17566</v>
      </c>
      <c r="D422" t="s">
        <v>14473</v>
      </c>
      <c r="E422" t="s">
        <v>17565</v>
      </c>
      <c r="F422" t="s">
        <v>17567</v>
      </c>
      <c r="G422" t="s">
        <v>17372</v>
      </c>
    </row>
    <row r="423" spans="1:7" x14ac:dyDescent="0.25">
      <c r="A423" t="s">
        <v>22</v>
      </c>
      <c r="B423" t="s">
        <v>17570</v>
      </c>
      <c r="C423" t="s">
        <v>17571</v>
      </c>
      <c r="D423" t="s">
        <v>14473</v>
      </c>
      <c r="E423" t="s">
        <v>17570</v>
      </c>
      <c r="F423" t="s">
        <v>17572</v>
      </c>
      <c r="G423" t="s">
        <v>17372</v>
      </c>
    </row>
    <row r="424" spans="1:7" x14ac:dyDescent="0.25">
      <c r="A424" t="s">
        <v>22</v>
      </c>
      <c r="B424" t="s">
        <v>17575</v>
      </c>
      <c r="C424" t="s">
        <v>17576</v>
      </c>
      <c r="D424" t="s">
        <v>14473</v>
      </c>
      <c r="E424" t="s">
        <v>17575</v>
      </c>
      <c r="F424" t="s">
        <v>17577</v>
      </c>
      <c r="G424" t="s">
        <v>17372</v>
      </c>
    </row>
    <row r="425" spans="1:7" x14ac:dyDescent="0.25">
      <c r="A425" t="s">
        <v>22</v>
      </c>
      <c r="B425" t="s">
        <v>17580</v>
      </c>
      <c r="C425" t="s">
        <v>17581</v>
      </c>
      <c r="D425" t="s">
        <v>14473</v>
      </c>
      <c r="E425" t="s">
        <v>17580</v>
      </c>
      <c r="F425" t="s">
        <v>17582</v>
      </c>
      <c r="G425" t="s">
        <v>17159</v>
      </c>
    </row>
    <row r="426" spans="1:7" x14ac:dyDescent="0.25">
      <c r="A426" t="s">
        <v>38</v>
      </c>
      <c r="B426" t="s">
        <v>17585</v>
      </c>
      <c r="C426" t="s">
        <v>17586</v>
      </c>
      <c r="D426" t="s">
        <v>14473</v>
      </c>
      <c r="E426" t="s">
        <v>17585</v>
      </c>
      <c r="F426" t="s">
        <v>17587</v>
      </c>
      <c r="G426" t="s">
        <v>17313</v>
      </c>
    </row>
    <row r="427" spans="1:7" x14ac:dyDescent="0.25">
      <c r="A427" t="s">
        <v>22</v>
      </c>
      <c r="B427" t="s">
        <v>17590</v>
      </c>
      <c r="C427" t="s">
        <v>17237</v>
      </c>
      <c r="D427" t="s">
        <v>14473</v>
      </c>
      <c r="E427" t="s">
        <v>17590</v>
      </c>
      <c r="F427" t="s">
        <v>17591</v>
      </c>
      <c r="G427" t="s">
        <v>17165</v>
      </c>
    </row>
    <row r="428" spans="1:7" x14ac:dyDescent="0.25">
      <c r="A428" t="s">
        <v>22</v>
      </c>
      <c r="B428" t="s">
        <v>17594</v>
      </c>
      <c r="C428" t="s">
        <v>17560</v>
      </c>
      <c r="D428" t="s">
        <v>14473</v>
      </c>
      <c r="E428" t="s">
        <v>17594</v>
      </c>
      <c r="F428" t="s">
        <v>17595</v>
      </c>
      <c r="G428" t="s">
        <v>17562</v>
      </c>
    </row>
    <row r="429" spans="1:7" x14ac:dyDescent="0.25">
      <c r="A429" t="s">
        <v>22</v>
      </c>
      <c r="B429" t="s">
        <v>17598</v>
      </c>
      <c r="C429" t="s">
        <v>17599</v>
      </c>
      <c r="D429" t="s">
        <v>14473</v>
      </c>
      <c r="E429" t="s">
        <v>17598</v>
      </c>
      <c r="F429" t="s">
        <v>17600</v>
      </c>
      <c r="G429" t="s">
        <v>17372</v>
      </c>
    </row>
    <row r="430" spans="1:7" x14ac:dyDescent="0.25">
      <c r="A430" t="s">
        <v>22</v>
      </c>
      <c r="B430" t="s">
        <v>17603</v>
      </c>
      <c r="C430" t="s">
        <v>17381</v>
      </c>
      <c r="D430" t="s">
        <v>14473</v>
      </c>
      <c r="E430" t="s">
        <v>17603</v>
      </c>
      <c r="F430" t="s">
        <v>17604</v>
      </c>
      <c r="G430" t="s">
        <v>17366</v>
      </c>
    </row>
    <row r="431" spans="1:7" x14ac:dyDescent="0.25">
      <c r="A431" t="s">
        <v>38</v>
      </c>
      <c r="B431" t="s">
        <v>17607</v>
      </c>
      <c r="C431" t="s">
        <v>17608</v>
      </c>
      <c r="D431" t="s">
        <v>14473</v>
      </c>
      <c r="E431" t="s">
        <v>17607</v>
      </c>
      <c r="F431" t="s">
        <v>17609</v>
      </c>
      <c r="G431" t="s">
        <v>17181</v>
      </c>
    </row>
    <row r="432" spans="1:7" x14ac:dyDescent="0.25">
      <c r="A432" t="s">
        <v>38</v>
      </c>
      <c r="B432" t="s">
        <v>17612</v>
      </c>
      <c r="C432" t="s">
        <v>17613</v>
      </c>
      <c r="D432" t="s">
        <v>14473</v>
      </c>
      <c r="E432" t="s">
        <v>17612</v>
      </c>
      <c r="F432" t="s">
        <v>17614</v>
      </c>
      <c r="G432" t="s">
        <v>17372</v>
      </c>
    </row>
    <row r="433" spans="1:7" x14ac:dyDescent="0.25">
      <c r="A433" t="s">
        <v>22</v>
      </c>
      <c r="B433" t="s">
        <v>17617</v>
      </c>
      <c r="C433" t="s">
        <v>17618</v>
      </c>
      <c r="D433" t="s">
        <v>14473</v>
      </c>
      <c r="E433" t="s">
        <v>17617</v>
      </c>
      <c r="F433" t="s">
        <v>17619</v>
      </c>
      <c r="G433" t="s">
        <v>17620</v>
      </c>
    </row>
    <row r="434" spans="1:7" x14ac:dyDescent="0.25">
      <c r="A434" t="s">
        <v>22</v>
      </c>
      <c r="B434" t="s">
        <v>17623</v>
      </c>
      <c r="C434" t="s">
        <v>17624</v>
      </c>
      <c r="D434" t="s">
        <v>14473</v>
      </c>
      <c r="E434" t="s">
        <v>17623</v>
      </c>
      <c r="F434" t="s">
        <v>17625</v>
      </c>
      <c r="G434" t="s">
        <v>17620</v>
      </c>
    </row>
    <row r="435" spans="1:7" x14ac:dyDescent="0.25">
      <c r="A435" t="s">
        <v>22</v>
      </c>
      <c r="B435" t="s">
        <v>17633</v>
      </c>
      <c r="C435" t="s">
        <v>17634</v>
      </c>
      <c r="D435" t="s">
        <v>14473</v>
      </c>
      <c r="E435" t="s">
        <v>17633</v>
      </c>
      <c r="F435" t="s">
        <v>17635</v>
      </c>
      <c r="G435" t="s">
        <v>17372</v>
      </c>
    </row>
    <row r="436" spans="1:7" x14ac:dyDescent="0.25">
      <c r="A436" t="s">
        <v>22</v>
      </c>
      <c r="B436" t="s">
        <v>17638</v>
      </c>
      <c r="C436" t="s">
        <v>17639</v>
      </c>
      <c r="D436" t="s">
        <v>14473</v>
      </c>
      <c r="E436" t="s">
        <v>17638</v>
      </c>
      <c r="F436" t="s">
        <v>17640</v>
      </c>
      <c r="G436" t="s">
        <v>17372</v>
      </c>
    </row>
    <row r="437" spans="1:7" x14ac:dyDescent="0.25">
      <c r="A437" t="s">
        <v>22</v>
      </c>
      <c r="B437" t="s">
        <v>17643</v>
      </c>
      <c r="C437" t="s">
        <v>17644</v>
      </c>
      <c r="D437" t="s">
        <v>14473</v>
      </c>
      <c r="E437" t="s">
        <v>17643</v>
      </c>
      <c r="F437" t="s">
        <v>17645</v>
      </c>
      <c r="G437" t="s">
        <v>17372</v>
      </c>
    </row>
    <row r="438" spans="1:7" x14ac:dyDescent="0.25">
      <c r="A438" t="s">
        <v>22</v>
      </c>
      <c r="B438" t="s">
        <v>17648</v>
      </c>
      <c r="C438" t="s">
        <v>17649</v>
      </c>
      <c r="D438" t="s">
        <v>14473</v>
      </c>
      <c r="E438" t="s">
        <v>17648</v>
      </c>
      <c r="F438" t="s">
        <v>17650</v>
      </c>
      <c r="G438" t="s">
        <v>17372</v>
      </c>
    </row>
    <row r="439" spans="1:7" x14ac:dyDescent="0.25">
      <c r="A439" t="s">
        <v>22</v>
      </c>
      <c r="B439" t="s">
        <v>17653</v>
      </c>
      <c r="C439" t="s">
        <v>17654</v>
      </c>
      <c r="D439" t="s">
        <v>14473</v>
      </c>
      <c r="E439" t="s">
        <v>17653</v>
      </c>
      <c r="F439" t="s">
        <v>17655</v>
      </c>
      <c r="G439" t="s">
        <v>9074</v>
      </c>
    </row>
    <row r="440" spans="1:7" x14ac:dyDescent="0.25">
      <c r="A440" t="s">
        <v>22</v>
      </c>
      <c r="B440" t="s">
        <v>17658</v>
      </c>
      <c r="C440" t="s">
        <v>17659</v>
      </c>
      <c r="D440" t="s">
        <v>14473</v>
      </c>
      <c r="E440" t="s">
        <v>17658</v>
      </c>
      <c r="F440" t="s">
        <v>17660</v>
      </c>
      <c r="G440" t="s">
        <v>17159</v>
      </c>
    </row>
    <row r="441" spans="1:7" x14ac:dyDescent="0.25">
      <c r="A441" t="s">
        <v>22</v>
      </c>
      <c r="B441" t="s">
        <v>17663</v>
      </c>
      <c r="C441" t="s">
        <v>17664</v>
      </c>
      <c r="D441" t="s">
        <v>14473</v>
      </c>
      <c r="E441" t="s">
        <v>17663</v>
      </c>
      <c r="F441" t="s">
        <v>17665</v>
      </c>
      <c r="G441" t="s">
        <v>17620</v>
      </c>
    </row>
    <row r="442" spans="1:7" x14ac:dyDescent="0.25">
      <c r="A442" t="s">
        <v>22</v>
      </c>
      <c r="B442" t="s">
        <v>17668</v>
      </c>
      <c r="C442" t="s">
        <v>17669</v>
      </c>
      <c r="D442" t="s">
        <v>14473</v>
      </c>
      <c r="E442" t="s">
        <v>17668</v>
      </c>
      <c r="F442" t="s">
        <v>17670</v>
      </c>
      <c r="G442" t="s">
        <v>17372</v>
      </c>
    </row>
    <row r="443" spans="1:7" x14ac:dyDescent="0.25">
      <c r="A443" t="s">
        <v>22</v>
      </c>
      <c r="B443" t="s">
        <v>17673</v>
      </c>
      <c r="C443" t="s">
        <v>17674</v>
      </c>
      <c r="D443" t="s">
        <v>14473</v>
      </c>
      <c r="E443" t="s">
        <v>17673</v>
      </c>
      <c r="F443" t="s">
        <v>17675</v>
      </c>
      <c r="G443" t="s">
        <v>9074</v>
      </c>
    </row>
    <row r="444" spans="1:7" x14ac:dyDescent="0.25">
      <c r="A444" t="s">
        <v>32</v>
      </c>
      <c r="B444" t="s">
        <v>17678</v>
      </c>
      <c r="C444" t="s">
        <v>17560</v>
      </c>
      <c r="D444" t="s">
        <v>14473</v>
      </c>
      <c r="E444" t="s">
        <v>17678</v>
      </c>
      <c r="F444" t="s">
        <v>17679</v>
      </c>
      <c r="G444" t="s">
        <v>17562</v>
      </c>
    </row>
    <row r="445" spans="1:7" x14ac:dyDescent="0.25">
      <c r="A445" t="s">
        <v>38</v>
      </c>
      <c r="B445" t="s">
        <v>17682</v>
      </c>
      <c r="C445" t="s">
        <v>1549</v>
      </c>
      <c r="D445" t="s">
        <v>14473</v>
      </c>
      <c r="E445" t="s">
        <v>17682</v>
      </c>
      <c r="F445" t="s">
        <v>17683</v>
      </c>
      <c r="G445" t="s">
        <v>17372</v>
      </c>
    </row>
    <row r="446" spans="1:7" x14ac:dyDescent="0.25">
      <c r="A446" t="s">
        <v>22</v>
      </c>
      <c r="B446" t="s">
        <v>17686</v>
      </c>
      <c r="C446" t="s">
        <v>17687</v>
      </c>
      <c r="D446" t="s">
        <v>14473</v>
      </c>
      <c r="E446" t="s">
        <v>17686</v>
      </c>
      <c r="F446" t="s">
        <v>17688</v>
      </c>
      <c r="G446" t="s">
        <v>17689</v>
      </c>
    </row>
    <row r="447" spans="1:7" x14ac:dyDescent="0.25">
      <c r="A447" t="s">
        <v>38</v>
      </c>
      <c r="B447" t="s">
        <v>17692</v>
      </c>
      <c r="C447" t="s">
        <v>17693</v>
      </c>
      <c r="D447" t="s">
        <v>14473</v>
      </c>
      <c r="E447" t="s">
        <v>17692</v>
      </c>
      <c r="F447" t="s">
        <v>17694</v>
      </c>
      <c r="G447" t="s">
        <v>17181</v>
      </c>
    </row>
    <row r="448" spans="1:7" x14ac:dyDescent="0.25">
      <c r="A448" t="s">
        <v>22</v>
      </c>
      <c r="B448" t="s">
        <v>17697</v>
      </c>
      <c r="C448" t="s">
        <v>17698</v>
      </c>
      <c r="D448" t="s">
        <v>14473</v>
      </c>
      <c r="E448" t="s">
        <v>17697</v>
      </c>
      <c r="F448" t="s">
        <v>17699</v>
      </c>
      <c r="G448" t="s">
        <v>17159</v>
      </c>
    </row>
    <row r="449" spans="1:7" x14ac:dyDescent="0.25">
      <c r="A449" t="s">
        <v>22</v>
      </c>
      <c r="B449" t="s">
        <v>17702</v>
      </c>
      <c r="C449" t="s">
        <v>17311</v>
      </c>
      <c r="D449" t="s">
        <v>14473</v>
      </c>
      <c r="E449" t="s">
        <v>17702</v>
      </c>
      <c r="F449" t="s">
        <v>17703</v>
      </c>
      <c r="G449" t="s">
        <v>17313</v>
      </c>
    </row>
    <row r="450" spans="1:7" x14ac:dyDescent="0.25">
      <c r="A450" t="s">
        <v>22</v>
      </c>
      <c r="B450" t="s">
        <v>17706</v>
      </c>
      <c r="C450" t="s">
        <v>17707</v>
      </c>
      <c r="D450" t="s">
        <v>14473</v>
      </c>
      <c r="E450" t="s">
        <v>17706</v>
      </c>
      <c r="F450" t="s">
        <v>17708</v>
      </c>
      <c r="G450" t="s">
        <v>17165</v>
      </c>
    </row>
    <row r="451" spans="1:7" x14ac:dyDescent="0.25">
      <c r="A451" t="s">
        <v>22</v>
      </c>
      <c r="B451" t="s">
        <v>17134</v>
      </c>
      <c r="C451" t="s">
        <v>17711</v>
      </c>
      <c r="D451" t="s">
        <v>14473</v>
      </c>
      <c r="E451" t="s">
        <v>17134</v>
      </c>
      <c r="F451" t="s">
        <v>17712</v>
      </c>
      <c r="G451" t="s">
        <v>17372</v>
      </c>
    </row>
    <row r="452" spans="1:7" x14ac:dyDescent="0.25">
      <c r="A452" t="s">
        <v>22</v>
      </c>
      <c r="B452" t="s">
        <v>17715</v>
      </c>
      <c r="C452" t="s">
        <v>17716</v>
      </c>
      <c r="D452" t="s">
        <v>14473</v>
      </c>
      <c r="E452" t="s">
        <v>17715</v>
      </c>
      <c r="F452" t="s">
        <v>17717</v>
      </c>
      <c r="G452" t="s">
        <v>17718</v>
      </c>
    </row>
    <row r="453" spans="1:7" x14ac:dyDescent="0.25">
      <c r="A453" t="s">
        <v>22</v>
      </c>
      <c r="B453" t="s">
        <v>17721</v>
      </c>
      <c r="C453" t="s">
        <v>17722</v>
      </c>
      <c r="D453" t="s">
        <v>14473</v>
      </c>
      <c r="E453" t="s">
        <v>17721</v>
      </c>
      <c r="F453" t="s">
        <v>17723</v>
      </c>
      <c r="G453" t="s">
        <v>17724</v>
      </c>
    </row>
    <row r="454" spans="1:7" x14ac:dyDescent="0.25">
      <c r="A454" t="s">
        <v>22</v>
      </c>
      <c r="B454" t="s">
        <v>17727</v>
      </c>
      <c r="C454" t="s">
        <v>17629</v>
      </c>
      <c r="D454" t="s">
        <v>14473</v>
      </c>
      <c r="E454" t="s">
        <v>17727</v>
      </c>
      <c r="F454" t="s">
        <v>17728</v>
      </c>
      <c r="G454" t="s">
        <v>9074</v>
      </c>
    </row>
    <row r="455" spans="1:7" x14ac:dyDescent="0.25">
      <c r="A455" t="s">
        <v>22</v>
      </c>
      <c r="B455" t="s">
        <v>17731</v>
      </c>
      <c r="C455" t="s">
        <v>17732</v>
      </c>
      <c r="D455" t="s">
        <v>14473</v>
      </c>
      <c r="E455" t="s">
        <v>17731</v>
      </c>
      <c r="F455" t="s">
        <v>17733</v>
      </c>
      <c r="G455" t="s">
        <v>17286</v>
      </c>
    </row>
    <row r="456" spans="1:7" x14ac:dyDescent="0.25">
      <c r="A456" t="s">
        <v>22</v>
      </c>
      <c r="B456" t="s">
        <v>17736</v>
      </c>
      <c r="C456" t="s">
        <v>17737</v>
      </c>
      <c r="D456" t="s">
        <v>14473</v>
      </c>
      <c r="E456" t="s">
        <v>17736</v>
      </c>
      <c r="F456" t="s">
        <v>17738</v>
      </c>
      <c r="G456" t="s">
        <v>17372</v>
      </c>
    </row>
    <row r="457" spans="1:7" x14ac:dyDescent="0.25">
      <c r="A457" t="s">
        <v>22</v>
      </c>
      <c r="B457" t="s">
        <v>17741</v>
      </c>
      <c r="C457" t="s">
        <v>17742</v>
      </c>
      <c r="D457" t="s">
        <v>14473</v>
      </c>
      <c r="E457" t="s">
        <v>17741</v>
      </c>
      <c r="F457" t="s">
        <v>17743</v>
      </c>
      <c r="G457" t="s">
        <v>17372</v>
      </c>
    </row>
    <row r="458" spans="1:7" x14ac:dyDescent="0.25">
      <c r="A458" t="s">
        <v>22</v>
      </c>
      <c r="B458" t="s">
        <v>17746</v>
      </c>
      <c r="C458" t="s">
        <v>17747</v>
      </c>
      <c r="D458" t="s">
        <v>14473</v>
      </c>
      <c r="E458" t="s">
        <v>17746</v>
      </c>
      <c r="F458" t="s">
        <v>17748</v>
      </c>
      <c r="G458" t="s">
        <v>17372</v>
      </c>
    </row>
    <row r="459" spans="1:7" x14ac:dyDescent="0.25">
      <c r="A459" t="s">
        <v>22</v>
      </c>
      <c r="B459" t="s">
        <v>17751</v>
      </c>
      <c r="C459" t="s">
        <v>17752</v>
      </c>
      <c r="D459" t="s">
        <v>14473</v>
      </c>
      <c r="E459" t="s">
        <v>17751</v>
      </c>
      <c r="F459" t="s">
        <v>17753</v>
      </c>
      <c r="G459" t="s">
        <v>17372</v>
      </c>
    </row>
    <row r="460" spans="1:7" x14ac:dyDescent="0.25">
      <c r="A460" t="s">
        <v>22</v>
      </c>
      <c r="B460" t="s">
        <v>17756</v>
      </c>
      <c r="C460" t="s">
        <v>17757</v>
      </c>
      <c r="D460" t="s">
        <v>14473</v>
      </c>
      <c r="E460" t="s">
        <v>17756</v>
      </c>
      <c r="F460" t="s">
        <v>17758</v>
      </c>
      <c r="G460" t="s">
        <v>17372</v>
      </c>
    </row>
    <row r="461" spans="1:7" x14ac:dyDescent="0.25">
      <c r="A461" t="s">
        <v>38</v>
      </c>
      <c r="B461" t="s">
        <v>17761</v>
      </c>
      <c r="C461" t="s">
        <v>17762</v>
      </c>
      <c r="D461" t="s">
        <v>14473</v>
      </c>
      <c r="E461" t="s">
        <v>17761</v>
      </c>
      <c r="F461" t="s">
        <v>17763</v>
      </c>
      <c r="G461" t="s">
        <v>17372</v>
      </c>
    </row>
    <row r="462" spans="1:7" x14ac:dyDescent="0.25">
      <c r="A462" t="s">
        <v>22</v>
      </c>
      <c r="B462" t="s">
        <v>17772</v>
      </c>
      <c r="C462" t="s">
        <v>17773</v>
      </c>
      <c r="D462" t="s">
        <v>14473</v>
      </c>
      <c r="E462" t="s">
        <v>17772</v>
      </c>
      <c r="F462" t="s">
        <v>17774</v>
      </c>
      <c r="G462" t="s">
        <v>17775</v>
      </c>
    </row>
    <row r="463" spans="1:7" x14ac:dyDescent="0.25">
      <c r="A463" t="s">
        <v>32</v>
      </c>
      <c r="B463" t="s">
        <v>17778</v>
      </c>
      <c r="C463" t="s">
        <v>17779</v>
      </c>
      <c r="D463" t="s">
        <v>14473</v>
      </c>
      <c r="E463" t="s">
        <v>17778</v>
      </c>
      <c r="F463" t="s">
        <v>17780</v>
      </c>
      <c r="G463" t="s">
        <v>17781</v>
      </c>
    </row>
    <row r="464" spans="1:7" x14ac:dyDescent="0.25">
      <c r="A464" t="s">
        <v>38</v>
      </c>
      <c r="B464" t="s">
        <v>17784</v>
      </c>
      <c r="C464" t="s">
        <v>17785</v>
      </c>
      <c r="D464" t="s">
        <v>14473</v>
      </c>
      <c r="E464" t="s">
        <v>17784</v>
      </c>
      <c r="F464" t="s">
        <v>17786</v>
      </c>
      <c r="G464" t="s">
        <v>17202</v>
      </c>
    </row>
    <row r="465" spans="1:7" x14ac:dyDescent="0.25">
      <c r="A465" t="s">
        <v>22</v>
      </c>
      <c r="B465" t="s">
        <v>17789</v>
      </c>
      <c r="C465" t="s">
        <v>17790</v>
      </c>
      <c r="D465" t="s">
        <v>14473</v>
      </c>
      <c r="E465" t="s">
        <v>17789</v>
      </c>
      <c r="F465" t="s">
        <v>17791</v>
      </c>
      <c r="G465" t="s">
        <v>17792</v>
      </c>
    </row>
    <row r="466" spans="1:7" x14ac:dyDescent="0.25">
      <c r="A466" t="s">
        <v>22</v>
      </c>
      <c r="B466" t="s">
        <v>17795</v>
      </c>
      <c r="C466" t="s">
        <v>17796</v>
      </c>
      <c r="D466" t="s">
        <v>14473</v>
      </c>
      <c r="E466" t="s">
        <v>17795</v>
      </c>
      <c r="F466" t="s">
        <v>17797</v>
      </c>
      <c r="G466" t="s">
        <v>17792</v>
      </c>
    </row>
    <row r="467" spans="1:7" x14ac:dyDescent="0.25">
      <c r="A467" t="s">
        <v>22</v>
      </c>
      <c r="B467" t="s">
        <v>17800</v>
      </c>
      <c r="C467" t="s">
        <v>17801</v>
      </c>
      <c r="D467" t="s">
        <v>14473</v>
      </c>
      <c r="E467" t="s">
        <v>17800</v>
      </c>
      <c r="F467" t="s">
        <v>17802</v>
      </c>
      <c r="G467" t="s">
        <v>17372</v>
      </c>
    </row>
    <row r="468" spans="1:7" x14ac:dyDescent="0.25">
      <c r="A468" t="s">
        <v>22</v>
      </c>
      <c r="B468" t="s">
        <v>17805</v>
      </c>
      <c r="C468" t="s">
        <v>17806</v>
      </c>
      <c r="D468" t="s">
        <v>14473</v>
      </c>
      <c r="E468" t="s">
        <v>17805</v>
      </c>
      <c r="F468" t="s">
        <v>17807</v>
      </c>
      <c r="G468" t="s">
        <v>17259</v>
      </c>
    </row>
    <row r="469" spans="1:7" x14ac:dyDescent="0.25">
      <c r="A469" t="s">
        <v>22</v>
      </c>
      <c r="B469" t="s">
        <v>17810</v>
      </c>
      <c r="C469" t="s">
        <v>17811</v>
      </c>
      <c r="D469" t="s">
        <v>14473</v>
      </c>
      <c r="E469" t="s">
        <v>17810</v>
      </c>
      <c r="F469" t="s">
        <v>17812</v>
      </c>
      <c r="G469" t="s">
        <v>17813</v>
      </c>
    </row>
    <row r="470" spans="1:7" x14ac:dyDescent="0.25">
      <c r="A470" t="s">
        <v>22</v>
      </c>
      <c r="B470" t="s">
        <v>17816</v>
      </c>
      <c r="C470" t="s">
        <v>17817</v>
      </c>
      <c r="D470" t="s">
        <v>14473</v>
      </c>
      <c r="E470" t="s">
        <v>17816</v>
      </c>
      <c r="F470" t="s">
        <v>17818</v>
      </c>
      <c r="G470" t="s">
        <v>17336</v>
      </c>
    </row>
    <row r="471" spans="1:7" x14ac:dyDescent="0.25">
      <c r="A471" t="s">
        <v>22</v>
      </c>
      <c r="B471" t="s">
        <v>17821</v>
      </c>
      <c r="C471" t="s">
        <v>17822</v>
      </c>
      <c r="D471" t="s">
        <v>14473</v>
      </c>
      <c r="E471" t="s">
        <v>17821</v>
      </c>
      <c r="F471" t="s">
        <v>17823</v>
      </c>
      <c r="G471" t="s">
        <v>17372</v>
      </c>
    </row>
    <row r="472" spans="1:7" x14ac:dyDescent="0.25">
      <c r="A472" t="s">
        <v>22</v>
      </c>
      <c r="B472" t="s">
        <v>17826</v>
      </c>
      <c r="C472" t="s">
        <v>17827</v>
      </c>
      <c r="D472" t="s">
        <v>14473</v>
      </c>
      <c r="E472" t="s">
        <v>17826</v>
      </c>
      <c r="F472" t="s">
        <v>17828</v>
      </c>
      <c r="G472" t="s">
        <v>17372</v>
      </c>
    </row>
    <row r="473" spans="1:7" x14ac:dyDescent="0.25">
      <c r="A473" t="s">
        <v>22</v>
      </c>
      <c r="B473" t="s">
        <v>17831</v>
      </c>
      <c r="C473" t="s">
        <v>17832</v>
      </c>
      <c r="D473" t="s">
        <v>14473</v>
      </c>
      <c r="E473" t="s">
        <v>17831</v>
      </c>
      <c r="F473" t="s">
        <v>17833</v>
      </c>
      <c r="G473" t="s">
        <v>17159</v>
      </c>
    </row>
    <row r="474" spans="1:7" x14ac:dyDescent="0.25">
      <c r="A474" t="s">
        <v>22</v>
      </c>
      <c r="B474" t="s">
        <v>17836</v>
      </c>
      <c r="C474" t="s">
        <v>17811</v>
      </c>
      <c r="D474" t="s">
        <v>14473</v>
      </c>
      <c r="E474" t="s">
        <v>17836</v>
      </c>
      <c r="F474" t="s">
        <v>17837</v>
      </c>
      <c r="G474" t="s">
        <v>17813</v>
      </c>
    </row>
    <row r="475" spans="1:7" x14ac:dyDescent="0.25">
      <c r="A475" t="s">
        <v>22</v>
      </c>
      <c r="B475" t="s">
        <v>17840</v>
      </c>
      <c r="C475" t="s">
        <v>17841</v>
      </c>
      <c r="D475" t="s">
        <v>14473</v>
      </c>
      <c r="E475" t="s">
        <v>17840</v>
      </c>
      <c r="F475" t="s">
        <v>17842</v>
      </c>
      <c r="G475" t="s">
        <v>17372</v>
      </c>
    </row>
    <row r="476" spans="1:7" x14ac:dyDescent="0.25">
      <c r="A476" t="s">
        <v>22</v>
      </c>
      <c r="B476" t="s">
        <v>17845</v>
      </c>
      <c r="C476" t="s">
        <v>17796</v>
      </c>
      <c r="D476" t="s">
        <v>14473</v>
      </c>
      <c r="E476" t="s">
        <v>17845</v>
      </c>
      <c r="F476" t="s">
        <v>17846</v>
      </c>
      <c r="G476" t="s">
        <v>17792</v>
      </c>
    </row>
    <row r="477" spans="1:7" x14ac:dyDescent="0.25">
      <c r="A477" t="s">
        <v>22</v>
      </c>
      <c r="B477" t="s">
        <v>17849</v>
      </c>
      <c r="C477" t="s">
        <v>17850</v>
      </c>
      <c r="D477" t="s">
        <v>14473</v>
      </c>
      <c r="E477" t="s">
        <v>17849</v>
      </c>
      <c r="F477" t="s">
        <v>17851</v>
      </c>
      <c r="G477" t="s">
        <v>17372</v>
      </c>
    </row>
    <row r="478" spans="1:7" x14ac:dyDescent="0.25">
      <c r="A478" t="s">
        <v>22</v>
      </c>
      <c r="B478" t="s">
        <v>17854</v>
      </c>
      <c r="C478" t="s">
        <v>17855</v>
      </c>
      <c r="D478" t="s">
        <v>14473</v>
      </c>
      <c r="E478" t="s">
        <v>17854</v>
      </c>
      <c r="F478" t="s">
        <v>17856</v>
      </c>
      <c r="G478" t="s">
        <v>17286</v>
      </c>
    </row>
    <row r="479" spans="1:7" x14ac:dyDescent="0.25">
      <c r="A479" t="s">
        <v>22</v>
      </c>
      <c r="B479" t="s">
        <v>17859</v>
      </c>
      <c r="C479" t="s">
        <v>17860</v>
      </c>
      <c r="D479" t="s">
        <v>14473</v>
      </c>
      <c r="E479" t="s">
        <v>17859</v>
      </c>
      <c r="F479" t="s">
        <v>17861</v>
      </c>
      <c r="G479" t="s">
        <v>17724</v>
      </c>
    </row>
    <row r="480" spans="1:7" x14ac:dyDescent="0.25">
      <c r="A480" t="s">
        <v>22</v>
      </c>
      <c r="B480" t="s">
        <v>17864</v>
      </c>
      <c r="C480" t="s">
        <v>17865</v>
      </c>
      <c r="D480" t="s">
        <v>14473</v>
      </c>
      <c r="E480" t="s">
        <v>17864</v>
      </c>
      <c r="F480" t="s">
        <v>17866</v>
      </c>
      <c r="G480" t="s">
        <v>17813</v>
      </c>
    </row>
    <row r="481" spans="1:7" x14ac:dyDescent="0.25">
      <c r="A481" t="s">
        <v>22</v>
      </c>
      <c r="B481" t="s">
        <v>17869</v>
      </c>
      <c r="C481" t="s">
        <v>17870</v>
      </c>
      <c r="D481" t="s">
        <v>14473</v>
      </c>
      <c r="E481" t="s">
        <v>17869</v>
      </c>
      <c r="F481" t="s">
        <v>17871</v>
      </c>
      <c r="G481" t="s">
        <v>17313</v>
      </c>
    </row>
    <row r="482" spans="1:7" x14ac:dyDescent="0.25">
      <c r="A482" t="s">
        <v>22</v>
      </c>
      <c r="B482" t="s">
        <v>17874</v>
      </c>
      <c r="C482" t="s">
        <v>17875</v>
      </c>
      <c r="D482" t="s">
        <v>14473</v>
      </c>
      <c r="E482" t="s">
        <v>17874</v>
      </c>
      <c r="F482" t="s">
        <v>17876</v>
      </c>
      <c r="G482" t="s">
        <v>17372</v>
      </c>
    </row>
    <row r="483" spans="1:7" x14ac:dyDescent="0.25">
      <c r="A483" t="s">
        <v>22</v>
      </c>
      <c r="B483" t="s">
        <v>17879</v>
      </c>
      <c r="C483" t="s">
        <v>17880</v>
      </c>
      <c r="D483" t="s">
        <v>14473</v>
      </c>
      <c r="E483" t="s">
        <v>17879</v>
      </c>
      <c r="F483" t="s">
        <v>17881</v>
      </c>
      <c r="G483" t="s">
        <v>17372</v>
      </c>
    </row>
    <row r="484" spans="1:7" x14ac:dyDescent="0.25">
      <c r="A484" t="s">
        <v>22</v>
      </c>
      <c r="B484" t="s">
        <v>17884</v>
      </c>
      <c r="C484" t="s">
        <v>17707</v>
      </c>
      <c r="D484" t="s">
        <v>14473</v>
      </c>
      <c r="E484" t="s">
        <v>17884</v>
      </c>
      <c r="F484" t="s">
        <v>17885</v>
      </c>
      <c r="G484" t="s">
        <v>17165</v>
      </c>
    </row>
    <row r="485" spans="1:7" x14ac:dyDescent="0.25">
      <c r="A485" t="s">
        <v>22</v>
      </c>
      <c r="B485" t="s">
        <v>17888</v>
      </c>
      <c r="C485" t="s">
        <v>17889</v>
      </c>
      <c r="D485" t="s">
        <v>14473</v>
      </c>
      <c r="E485" t="s">
        <v>17888</v>
      </c>
      <c r="F485" t="s">
        <v>17890</v>
      </c>
      <c r="G485" t="s">
        <v>17165</v>
      </c>
    </row>
    <row r="486" spans="1:7" x14ac:dyDescent="0.25">
      <c r="A486" t="s">
        <v>22</v>
      </c>
      <c r="B486" t="s">
        <v>17893</v>
      </c>
      <c r="C486" t="s">
        <v>17894</v>
      </c>
      <c r="D486" t="s">
        <v>14473</v>
      </c>
      <c r="E486" t="s">
        <v>17893</v>
      </c>
      <c r="F486" t="s">
        <v>17895</v>
      </c>
      <c r="G486" t="s">
        <v>17689</v>
      </c>
    </row>
    <row r="487" spans="1:7" x14ac:dyDescent="0.25">
      <c r="A487" t="s">
        <v>22</v>
      </c>
      <c r="B487" t="s">
        <v>17898</v>
      </c>
      <c r="C487" t="s">
        <v>17779</v>
      </c>
      <c r="D487" t="s">
        <v>14473</v>
      </c>
      <c r="E487" t="s">
        <v>17898</v>
      </c>
      <c r="F487" t="s">
        <v>17899</v>
      </c>
      <c r="G487" t="s">
        <v>17781</v>
      </c>
    </row>
    <row r="488" spans="1:7" x14ac:dyDescent="0.25">
      <c r="A488" t="s">
        <v>22</v>
      </c>
      <c r="B488" t="s">
        <v>17902</v>
      </c>
      <c r="C488" t="s">
        <v>17903</v>
      </c>
      <c r="D488" t="s">
        <v>14473</v>
      </c>
      <c r="E488" t="s">
        <v>17902</v>
      </c>
      <c r="F488" t="s">
        <v>17904</v>
      </c>
      <c r="G488" t="s">
        <v>17159</v>
      </c>
    </row>
    <row r="489" spans="1:7" x14ac:dyDescent="0.25">
      <c r="A489" t="s">
        <v>22</v>
      </c>
      <c r="B489" t="s">
        <v>17907</v>
      </c>
      <c r="C489" t="s">
        <v>17908</v>
      </c>
      <c r="D489" t="s">
        <v>14473</v>
      </c>
      <c r="E489" t="s">
        <v>17907</v>
      </c>
      <c r="F489" t="s">
        <v>17909</v>
      </c>
      <c r="G489" t="s">
        <v>17372</v>
      </c>
    </row>
    <row r="490" spans="1:7" x14ac:dyDescent="0.25">
      <c r="A490" t="s">
        <v>22</v>
      </c>
      <c r="B490" t="s">
        <v>17912</v>
      </c>
      <c r="C490" t="s">
        <v>17407</v>
      </c>
      <c r="D490" t="s">
        <v>14473</v>
      </c>
      <c r="E490" t="s">
        <v>17912</v>
      </c>
      <c r="F490" t="s">
        <v>17913</v>
      </c>
      <c r="G490" t="s">
        <v>17409</v>
      </c>
    </row>
    <row r="491" spans="1:7" x14ac:dyDescent="0.25">
      <c r="A491" t="s">
        <v>22</v>
      </c>
      <c r="B491" t="s">
        <v>17916</v>
      </c>
      <c r="C491" t="s">
        <v>17917</v>
      </c>
      <c r="D491" t="s">
        <v>14473</v>
      </c>
      <c r="E491" t="s">
        <v>17916</v>
      </c>
      <c r="F491" t="s">
        <v>17918</v>
      </c>
      <c r="G491" t="s">
        <v>17724</v>
      </c>
    </row>
    <row r="492" spans="1:7" x14ac:dyDescent="0.25">
      <c r="A492" t="s">
        <v>22</v>
      </c>
      <c r="B492" t="s">
        <v>17921</v>
      </c>
      <c r="C492" t="s">
        <v>17922</v>
      </c>
      <c r="D492" t="s">
        <v>14473</v>
      </c>
      <c r="E492" t="s">
        <v>17921</v>
      </c>
      <c r="F492" t="s">
        <v>17923</v>
      </c>
      <c r="G492" t="s">
        <v>17924</v>
      </c>
    </row>
    <row r="493" spans="1:7" x14ac:dyDescent="0.25">
      <c r="A493" t="s">
        <v>32</v>
      </c>
      <c r="B493" t="s">
        <v>17927</v>
      </c>
      <c r="C493" t="s">
        <v>17928</v>
      </c>
      <c r="D493" t="s">
        <v>14473</v>
      </c>
      <c r="E493" t="s">
        <v>17927</v>
      </c>
      <c r="F493" t="s">
        <v>17929</v>
      </c>
      <c r="G493" t="s">
        <v>17724</v>
      </c>
    </row>
    <row r="494" spans="1:7" x14ac:dyDescent="0.25">
      <c r="A494" t="s">
        <v>22</v>
      </c>
      <c r="B494" t="s">
        <v>17932</v>
      </c>
      <c r="C494" t="s">
        <v>17687</v>
      </c>
      <c r="D494" t="s">
        <v>14473</v>
      </c>
      <c r="E494" t="s">
        <v>17932</v>
      </c>
      <c r="F494" t="s">
        <v>17933</v>
      </c>
      <c r="G494" t="s">
        <v>17689</v>
      </c>
    </row>
    <row r="495" spans="1:7" x14ac:dyDescent="0.25">
      <c r="A495" t="s">
        <v>22</v>
      </c>
      <c r="B495" t="s">
        <v>17936</v>
      </c>
      <c r="C495" t="s">
        <v>17937</v>
      </c>
      <c r="D495" t="s">
        <v>14473</v>
      </c>
      <c r="E495" t="s">
        <v>17936</v>
      </c>
      <c r="F495" t="s">
        <v>17938</v>
      </c>
      <c r="G495" t="s">
        <v>17724</v>
      </c>
    </row>
    <row r="496" spans="1:7" x14ac:dyDescent="0.25">
      <c r="A496" t="s">
        <v>22</v>
      </c>
      <c r="B496" t="s">
        <v>17941</v>
      </c>
      <c r="C496" t="s">
        <v>17942</v>
      </c>
      <c r="D496" t="s">
        <v>14473</v>
      </c>
      <c r="E496" t="s">
        <v>17941</v>
      </c>
      <c r="F496" t="s">
        <v>17943</v>
      </c>
      <c r="G496" t="s">
        <v>17781</v>
      </c>
    </row>
    <row r="497" spans="1:7" x14ac:dyDescent="0.25">
      <c r="A497" t="s">
        <v>22</v>
      </c>
      <c r="B497" t="s">
        <v>17946</v>
      </c>
      <c r="C497" t="s">
        <v>17947</v>
      </c>
      <c r="D497" t="s">
        <v>14473</v>
      </c>
      <c r="E497" t="s">
        <v>17946</v>
      </c>
      <c r="F497" t="s">
        <v>17948</v>
      </c>
      <c r="G497" t="s">
        <v>17286</v>
      </c>
    </row>
    <row r="498" spans="1:7" x14ac:dyDescent="0.25">
      <c r="A498" t="s">
        <v>22</v>
      </c>
      <c r="B498" t="s">
        <v>17951</v>
      </c>
      <c r="C498" t="s">
        <v>17952</v>
      </c>
      <c r="D498" t="s">
        <v>14473</v>
      </c>
      <c r="E498" t="s">
        <v>17951</v>
      </c>
      <c r="F498" t="s">
        <v>17953</v>
      </c>
      <c r="G498" t="s">
        <v>17769</v>
      </c>
    </row>
    <row r="499" spans="1:7" x14ac:dyDescent="0.25">
      <c r="A499" t="s">
        <v>22</v>
      </c>
      <c r="B499" t="s">
        <v>17956</v>
      </c>
      <c r="C499" t="s">
        <v>17957</v>
      </c>
      <c r="D499" t="s">
        <v>14473</v>
      </c>
      <c r="E499" t="s">
        <v>17956</v>
      </c>
      <c r="F499" t="s">
        <v>17958</v>
      </c>
      <c r="G499" t="s">
        <v>17372</v>
      </c>
    </row>
    <row r="500" spans="1:7" x14ac:dyDescent="0.25">
      <c r="A500" t="s">
        <v>22</v>
      </c>
      <c r="B500" t="s">
        <v>17961</v>
      </c>
      <c r="C500" t="s">
        <v>17962</v>
      </c>
      <c r="D500" t="s">
        <v>14473</v>
      </c>
      <c r="E500" t="s">
        <v>17961</v>
      </c>
      <c r="F500" t="s">
        <v>17963</v>
      </c>
      <c r="G500" t="s">
        <v>17372</v>
      </c>
    </row>
    <row r="501" spans="1:7" x14ac:dyDescent="0.25">
      <c r="A501" t="s">
        <v>38</v>
      </c>
      <c r="B501" t="s">
        <v>17966</v>
      </c>
      <c r="C501" t="s">
        <v>17967</v>
      </c>
      <c r="D501" t="s">
        <v>14473</v>
      </c>
      <c r="E501" t="s">
        <v>17966</v>
      </c>
      <c r="F501" t="s">
        <v>17968</v>
      </c>
      <c r="G501" t="s">
        <v>17775</v>
      </c>
    </row>
    <row r="502" spans="1:7" x14ac:dyDescent="0.25">
      <c r="A502" t="s">
        <v>38</v>
      </c>
      <c r="B502" t="s">
        <v>17971</v>
      </c>
      <c r="C502" t="s">
        <v>17972</v>
      </c>
      <c r="D502" t="s">
        <v>14473</v>
      </c>
      <c r="E502" t="s">
        <v>17971</v>
      </c>
      <c r="F502" t="s">
        <v>17973</v>
      </c>
      <c r="G502" t="s">
        <v>17792</v>
      </c>
    </row>
    <row r="503" spans="1:7" x14ac:dyDescent="0.25">
      <c r="A503" t="s">
        <v>22</v>
      </c>
      <c r="B503" t="s">
        <v>17976</v>
      </c>
      <c r="C503" t="s">
        <v>17977</v>
      </c>
      <c r="D503" t="s">
        <v>14473</v>
      </c>
      <c r="E503" t="s">
        <v>17976</v>
      </c>
      <c r="F503" t="s">
        <v>17978</v>
      </c>
      <c r="G503" t="s">
        <v>17372</v>
      </c>
    </row>
    <row r="504" spans="1:7" x14ac:dyDescent="0.25">
      <c r="A504" t="s">
        <v>22</v>
      </c>
      <c r="B504" t="s">
        <v>17981</v>
      </c>
      <c r="C504" t="s">
        <v>17982</v>
      </c>
      <c r="D504" t="s">
        <v>14473</v>
      </c>
      <c r="E504" t="s">
        <v>17981</v>
      </c>
      <c r="F504" t="s">
        <v>17983</v>
      </c>
      <c r="G504" t="s">
        <v>17393</v>
      </c>
    </row>
    <row r="505" spans="1:7" x14ac:dyDescent="0.25">
      <c r="A505" t="s">
        <v>22</v>
      </c>
      <c r="B505" t="s">
        <v>17986</v>
      </c>
      <c r="C505" t="s">
        <v>17987</v>
      </c>
      <c r="D505" t="s">
        <v>14473</v>
      </c>
      <c r="E505" t="s">
        <v>17986</v>
      </c>
      <c r="F505" t="s">
        <v>17988</v>
      </c>
      <c r="G505" t="s">
        <v>17781</v>
      </c>
    </row>
    <row r="506" spans="1:7" x14ac:dyDescent="0.25">
      <c r="A506" t="s">
        <v>22</v>
      </c>
      <c r="B506" t="s">
        <v>17991</v>
      </c>
      <c r="C506" t="s">
        <v>17992</v>
      </c>
      <c r="D506" t="s">
        <v>14473</v>
      </c>
      <c r="E506" t="s">
        <v>17991</v>
      </c>
      <c r="F506" t="s">
        <v>17993</v>
      </c>
      <c r="G506" t="s">
        <v>17372</v>
      </c>
    </row>
    <row r="507" spans="1:7" x14ac:dyDescent="0.25">
      <c r="A507" t="s">
        <v>22</v>
      </c>
      <c r="B507" t="s">
        <v>17996</v>
      </c>
      <c r="C507" t="s">
        <v>17997</v>
      </c>
      <c r="D507" t="s">
        <v>14473</v>
      </c>
      <c r="E507" t="s">
        <v>17996</v>
      </c>
      <c r="F507" t="s">
        <v>17998</v>
      </c>
      <c r="G507" t="s">
        <v>17924</v>
      </c>
    </row>
    <row r="508" spans="1:7" x14ac:dyDescent="0.25">
      <c r="A508" t="s">
        <v>22</v>
      </c>
      <c r="B508" t="s">
        <v>18001</v>
      </c>
      <c r="C508" t="s">
        <v>18002</v>
      </c>
      <c r="D508" t="s">
        <v>14473</v>
      </c>
      <c r="E508" t="s">
        <v>18001</v>
      </c>
      <c r="F508" t="s">
        <v>18003</v>
      </c>
      <c r="G508" t="s">
        <v>17159</v>
      </c>
    </row>
    <row r="509" spans="1:7" x14ac:dyDescent="0.25">
      <c r="A509" t="s">
        <v>22</v>
      </c>
      <c r="B509" t="s">
        <v>18006</v>
      </c>
      <c r="C509" t="s">
        <v>17481</v>
      </c>
      <c r="D509" t="s">
        <v>14473</v>
      </c>
      <c r="E509" t="s">
        <v>18006</v>
      </c>
      <c r="F509" t="s">
        <v>18007</v>
      </c>
      <c r="G509" t="s">
        <v>17419</v>
      </c>
    </row>
    <row r="510" spans="1:7" x14ac:dyDescent="0.25">
      <c r="A510" t="s">
        <v>22</v>
      </c>
      <c r="B510" t="s">
        <v>18010</v>
      </c>
      <c r="C510" t="s">
        <v>18011</v>
      </c>
      <c r="D510" t="s">
        <v>14473</v>
      </c>
      <c r="E510" t="s">
        <v>18010</v>
      </c>
      <c r="F510" t="s">
        <v>18012</v>
      </c>
      <c r="G510" t="s">
        <v>17781</v>
      </c>
    </row>
    <row r="511" spans="1:7" x14ac:dyDescent="0.25">
      <c r="A511" t="s">
        <v>22</v>
      </c>
      <c r="B511" t="s">
        <v>18015</v>
      </c>
      <c r="C511" t="s">
        <v>17811</v>
      </c>
      <c r="D511" t="s">
        <v>14473</v>
      </c>
      <c r="E511" t="s">
        <v>18015</v>
      </c>
      <c r="F511" t="s">
        <v>18016</v>
      </c>
      <c r="G511" t="s">
        <v>17813</v>
      </c>
    </row>
    <row r="512" spans="1:7" x14ac:dyDescent="0.25">
      <c r="A512" t="s">
        <v>22</v>
      </c>
      <c r="B512" t="s">
        <v>18019</v>
      </c>
      <c r="C512" t="s">
        <v>18020</v>
      </c>
      <c r="D512" t="s">
        <v>14473</v>
      </c>
      <c r="E512" t="s">
        <v>18019</v>
      </c>
      <c r="F512" t="s">
        <v>18021</v>
      </c>
      <c r="G512" t="s">
        <v>17724</v>
      </c>
    </row>
    <row r="513" spans="1:7" x14ac:dyDescent="0.25">
      <c r="A513" t="s">
        <v>22</v>
      </c>
      <c r="B513" t="s">
        <v>17658</v>
      </c>
      <c r="C513" t="s">
        <v>18024</v>
      </c>
      <c r="D513" t="s">
        <v>14473</v>
      </c>
      <c r="E513" t="s">
        <v>17658</v>
      </c>
      <c r="F513" t="s">
        <v>18025</v>
      </c>
      <c r="G513" t="s">
        <v>17781</v>
      </c>
    </row>
    <row r="514" spans="1:7" x14ac:dyDescent="0.25">
      <c r="A514" t="s">
        <v>22</v>
      </c>
      <c r="B514" t="s">
        <v>18028</v>
      </c>
      <c r="C514" t="s">
        <v>18029</v>
      </c>
      <c r="D514" t="s">
        <v>14473</v>
      </c>
      <c r="E514" t="s">
        <v>18028</v>
      </c>
      <c r="F514" t="s">
        <v>18030</v>
      </c>
      <c r="G514" t="s">
        <v>17270</v>
      </c>
    </row>
    <row r="515" spans="1:7" x14ac:dyDescent="0.25">
      <c r="A515" t="s">
        <v>22</v>
      </c>
      <c r="B515" t="s">
        <v>18033</v>
      </c>
      <c r="C515" t="s">
        <v>18034</v>
      </c>
      <c r="D515" t="s">
        <v>14473</v>
      </c>
      <c r="E515" t="s">
        <v>18033</v>
      </c>
      <c r="F515" t="s">
        <v>18035</v>
      </c>
      <c r="G515" t="s">
        <v>17781</v>
      </c>
    </row>
    <row r="516" spans="1:7" x14ac:dyDescent="0.25">
      <c r="A516" t="s">
        <v>22</v>
      </c>
      <c r="B516" t="s">
        <v>18038</v>
      </c>
      <c r="C516" t="s">
        <v>18039</v>
      </c>
      <c r="D516" t="s">
        <v>14473</v>
      </c>
      <c r="E516" t="s">
        <v>18038</v>
      </c>
      <c r="F516" t="s">
        <v>18040</v>
      </c>
      <c r="G516" t="s">
        <v>17159</v>
      </c>
    </row>
    <row r="517" spans="1:7" x14ac:dyDescent="0.25">
      <c r="A517" t="s">
        <v>22</v>
      </c>
      <c r="B517" t="s">
        <v>18043</v>
      </c>
      <c r="C517" t="s">
        <v>18044</v>
      </c>
      <c r="D517" t="s">
        <v>14473</v>
      </c>
      <c r="E517" t="s">
        <v>18043</v>
      </c>
      <c r="F517" t="s">
        <v>18045</v>
      </c>
      <c r="G517" t="s">
        <v>17562</v>
      </c>
    </row>
    <row r="518" spans="1:7" x14ac:dyDescent="0.25">
      <c r="A518" t="s">
        <v>38</v>
      </c>
      <c r="B518" t="s">
        <v>18048</v>
      </c>
      <c r="C518" t="s">
        <v>17937</v>
      </c>
      <c r="D518" t="s">
        <v>14473</v>
      </c>
      <c r="E518" t="s">
        <v>18048</v>
      </c>
      <c r="F518" t="s">
        <v>18049</v>
      </c>
      <c r="G518" t="s">
        <v>17724</v>
      </c>
    </row>
    <row r="519" spans="1:7" x14ac:dyDescent="0.25">
      <c r="A519" t="s">
        <v>22</v>
      </c>
      <c r="B519" t="s">
        <v>18052</v>
      </c>
      <c r="C519" t="s">
        <v>18053</v>
      </c>
      <c r="D519" t="s">
        <v>14473</v>
      </c>
      <c r="E519" t="s">
        <v>18052</v>
      </c>
      <c r="F519" t="s">
        <v>18054</v>
      </c>
      <c r="G519" t="s">
        <v>17165</v>
      </c>
    </row>
    <row r="520" spans="1:7" x14ac:dyDescent="0.25">
      <c r="A520" t="s">
        <v>22</v>
      </c>
      <c r="B520" t="s">
        <v>18057</v>
      </c>
      <c r="C520" t="s">
        <v>17165</v>
      </c>
      <c r="D520" t="s">
        <v>14473</v>
      </c>
      <c r="E520" t="s">
        <v>18057</v>
      </c>
      <c r="F520" t="s">
        <v>18058</v>
      </c>
      <c r="G520" t="s">
        <v>17165</v>
      </c>
    </row>
    <row r="521" spans="1:7" x14ac:dyDescent="0.25">
      <c r="A521" t="s">
        <v>22</v>
      </c>
      <c r="B521" t="s">
        <v>18061</v>
      </c>
      <c r="C521" t="s">
        <v>18062</v>
      </c>
      <c r="D521" t="s">
        <v>14473</v>
      </c>
      <c r="E521" t="s">
        <v>18061</v>
      </c>
      <c r="F521" t="s">
        <v>18063</v>
      </c>
      <c r="G521" t="s">
        <v>18064</v>
      </c>
    </row>
    <row r="522" spans="1:7" x14ac:dyDescent="0.25">
      <c r="A522" t="s">
        <v>22</v>
      </c>
      <c r="B522" t="s">
        <v>18067</v>
      </c>
      <c r="C522" t="s">
        <v>18068</v>
      </c>
      <c r="D522" t="s">
        <v>14473</v>
      </c>
      <c r="E522" t="s">
        <v>18067</v>
      </c>
      <c r="F522" t="s">
        <v>18069</v>
      </c>
      <c r="G522" t="s">
        <v>17366</v>
      </c>
    </row>
    <row r="523" spans="1:7" x14ac:dyDescent="0.25">
      <c r="A523" t="s">
        <v>22</v>
      </c>
      <c r="B523" t="s">
        <v>18072</v>
      </c>
      <c r="C523" t="s">
        <v>18073</v>
      </c>
      <c r="D523" t="s">
        <v>14473</v>
      </c>
      <c r="E523" t="s">
        <v>18072</v>
      </c>
      <c r="F523" t="s">
        <v>18074</v>
      </c>
      <c r="G523" t="s">
        <v>17792</v>
      </c>
    </row>
    <row r="524" spans="1:7" x14ac:dyDescent="0.25">
      <c r="A524" t="s">
        <v>32</v>
      </c>
      <c r="B524" t="s">
        <v>18077</v>
      </c>
      <c r="C524" t="s">
        <v>18078</v>
      </c>
      <c r="D524" t="s">
        <v>14473</v>
      </c>
      <c r="E524" t="s">
        <v>18077</v>
      </c>
      <c r="F524" t="s">
        <v>18079</v>
      </c>
      <c r="G524" t="s">
        <v>17724</v>
      </c>
    </row>
    <row r="525" spans="1:7" x14ac:dyDescent="0.25">
      <c r="A525" t="s">
        <v>38</v>
      </c>
      <c r="B525" t="s">
        <v>18082</v>
      </c>
      <c r="C525" t="s">
        <v>18083</v>
      </c>
      <c r="D525" t="s">
        <v>14473</v>
      </c>
      <c r="E525" t="s">
        <v>18082</v>
      </c>
      <c r="F525" t="s">
        <v>18084</v>
      </c>
      <c r="G525" t="s">
        <v>9074</v>
      </c>
    </row>
    <row r="526" spans="1:7" x14ac:dyDescent="0.25">
      <c r="A526" t="s">
        <v>22</v>
      </c>
      <c r="B526" t="s">
        <v>18087</v>
      </c>
      <c r="C526" t="s">
        <v>18087</v>
      </c>
      <c r="D526" t="s">
        <v>14473</v>
      </c>
      <c r="E526" t="s">
        <v>18087</v>
      </c>
      <c r="F526" t="s">
        <v>18088</v>
      </c>
      <c r="G526" t="s">
        <v>17286</v>
      </c>
    </row>
    <row r="527" spans="1:7" x14ac:dyDescent="0.25">
      <c r="A527" t="s">
        <v>32</v>
      </c>
      <c r="B527" t="s">
        <v>18091</v>
      </c>
      <c r="C527" t="s">
        <v>17274</v>
      </c>
      <c r="D527" t="s">
        <v>14473</v>
      </c>
      <c r="E527" t="s">
        <v>18091</v>
      </c>
      <c r="F527" t="s">
        <v>18092</v>
      </c>
      <c r="G527" t="s">
        <v>17165</v>
      </c>
    </row>
    <row r="528" spans="1:7" x14ac:dyDescent="0.25">
      <c r="A528" t="s">
        <v>22</v>
      </c>
      <c r="B528" t="s">
        <v>18095</v>
      </c>
      <c r="C528" t="s">
        <v>18096</v>
      </c>
      <c r="D528" t="s">
        <v>14473</v>
      </c>
      <c r="E528" t="s">
        <v>18095</v>
      </c>
      <c r="F528" t="s">
        <v>18097</v>
      </c>
      <c r="G528" t="s">
        <v>17781</v>
      </c>
    </row>
    <row r="529" spans="1:7" x14ac:dyDescent="0.25">
      <c r="A529" t="s">
        <v>22</v>
      </c>
      <c r="B529" t="s">
        <v>18100</v>
      </c>
      <c r="C529" t="s">
        <v>18101</v>
      </c>
      <c r="D529" t="s">
        <v>14473</v>
      </c>
      <c r="E529" t="s">
        <v>18100</v>
      </c>
      <c r="F529" t="s">
        <v>18102</v>
      </c>
      <c r="G529" t="s">
        <v>17620</v>
      </c>
    </row>
    <row r="530" spans="1:7" x14ac:dyDescent="0.25">
      <c r="A530" t="s">
        <v>38</v>
      </c>
      <c r="B530" t="s">
        <v>18105</v>
      </c>
      <c r="C530" t="s">
        <v>18106</v>
      </c>
      <c r="D530" t="s">
        <v>14473</v>
      </c>
      <c r="E530" t="s">
        <v>18105</v>
      </c>
      <c r="F530" t="s">
        <v>18107</v>
      </c>
      <c r="G530" t="s">
        <v>17313</v>
      </c>
    </row>
    <row r="531" spans="1:7" x14ac:dyDescent="0.25">
      <c r="A531" t="s">
        <v>22</v>
      </c>
      <c r="B531" t="s">
        <v>1225</v>
      </c>
      <c r="C531" t="s">
        <v>18110</v>
      </c>
      <c r="D531" t="s">
        <v>14473</v>
      </c>
      <c r="E531" t="s">
        <v>1225</v>
      </c>
      <c r="F531" t="s">
        <v>18111</v>
      </c>
      <c r="G531" t="s">
        <v>17313</v>
      </c>
    </row>
    <row r="532" spans="1:7" x14ac:dyDescent="0.25">
      <c r="A532" t="s">
        <v>22</v>
      </c>
      <c r="B532" t="s">
        <v>18114</v>
      </c>
      <c r="C532" t="s">
        <v>18115</v>
      </c>
      <c r="D532" t="s">
        <v>14473</v>
      </c>
      <c r="E532" t="s">
        <v>18114</v>
      </c>
      <c r="F532" t="s">
        <v>18116</v>
      </c>
      <c r="G532" t="s">
        <v>9074</v>
      </c>
    </row>
    <row r="533" spans="1:7" x14ac:dyDescent="0.25">
      <c r="A533" t="s">
        <v>22</v>
      </c>
      <c r="B533" t="s">
        <v>18119</v>
      </c>
      <c r="C533" t="s">
        <v>18120</v>
      </c>
      <c r="D533" t="s">
        <v>14473</v>
      </c>
      <c r="E533" t="s">
        <v>18119</v>
      </c>
      <c r="F533" t="s">
        <v>18121</v>
      </c>
      <c r="G533" t="s">
        <v>17620</v>
      </c>
    </row>
    <row r="534" spans="1:7" x14ac:dyDescent="0.25">
      <c r="A534" t="s">
        <v>22</v>
      </c>
      <c r="B534" t="s">
        <v>18124</v>
      </c>
      <c r="C534" t="s">
        <v>18125</v>
      </c>
      <c r="D534" t="s">
        <v>14473</v>
      </c>
      <c r="E534" t="s">
        <v>18124</v>
      </c>
      <c r="F534" t="s">
        <v>18126</v>
      </c>
      <c r="G534" t="s">
        <v>17724</v>
      </c>
    </row>
    <row r="535" spans="1:7" x14ac:dyDescent="0.25">
      <c r="A535" t="s">
        <v>22</v>
      </c>
      <c r="B535" t="s">
        <v>8683</v>
      </c>
      <c r="C535" t="s">
        <v>6166</v>
      </c>
      <c r="D535" t="s">
        <v>14473</v>
      </c>
      <c r="E535" t="s">
        <v>8683</v>
      </c>
      <c r="F535" t="s">
        <v>18129</v>
      </c>
      <c r="G535" t="s">
        <v>17202</v>
      </c>
    </row>
    <row r="536" spans="1:7" x14ac:dyDescent="0.25">
      <c r="A536" t="s">
        <v>22</v>
      </c>
      <c r="B536" t="s">
        <v>18132</v>
      </c>
      <c r="C536" t="s">
        <v>17555</v>
      </c>
      <c r="D536" t="s">
        <v>14473</v>
      </c>
      <c r="E536" t="s">
        <v>18132</v>
      </c>
      <c r="F536" t="s">
        <v>18133</v>
      </c>
      <c r="G536" t="s">
        <v>17924</v>
      </c>
    </row>
    <row r="537" spans="1:7" x14ac:dyDescent="0.25">
      <c r="A537" t="s">
        <v>22</v>
      </c>
      <c r="B537" t="s">
        <v>18136</v>
      </c>
      <c r="C537" t="s">
        <v>18137</v>
      </c>
      <c r="D537" t="s">
        <v>14473</v>
      </c>
      <c r="E537" t="s">
        <v>18136</v>
      </c>
      <c r="F537" t="s">
        <v>18138</v>
      </c>
      <c r="G537" t="s">
        <v>17792</v>
      </c>
    </row>
    <row r="538" spans="1:7" x14ac:dyDescent="0.25">
      <c r="A538" t="s">
        <v>22</v>
      </c>
      <c r="B538" t="s">
        <v>18141</v>
      </c>
      <c r="C538" t="s">
        <v>17737</v>
      </c>
      <c r="D538" t="s">
        <v>14473</v>
      </c>
      <c r="E538" t="s">
        <v>18141</v>
      </c>
      <c r="F538" t="s">
        <v>18142</v>
      </c>
      <c r="G538" t="s">
        <v>17372</v>
      </c>
    </row>
    <row r="539" spans="1:7" x14ac:dyDescent="0.25">
      <c r="A539" t="s">
        <v>32</v>
      </c>
      <c r="B539" t="s">
        <v>18145</v>
      </c>
      <c r="C539" t="s">
        <v>18146</v>
      </c>
      <c r="D539" t="s">
        <v>14473</v>
      </c>
      <c r="E539" t="s">
        <v>18145</v>
      </c>
      <c r="F539" t="s">
        <v>18145</v>
      </c>
      <c r="G539" t="s">
        <v>18147</v>
      </c>
    </row>
    <row r="540" spans="1:7" x14ac:dyDescent="0.25">
      <c r="A540" t="s">
        <v>22</v>
      </c>
      <c r="B540" t="s">
        <v>18150</v>
      </c>
      <c r="C540" t="s">
        <v>18151</v>
      </c>
      <c r="D540" t="s">
        <v>14473</v>
      </c>
      <c r="E540" t="s">
        <v>18150</v>
      </c>
      <c r="F540" t="s">
        <v>18152</v>
      </c>
      <c r="G540" t="s">
        <v>17372</v>
      </c>
    </row>
    <row r="541" spans="1:7" x14ac:dyDescent="0.25">
      <c r="A541" t="s">
        <v>22</v>
      </c>
      <c r="B541" t="s">
        <v>18155</v>
      </c>
      <c r="C541" t="s">
        <v>18156</v>
      </c>
      <c r="D541" t="s">
        <v>14473</v>
      </c>
      <c r="E541" t="s">
        <v>18155</v>
      </c>
      <c r="F541" t="s">
        <v>18157</v>
      </c>
      <c r="G541" t="s">
        <v>17546</v>
      </c>
    </row>
    <row r="542" spans="1:7" x14ac:dyDescent="0.25">
      <c r="A542" t="s">
        <v>22</v>
      </c>
      <c r="B542" t="s">
        <v>18160</v>
      </c>
      <c r="C542" t="s">
        <v>18161</v>
      </c>
      <c r="D542" t="s">
        <v>14473</v>
      </c>
      <c r="E542" t="s">
        <v>18160</v>
      </c>
      <c r="F542" t="s">
        <v>18162</v>
      </c>
      <c r="G542" t="s">
        <v>18163</v>
      </c>
    </row>
    <row r="543" spans="1:7" x14ac:dyDescent="0.25">
      <c r="A543" t="s">
        <v>22</v>
      </c>
      <c r="B543" t="s">
        <v>18166</v>
      </c>
      <c r="C543" t="s">
        <v>18167</v>
      </c>
      <c r="D543" t="s">
        <v>14473</v>
      </c>
      <c r="E543" t="s">
        <v>18166</v>
      </c>
      <c r="F543" t="s">
        <v>18168</v>
      </c>
      <c r="G543" t="s">
        <v>17769</v>
      </c>
    </row>
    <row r="544" spans="1:7" x14ac:dyDescent="0.25">
      <c r="A544" t="s">
        <v>22</v>
      </c>
      <c r="B544" t="s">
        <v>18171</v>
      </c>
      <c r="C544" t="s">
        <v>18172</v>
      </c>
      <c r="D544" t="s">
        <v>14473</v>
      </c>
      <c r="E544" t="s">
        <v>18171</v>
      </c>
      <c r="F544" t="s">
        <v>18173</v>
      </c>
      <c r="G544" t="s">
        <v>17270</v>
      </c>
    </row>
    <row r="545" spans="1:7" x14ac:dyDescent="0.25">
      <c r="A545" t="s">
        <v>32</v>
      </c>
      <c r="B545" t="s">
        <v>18176</v>
      </c>
      <c r="C545" t="s">
        <v>17722</v>
      </c>
      <c r="D545" t="s">
        <v>14473</v>
      </c>
      <c r="E545" t="s">
        <v>18176</v>
      </c>
      <c r="F545" t="s">
        <v>18177</v>
      </c>
      <c r="G545" t="s">
        <v>17724</v>
      </c>
    </row>
    <row r="546" spans="1:7" x14ac:dyDescent="0.25">
      <c r="A546" t="s">
        <v>22</v>
      </c>
      <c r="B546" t="s">
        <v>18184</v>
      </c>
      <c r="C546" t="s">
        <v>18185</v>
      </c>
      <c r="D546" t="s">
        <v>14473</v>
      </c>
      <c r="E546" t="s">
        <v>18184</v>
      </c>
      <c r="F546" t="s">
        <v>18186</v>
      </c>
      <c r="G546" t="s">
        <v>18187</v>
      </c>
    </row>
    <row r="547" spans="1:7" x14ac:dyDescent="0.25">
      <c r="A547" t="s">
        <v>38</v>
      </c>
      <c r="B547" t="s">
        <v>18190</v>
      </c>
      <c r="C547" t="s">
        <v>18191</v>
      </c>
      <c r="D547" t="s">
        <v>14473</v>
      </c>
      <c r="E547" t="s">
        <v>18190</v>
      </c>
      <c r="F547" t="s">
        <v>18192</v>
      </c>
      <c r="G547" t="s">
        <v>17724</v>
      </c>
    </row>
    <row r="548" spans="1:7" x14ac:dyDescent="0.25">
      <c r="A548" t="s">
        <v>38</v>
      </c>
      <c r="B548" t="s">
        <v>18195</v>
      </c>
      <c r="C548" t="s">
        <v>18196</v>
      </c>
      <c r="D548" t="s">
        <v>14473</v>
      </c>
      <c r="E548" t="s">
        <v>18195</v>
      </c>
      <c r="F548" t="s">
        <v>18197</v>
      </c>
      <c r="G548" t="s">
        <v>17372</v>
      </c>
    </row>
    <row r="549" spans="1:7" x14ac:dyDescent="0.25">
      <c r="A549" t="s">
        <v>38</v>
      </c>
      <c r="B549" t="s">
        <v>18200</v>
      </c>
      <c r="C549" t="s">
        <v>18201</v>
      </c>
      <c r="D549" t="s">
        <v>14473</v>
      </c>
      <c r="E549" t="s">
        <v>18200</v>
      </c>
      <c r="F549" t="s">
        <v>18202</v>
      </c>
      <c r="G549" t="s">
        <v>17813</v>
      </c>
    </row>
    <row r="550" spans="1:7" x14ac:dyDescent="0.25">
      <c r="A550" t="s">
        <v>32</v>
      </c>
      <c r="B550" t="s">
        <v>18205</v>
      </c>
      <c r="C550" t="s">
        <v>17290</v>
      </c>
      <c r="D550" t="s">
        <v>14473</v>
      </c>
      <c r="E550" t="s">
        <v>18205</v>
      </c>
      <c r="F550" t="s">
        <v>18206</v>
      </c>
      <c r="G550" t="s">
        <v>17292</v>
      </c>
    </row>
    <row r="551" spans="1:7" x14ac:dyDescent="0.25">
      <c r="A551" t="s">
        <v>22</v>
      </c>
      <c r="B551" t="s">
        <v>18209</v>
      </c>
      <c r="C551" t="s">
        <v>18210</v>
      </c>
      <c r="D551" t="s">
        <v>14473</v>
      </c>
      <c r="E551" t="s">
        <v>18209</v>
      </c>
      <c r="F551" t="s">
        <v>18211</v>
      </c>
      <c r="G551" t="s">
        <v>17689</v>
      </c>
    </row>
    <row r="552" spans="1:7" x14ac:dyDescent="0.25">
      <c r="A552" t="s">
        <v>22</v>
      </c>
      <c r="B552" t="s">
        <v>18214</v>
      </c>
      <c r="C552" t="s">
        <v>18215</v>
      </c>
      <c r="D552" t="s">
        <v>14473</v>
      </c>
      <c r="E552" t="s">
        <v>18214</v>
      </c>
      <c r="F552" t="s">
        <v>18216</v>
      </c>
      <c r="G552" t="s">
        <v>17775</v>
      </c>
    </row>
    <row r="553" spans="1:7" x14ac:dyDescent="0.25">
      <c r="A553" t="s">
        <v>22</v>
      </c>
      <c r="B553" t="s">
        <v>18219</v>
      </c>
      <c r="C553" t="s">
        <v>17629</v>
      </c>
      <c r="D553" t="s">
        <v>14473</v>
      </c>
      <c r="E553" t="s">
        <v>18219</v>
      </c>
      <c r="F553" t="s">
        <v>18220</v>
      </c>
      <c r="G553" t="s">
        <v>9074</v>
      </c>
    </row>
    <row r="554" spans="1:7" x14ac:dyDescent="0.25">
      <c r="A554" t="s">
        <v>22</v>
      </c>
      <c r="B554" t="s">
        <v>18223</v>
      </c>
      <c r="C554" t="s">
        <v>18224</v>
      </c>
      <c r="D554" t="s">
        <v>14473</v>
      </c>
      <c r="E554" t="s">
        <v>18223</v>
      </c>
      <c r="F554" t="s">
        <v>18225</v>
      </c>
      <c r="G554" t="s">
        <v>17620</v>
      </c>
    </row>
    <row r="555" spans="1:7" x14ac:dyDescent="0.25">
      <c r="A555" t="s">
        <v>22</v>
      </c>
      <c r="B555" t="s">
        <v>18228</v>
      </c>
      <c r="C555" t="s">
        <v>18229</v>
      </c>
      <c r="D555" t="s">
        <v>14473</v>
      </c>
      <c r="E555" t="s">
        <v>18228</v>
      </c>
      <c r="F555" t="s">
        <v>18230</v>
      </c>
      <c r="G555" t="s">
        <v>17181</v>
      </c>
    </row>
    <row r="556" spans="1:7" x14ac:dyDescent="0.25">
      <c r="A556" t="s">
        <v>22</v>
      </c>
      <c r="B556" t="s">
        <v>18233</v>
      </c>
      <c r="C556" t="s">
        <v>18234</v>
      </c>
      <c r="D556" t="s">
        <v>14473</v>
      </c>
      <c r="E556" t="s">
        <v>18233</v>
      </c>
      <c r="F556" t="s">
        <v>18235</v>
      </c>
      <c r="G556" t="s">
        <v>17165</v>
      </c>
    </row>
    <row r="557" spans="1:7" x14ac:dyDescent="0.25">
      <c r="A557" t="s">
        <v>22</v>
      </c>
      <c r="B557" t="s">
        <v>18238</v>
      </c>
      <c r="C557" t="s">
        <v>18239</v>
      </c>
      <c r="D557" t="s">
        <v>14473</v>
      </c>
      <c r="E557" t="s">
        <v>18238</v>
      </c>
      <c r="F557" t="s">
        <v>18240</v>
      </c>
      <c r="G557" t="s">
        <v>18241</v>
      </c>
    </row>
    <row r="558" spans="1:7" x14ac:dyDescent="0.25">
      <c r="A558" t="s">
        <v>22</v>
      </c>
      <c r="B558" t="s">
        <v>18244</v>
      </c>
      <c r="C558" t="s">
        <v>18245</v>
      </c>
      <c r="D558" t="s">
        <v>14473</v>
      </c>
      <c r="E558" t="s">
        <v>18244</v>
      </c>
      <c r="F558" t="s">
        <v>18246</v>
      </c>
      <c r="G558" t="s">
        <v>17769</v>
      </c>
    </row>
    <row r="559" spans="1:7" x14ac:dyDescent="0.25">
      <c r="A559" t="s">
        <v>22</v>
      </c>
      <c r="B559" t="s">
        <v>18249</v>
      </c>
      <c r="C559" t="s">
        <v>18250</v>
      </c>
      <c r="D559" t="s">
        <v>14473</v>
      </c>
      <c r="E559" t="s">
        <v>18249</v>
      </c>
      <c r="F559" t="s">
        <v>18251</v>
      </c>
      <c r="G559" t="s">
        <v>17724</v>
      </c>
    </row>
    <row r="560" spans="1:7" x14ac:dyDescent="0.25">
      <c r="A560" t="s">
        <v>22</v>
      </c>
      <c r="B560" t="s">
        <v>18254</v>
      </c>
      <c r="C560" t="s">
        <v>18255</v>
      </c>
      <c r="D560" t="s">
        <v>14473</v>
      </c>
      <c r="E560" t="s">
        <v>18254</v>
      </c>
      <c r="F560" t="s">
        <v>18256</v>
      </c>
      <c r="G560" t="s">
        <v>17372</v>
      </c>
    </row>
    <row r="561" spans="1:7" x14ac:dyDescent="0.25">
      <c r="A561" t="s">
        <v>32</v>
      </c>
      <c r="B561" t="s">
        <v>18259</v>
      </c>
      <c r="C561" t="s">
        <v>18260</v>
      </c>
      <c r="D561" t="s">
        <v>14473</v>
      </c>
      <c r="E561" t="s">
        <v>18259</v>
      </c>
      <c r="F561" t="s">
        <v>18261</v>
      </c>
      <c r="G561" t="s">
        <v>18262</v>
      </c>
    </row>
    <row r="562" spans="1:7" x14ac:dyDescent="0.25">
      <c r="A562" t="s">
        <v>38</v>
      </c>
      <c r="B562" t="s">
        <v>18265</v>
      </c>
      <c r="C562" t="s">
        <v>18266</v>
      </c>
      <c r="D562" t="s">
        <v>14473</v>
      </c>
      <c r="E562" t="s">
        <v>18265</v>
      </c>
      <c r="F562" t="s">
        <v>18267</v>
      </c>
      <c r="G562" t="s">
        <v>17286</v>
      </c>
    </row>
    <row r="563" spans="1:7" x14ac:dyDescent="0.25">
      <c r="A563" t="s">
        <v>22</v>
      </c>
      <c r="B563" t="s">
        <v>18270</v>
      </c>
      <c r="C563" t="s">
        <v>18271</v>
      </c>
      <c r="D563" t="s">
        <v>14473</v>
      </c>
      <c r="E563" t="s">
        <v>18270</v>
      </c>
      <c r="F563" t="s">
        <v>18272</v>
      </c>
      <c r="G563" t="s">
        <v>17775</v>
      </c>
    </row>
    <row r="564" spans="1:7" x14ac:dyDescent="0.25">
      <c r="A564" t="s">
        <v>38</v>
      </c>
      <c r="B564" t="s">
        <v>18275</v>
      </c>
      <c r="C564" t="s">
        <v>18276</v>
      </c>
      <c r="D564" t="s">
        <v>14473</v>
      </c>
      <c r="E564" t="s">
        <v>18275</v>
      </c>
      <c r="F564" t="s">
        <v>18277</v>
      </c>
      <c r="G564" t="s">
        <v>17724</v>
      </c>
    </row>
    <row r="565" spans="1:7" x14ac:dyDescent="0.25">
      <c r="A565" t="s">
        <v>22</v>
      </c>
      <c r="B565" t="s">
        <v>18280</v>
      </c>
      <c r="C565" t="s">
        <v>18281</v>
      </c>
      <c r="D565" t="s">
        <v>14473</v>
      </c>
      <c r="E565" t="s">
        <v>18280</v>
      </c>
      <c r="F565" t="s">
        <v>18282</v>
      </c>
      <c r="G565" t="s">
        <v>17813</v>
      </c>
    </row>
    <row r="566" spans="1:7" x14ac:dyDescent="0.25">
      <c r="A566" t="s">
        <v>38</v>
      </c>
      <c r="B566" t="s">
        <v>18285</v>
      </c>
      <c r="C566" t="s">
        <v>18286</v>
      </c>
      <c r="D566" t="s">
        <v>14473</v>
      </c>
      <c r="E566" t="s">
        <v>18285</v>
      </c>
      <c r="F566" t="s">
        <v>18287</v>
      </c>
      <c r="G566" t="s">
        <v>17270</v>
      </c>
    </row>
    <row r="567" spans="1:7" x14ac:dyDescent="0.25">
      <c r="A567" t="s">
        <v>22</v>
      </c>
      <c r="B567" t="s">
        <v>18290</v>
      </c>
      <c r="C567" t="s">
        <v>18291</v>
      </c>
      <c r="D567" t="s">
        <v>14473</v>
      </c>
      <c r="E567" t="s">
        <v>18290</v>
      </c>
      <c r="F567" t="s">
        <v>18292</v>
      </c>
      <c r="G567" t="s">
        <v>17562</v>
      </c>
    </row>
    <row r="568" spans="1:7" x14ac:dyDescent="0.25">
      <c r="A568" t="s">
        <v>22</v>
      </c>
      <c r="B568" t="s">
        <v>18295</v>
      </c>
      <c r="C568" t="s">
        <v>13297</v>
      </c>
      <c r="D568" t="s">
        <v>14473</v>
      </c>
      <c r="E568" t="s">
        <v>18295</v>
      </c>
      <c r="F568" t="s">
        <v>18296</v>
      </c>
      <c r="G568" t="s">
        <v>17724</v>
      </c>
    </row>
    <row r="569" spans="1:7" x14ac:dyDescent="0.25">
      <c r="A569" t="s">
        <v>38</v>
      </c>
      <c r="B569" t="s">
        <v>18299</v>
      </c>
      <c r="C569" t="s">
        <v>18300</v>
      </c>
      <c r="D569" t="s">
        <v>14473</v>
      </c>
      <c r="E569" t="s">
        <v>18299</v>
      </c>
      <c r="F569" t="s">
        <v>18301</v>
      </c>
      <c r="G569" t="s">
        <v>17689</v>
      </c>
    </row>
    <row r="570" spans="1:7" x14ac:dyDescent="0.25">
      <c r="A570" t="s">
        <v>22</v>
      </c>
      <c r="B570" t="s">
        <v>18304</v>
      </c>
      <c r="C570" t="s">
        <v>18271</v>
      </c>
      <c r="D570" t="s">
        <v>14473</v>
      </c>
      <c r="E570" t="s">
        <v>18304</v>
      </c>
      <c r="F570" t="s">
        <v>18305</v>
      </c>
      <c r="G570" t="s">
        <v>17775</v>
      </c>
    </row>
    <row r="571" spans="1:7" x14ac:dyDescent="0.25">
      <c r="A571" t="s">
        <v>22</v>
      </c>
      <c r="B571" t="s">
        <v>18308</v>
      </c>
      <c r="C571" t="s">
        <v>18309</v>
      </c>
      <c r="D571" t="s">
        <v>14473</v>
      </c>
      <c r="E571" t="s">
        <v>18308</v>
      </c>
      <c r="F571" t="s">
        <v>18310</v>
      </c>
      <c r="G571" t="s">
        <v>17924</v>
      </c>
    </row>
    <row r="572" spans="1:7" x14ac:dyDescent="0.25">
      <c r="A572" t="s">
        <v>38</v>
      </c>
      <c r="B572" t="s">
        <v>18313</v>
      </c>
      <c r="C572" t="s">
        <v>18314</v>
      </c>
      <c r="D572" t="s">
        <v>14473</v>
      </c>
      <c r="E572" t="s">
        <v>18313</v>
      </c>
      <c r="F572" t="s">
        <v>18315</v>
      </c>
      <c r="G572" t="s">
        <v>18316</v>
      </c>
    </row>
    <row r="573" spans="1:7" x14ac:dyDescent="0.25">
      <c r="A573" t="s">
        <v>22</v>
      </c>
      <c r="B573" t="s">
        <v>18319</v>
      </c>
      <c r="C573" t="s">
        <v>18320</v>
      </c>
      <c r="D573" t="s">
        <v>14473</v>
      </c>
      <c r="E573" t="s">
        <v>18319</v>
      </c>
      <c r="F573" t="s">
        <v>18321</v>
      </c>
      <c r="G573" t="s">
        <v>17689</v>
      </c>
    </row>
    <row r="574" spans="1:7" x14ac:dyDescent="0.25">
      <c r="A574" t="s">
        <v>22</v>
      </c>
      <c r="B574" t="s">
        <v>18324</v>
      </c>
      <c r="C574" t="s">
        <v>18325</v>
      </c>
      <c r="D574" t="s">
        <v>14473</v>
      </c>
      <c r="E574" t="s">
        <v>18324</v>
      </c>
      <c r="F574" t="s">
        <v>18326</v>
      </c>
      <c r="G574" t="s">
        <v>17775</v>
      </c>
    </row>
    <row r="575" spans="1:7" x14ac:dyDescent="0.25">
      <c r="A575" t="s">
        <v>32</v>
      </c>
      <c r="B575" t="s">
        <v>18329</v>
      </c>
      <c r="C575" t="s">
        <v>18330</v>
      </c>
      <c r="D575" t="s">
        <v>14473</v>
      </c>
      <c r="E575" t="s">
        <v>18329</v>
      </c>
      <c r="F575" t="s">
        <v>18331</v>
      </c>
      <c r="G575" t="s">
        <v>18332</v>
      </c>
    </row>
    <row r="576" spans="1:7" x14ac:dyDescent="0.25">
      <c r="A576" t="s">
        <v>22</v>
      </c>
      <c r="B576" t="s">
        <v>18335</v>
      </c>
      <c r="C576" t="s">
        <v>17157</v>
      </c>
      <c r="D576" t="s">
        <v>14473</v>
      </c>
      <c r="E576" t="s">
        <v>18335</v>
      </c>
      <c r="F576" t="s">
        <v>18336</v>
      </c>
      <c r="G576" t="s">
        <v>17159</v>
      </c>
    </row>
    <row r="577" spans="1:7" x14ac:dyDescent="0.25">
      <c r="A577" t="s">
        <v>22</v>
      </c>
      <c r="B577" t="s">
        <v>18339</v>
      </c>
      <c r="C577" t="s">
        <v>18340</v>
      </c>
      <c r="D577" t="s">
        <v>14473</v>
      </c>
      <c r="E577" t="s">
        <v>18339</v>
      </c>
      <c r="F577" t="s">
        <v>18341</v>
      </c>
      <c r="G577" t="s">
        <v>17270</v>
      </c>
    </row>
    <row r="578" spans="1:7" x14ac:dyDescent="0.25">
      <c r="A578" t="s">
        <v>22</v>
      </c>
      <c r="B578" t="s">
        <v>18344</v>
      </c>
      <c r="C578" t="s">
        <v>18110</v>
      </c>
      <c r="D578" t="s">
        <v>14473</v>
      </c>
      <c r="E578" t="s">
        <v>18344</v>
      </c>
      <c r="F578" t="s">
        <v>18345</v>
      </c>
      <c r="G578" t="s">
        <v>17202</v>
      </c>
    </row>
    <row r="579" spans="1:7" x14ac:dyDescent="0.25">
      <c r="A579" t="s">
        <v>22</v>
      </c>
      <c r="B579" t="s">
        <v>18348</v>
      </c>
      <c r="C579" t="s">
        <v>18349</v>
      </c>
      <c r="D579" t="s">
        <v>14473</v>
      </c>
      <c r="E579" t="s">
        <v>18348</v>
      </c>
      <c r="F579" t="s">
        <v>18350</v>
      </c>
      <c r="G579" t="s">
        <v>17372</v>
      </c>
    </row>
    <row r="580" spans="1:7" x14ac:dyDescent="0.25">
      <c r="A580" t="s">
        <v>22</v>
      </c>
      <c r="B580" t="s">
        <v>18353</v>
      </c>
      <c r="C580" t="s">
        <v>18354</v>
      </c>
      <c r="D580" t="s">
        <v>14473</v>
      </c>
      <c r="E580" t="s">
        <v>18353</v>
      </c>
      <c r="F580" t="s">
        <v>18355</v>
      </c>
      <c r="G580" t="s">
        <v>17165</v>
      </c>
    </row>
    <row r="581" spans="1:7" x14ac:dyDescent="0.25">
      <c r="A581" t="s">
        <v>38</v>
      </c>
      <c r="B581" t="s">
        <v>18358</v>
      </c>
      <c r="C581" t="s">
        <v>18359</v>
      </c>
      <c r="D581" t="s">
        <v>14473</v>
      </c>
      <c r="E581" t="s">
        <v>18358</v>
      </c>
      <c r="F581" t="s">
        <v>18360</v>
      </c>
      <c r="G581" t="s">
        <v>17202</v>
      </c>
    </row>
    <row r="582" spans="1:7" x14ac:dyDescent="0.25">
      <c r="A582" t="s">
        <v>22</v>
      </c>
      <c r="B582" t="s">
        <v>18363</v>
      </c>
      <c r="C582" t="s">
        <v>18364</v>
      </c>
      <c r="D582" t="s">
        <v>14473</v>
      </c>
      <c r="E582" t="s">
        <v>18363</v>
      </c>
      <c r="F582" t="s">
        <v>18365</v>
      </c>
      <c r="G582" t="s">
        <v>18366</v>
      </c>
    </row>
    <row r="583" spans="1:7" x14ac:dyDescent="0.25">
      <c r="A583" t="s">
        <v>38</v>
      </c>
      <c r="B583" t="s">
        <v>18369</v>
      </c>
      <c r="C583" t="s">
        <v>18370</v>
      </c>
      <c r="D583" t="s">
        <v>14473</v>
      </c>
      <c r="E583" t="s">
        <v>18369</v>
      </c>
      <c r="F583" t="s">
        <v>18371</v>
      </c>
      <c r="G583" t="s">
        <v>17689</v>
      </c>
    </row>
    <row r="584" spans="1:7" x14ac:dyDescent="0.25">
      <c r="A584" t="s">
        <v>38</v>
      </c>
      <c r="B584" t="s">
        <v>18374</v>
      </c>
      <c r="C584" t="s">
        <v>18024</v>
      </c>
      <c r="D584" t="s">
        <v>14473</v>
      </c>
      <c r="E584" t="s">
        <v>18374</v>
      </c>
      <c r="F584" t="s">
        <v>18375</v>
      </c>
      <c r="G584" t="s">
        <v>17781</v>
      </c>
    </row>
    <row r="585" spans="1:7" x14ac:dyDescent="0.25">
      <c r="A585" t="s">
        <v>38</v>
      </c>
      <c r="B585" t="s">
        <v>18378</v>
      </c>
      <c r="C585" t="s">
        <v>18379</v>
      </c>
      <c r="D585" t="s">
        <v>14473</v>
      </c>
      <c r="E585" t="s">
        <v>18378</v>
      </c>
      <c r="F585" t="s">
        <v>18380</v>
      </c>
      <c r="G585" t="s">
        <v>17270</v>
      </c>
    </row>
    <row r="586" spans="1:7" x14ac:dyDescent="0.25">
      <c r="A586" t="s">
        <v>38</v>
      </c>
      <c r="B586" t="s">
        <v>18383</v>
      </c>
      <c r="C586" t="s">
        <v>18384</v>
      </c>
      <c r="D586" t="s">
        <v>14473</v>
      </c>
      <c r="E586" t="s">
        <v>18383</v>
      </c>
      <c r="F586" t="s">
        <v>18385</v>
      </c>
      <c r="G586" t="s">
        <v>17924</v>
      </c>
    </row>
    <row r="587" spans="1:7" x14ac:dyDescent="0.25">
      <c r="A587" t="s">
        <v>22</v>
      </c>
      <c r="B587" t="s">
        <v>18388</v>
      </c>
      <c r="C587" t="s">
        <v>18389</v>
      </c>
      <c r="D587" t="s">
        <v>14473</v>
      </c>
      <c r="E587" t="s">
        <v>18388</v>
      </c>
      <c r="F587" t="s">
        <v>18390</v>
      </c>
      <c r="G587" t="s">
        <v>17724</v>
      </c>
    </row>
    <row r="588" spans="1:7" x14ac:dyDescent="0.25">
      <c r="A588" t="s">
        <v>38</v>
      </c>
      <c r="B588" t="s">
        <v>18393</v>
      </c>
      <c r="C588" t="s">
        <v>18394</v>
      </c>
      <c r="D588" t="s">
        <v>14473</v>
      </c>
      <c r="E588" t="s">
        <v>18393</v>
      </c>
      <c r="F588" t="s">
        <v>18395</v>
      </c>
      <c r="G588" t="s">
        <v>17419</v>
      </c>
    </row>
    <row r="589" spans="1:7" x14ac:dyDescent="0.25">
      <c r="A589" t="s">
        <v>38</v>
      </c>
      <c r="B589" t="s">
        <v>18398</v>
      </c>
      <c r="C589" t="s">
        <v>18399</v>
      </c>
      <c r="D589" t="s">
        <v>14473</v>
      </c>
      <c r="E589" t="s">
        <v>18398</v>
      </c>
      <c r="F589" t="s">
        <v>18400</v>
      </c>
      <c r="G589" t="s">
        <v>17366</v>
      </c>
    </row>
    <row r="590" spans="1:7" x14ac:dyDescent="0.25">
      <c r="A590" t="s">
        <v>22</v>
      </c>
      <c r="B590" t="s">
        <v>18403</v>
      </c>
      <c r="C590" t="s">
        <v>18404</v>
      </c>
      <c r="D590" t="s">
        <v>14473</v>
      </c>
      <c r="E590" t="s">
        <v>18403</v>
      </c>
      <c r="F590" t="s">
        <v>18405</v>
      </c>
      <c r="G590" t="s">
        <v>17620</v>
      </c>
    </row>
    <row r="591" spans="1:7" x14ac:dyDescent="0.25">
      <c r="A591" t="s">
        <v>32</v>
      </c>
      <c r="B591" t="s">
        <v>18408</v>
      </c>
      <c r="C591" t="s">
        <v>18024</v>
      </c>
      <c r="D591" t="s">
        <v>14473</v>
      </c>
      <c r="E591" t="s">
        <v>18408</v>
      </c>
      <c r="F591" t="s">
        <v>18409</v>
      </c>
      <c r="G591" t="s">
        <v>17781</v>
      </c>
    </row>
    <row r="592" spans="1:7" x14ac:dyDescent="0.25">
      <c r="A592" t="s">
        <v>38</v>
      </c>
      <c r="B592" t="s">
        <v>18412</v>
      </c>
      <c r="C592" t="s">
        <v>18413</v>
      </c>
      <c r="D592" t="s">
        <v>14473</v>
      </c>
      <c r="E592" t="s">
        <v>18412</v>
      </c>
      <c r="F592" t="s">
        <v>18414</v>
      </c>
      <c r="G592" t="s">
        <v>18147</v>
      </c>
    </row>
    <row r="593" spans="1:7" x14ac:dyDescent="0.25">
      <c r="A593" t="s">
        <v>22</v>
      </c>
      <c r="B593" t="s">
        <v>18417</v>
      </c>
      <c r="C593" t="s">
        <v>18418</v>
      </c>
      <c r="D593" t="s">
        <v>14473</v>
      </c>
      <c r="E593" t="s">
        <v>18417</v>
      </c>
      <c r="F593" t="s">
        <v>18419</v>
      </c>
      <c r="G593" t="s">
        <v>17372</v>
      </c>
    </row>
    <row r="594" spans="1:7" x14ac:dyDescent="0.25">
      <c r="A594" t="s">
        <v>22</v>
      </c>
      <c r="B594" t="s">
        <v>18422</v>
      </c>
      <c r="C594" t="s">
        <v>18423</v>
      </c>
      <c r="D594" t="s">
        <v>14473</v>
      </c>
      <c r="E594" t="s">
        <v>18422</v>
      </c>
      <c r="F594" t="s">
        <v>18424</v>
      </c>
      <c r="G594" t="s">
        <v>17781</v>
      </c>
    </row>
    <row r="595" spans="1:7" x14ac:dyDescent="0.25">
      <c r="A595" t="s">
        <v>22</v>
      </c>
      <c r="B595" t="s">
        <v>18427</v>
      </c>
      <c r="C595" t="s">
        <v>18428</v>
      </c>
      <c r="D595" t="s">
        <v>14473</v>
      </c>
      <c r="E595" t="s">
        <v>18427</v>
      </c>
      <c r="F595" t="s">
        <v>18429</v>
      </c>
      <c r="G595" t="s">
        <v>17775</v>
      </c>
    </row>
    <row r="596" spans="1:7" x14ac:dyDescent="0.25">
      <c r="A596" t="s">
        <v>22</v>
      </c>
      <c r="B596" t="s">
        <v>18432</v>
      </c>
      <c r="C596" t="s">
        <v>18433</v>
      </c>
      <c r="D596" t="s">
        <v>14473</v>
      </c>
      <c r="E596" t="s">
        <v>18432</v>
      </c>
      <c r="F596" t="s">
        <v>18434</v>
      </c>
      <c r="G596" t="s">
        <v>18435</v>
      </c>
    </row>
    <row r="597" spans="1:7" x14ac:dyDescent="0.25">
      <c r="A597" t="s">
        <v>22</v>
      </c>
      <c r="B597" t="s">
        <v>18438</v>
      </c>
      <c r="C597" t="s">
        <v>18439</v>
      </c>
      <c r="D597" t="s">
        <v>14473</v>
      </c>
      <c r="E597" t="s">
        <v>18438</v>
      </c>
      <c r="F597" t="s">
        <v>18440</v>
      </c>
      <c r="G597" t="s">
        <v>17313</v>
      </c>
    </row>
    <row r="598" spans="1:7" x14ac:dyDescent="0.25">
      <c r="A598" t="s">
        <v>38</v>
      </c>
      <c r="B598" t="s">
        <v>18443</v>
      </c>
      <c r="C598" t="s">
        <v>18444</v>
      </c>
      <c r="D598" t="s">
        <v>14473</v>
      </c>
      <c r="E598" t="s">
        <v>18443</v>
      </c>
      <c r="F598" t="s">
        <v>18445</v>
      </c>
      <c r="G598" t="s">
        <v>17546</v>
      </c>
    </row>
    <row r="599" spans="1:7" x14ac:dyDescent="0.25">
      <c r="A599" t="s">
        <v>38</v>
      </c>
      <c r="B599" t="s">
        <v>18448</v>
      </c>
      <c r="C599" t="s">
        <v>18449</v>
      </c>
      <c r="D599" t="s">
        <v>14473</v>
      </c>
      <c r="E599" t="s">
        <v>18448</v>
      </c>
      <c r="F599" t="s">
        <v>18450</v>
      </c>
      <c r="G599" t="s">
        <v>17393</v>
      </c>
    </row>
    <row r="600" spans="1:7" x14ac:dyDescent="0.25">
      <c r="A600" t="s">
        <v>22</v>
      </c>
      <c r="B600" t="s">
        <v>18453</v>
      </c>
      <c r="C600" t="s">
        <v>18454</v>
      </c>
      <c r="D600" t="s">
        <v>14473</v>
      </c>
      <c r="E600" t="s">
        <v>18453</v>
      </c>
      <c r="F600" t="s">
        <v>18455</v>
      </c>
      <c r="G600" t="s">
        <v>17781</v>
      </c>
    </row>
    <row r="601" spans="1:7" x14ac:dyDescent="0.25">
      <c r="A601" t="s">
        <v>22</v>
      </c>
      <c r="B601" t="s">
        <v>18463</v>
      </c>
      <c r="C601" t="s">
        <v>18464</v>
      </c>
      <c r="D601" t="s">
        <v>14473</v>
      </c>
      <c r="E601" t="s">
        <v>18463</v>
      </c>
      <c r="F601" t="s">
        <v>18465</v>
      </c>
      <c r="G601" t="s">
        <v>17372</v>
      </c>
    </row>
    <row r="602" spans="1:7" x14ac:dyDescent="0.25">
      <c r="A602" t="s">
        <v>22</v>
      </c>
      <c r="B602" t="s">
        <v>18468</v>
      </c>
      <c r="C602" t="s">
        <v>18468</v>
      </c>
      <c r="D602" t="s">
        <v>14473</v>
      </c>
      <c r="E602" t="s">
        <v>18468</v>
      </c>
      <c r="F602" t="s">
        <v>18469</v>
      </c>
      <c r="G602" t="s">
        <v>17372</v>
      </c>
    </row>
    <row r="603" spans="1:7" x14ac:dyDescent="0.25">
      <c r="A603" t="s">
        <v>22</v>
      </c>
      <c r="B603" t="s">
        <v>18472</v>
      </c>
      <c r="C603" t="s">
        <v>18473</v>
      </c>
      <c r="D603" t="s">
        <v>14473</v>
      </c>
      <c r="E603" t="s">
        <v>18472</v>
      </c>
      <c r="F603" t="s">
        <v>18474</v>
      </c>
      <c r="G603" t="s">
        <v>17781</v>
      </c>
    </row>
    <row r="604" spans="1:7" x14ac:dyDescent="0.25">
      <c r="A604" t="s">
        <v>38</v>
      </c>
      <c r="B604" t="s">
        <v>18477</v>
      </c>
      <c r="C604" t="s">
        <v>18478</v>
      </c>
      <c r="D604" t="s">
        <v>14473</v>
      </c>
      <c r="E604" t="s">
        <v>18477</v>
      </c>
      <c r="F604" t="s">
        <v>18479</v>
      </c>
      <c r="G604" t="s">
        <v>17372</v>
      </c>
    </row>
    <row r="605" spans="1:7" x14ac:dyDescent="0.25">
      <c r="A605" t="s">
        <v>38</v>
      </c>
      <c r="B605" t="s">
        <v>18482</v>
      </c>
      <c r="C605" t="s">
        <v>18483</v>
      </c>
      <c r="D605" t="s">
        <v>14473</v>
      </c>
      <c r="E605" t="s">
        <v>18482</v>
      </c>
      <c r="F605" t="s">
        <v>18484</v>
      </c>
      <c r="G605" t="s">
        <v>17775</v>
      </c>
    </row>
    <row r="606" spans="1:7" x14ac:dyDescent="0.25">
      <c r="A606" t="s">
        <v>38</v>
      </c>
      <c r="B606" t="s">
        <v>18487</v>
      </c>
      <c r="C606" t="s">
        <v>18488</v>
      </c>
      <c r="D606" t="s">
        <v>14473</v>
      </c>
      <c r="E606" t="s">
        <v>18487</v>
      </c>
      <c r="F606" t="s">
        <v>18489</v>
      </c>
      <c r="G606" t="s">
        <v>17769</v>
      </c>
    </row>
    <row r="607" spans="1:7" x14ac:dyDescent="0.25">
      <c r="A607" t="s">
        <v>38</v>
      </c>
      <c r="B607" t="s">
        <v>18492</v>
      </c>
      <c r="C607" t="s">
        <v>18493</v>
      </c>
      <c r="D607" t="s">
        <v>14473</v>
      </c>
      <c r="E607" t="s">
        <v>18492</v>
      </c>
      <c r="F607" t="s">
        <v>18494</v>
      </c>
      <c r="G607" t="s">
        <v>17372</v>
      </c>
    </row>
    <row r="608" spans="1:7" x14ac:dyDescent="0.25">
      <c r="A608" t="s">
        <v>22</v>
      </c>
      <c r="B608" t="s">
        <v>18497</v>
      </c>
      <c r="C608" t="s">
        <v>18498</v>
      </c>
      <c r="D608" t="s">
        <v>14473</v>
      </c>
      <c r="E608" t="s">
        <v>18497</v>
      </c>
      <c r="F608" t="s">
        <v>18499</v>
      </c>
      <c r="G608" t="s">
        <v>17724</v>
      </c>
    </row>
    <row r="609" spans="1:7" x14ac:dyDescent="0.25">
      <c r="A609" t="s">
        <v>38</v>
      </c>
      <c r="B609" t="s">
        <v>18502</v>
      </c>
      <c r="C609" t="s">
        <v>18423</v>
      </c>
      <c r="D609" t="s">
        <v>14473</v>
      </c>
      <c r="E609" t="s">
        <v>18502</v>
      </c>
      <c r="F609" t="s">
        <v>18503</v>
      </c>
      <c r="G609" t="s">
        <v>17781</v>
      </c>
    </row>
    <row r="610" spans="1:7" x14ac:dyDescent="0.25">
      <c r="A610" t="s">
        <v>22</v>
      </c>
      <c r="B610" t="s">
        <v>18506</v>
      </c>
      <c r="C610" t="s">
        <v>18507</v>
      </c>
      <c r="D610" t="s">
        <v>14473</v>
      </c>
      <c r="E610" t="s">
        <v>18506</v>
      </c>
      <c r="F610" t="s">
        <v>18508</v>
      </c>
      <c r="G610" t="s">
        <v>17165</v>
      </c>
    </row>
    <row r="611" spans="1:7" x14ac:dyDescent="0.25">
      <c r="A611" t="s">
        <v>22</v>
      </c>
      <c r="B611" t="s">
        <v>18511</v>
      </c>
      <c r="C611" t="s">
        <v>18260</v>
      </c>
      <c r="D611" t="s">
        <v>14473</v>
      </c>
      <c r="E611" t="s">
        <v>18511</v>
      </c>
      <c r="F611" t="s">
        <v>18512</v>
      </c>
      <c r="G611" t="s">
        <v>18262</v>
      </c>
    </row>
    <row r="612" spans="1:7" x14ac:dyDescent="0.25">
      <c r="A612" t="s">
        <v>38</v>
      </c>
      <c r="B612" t="s">
        <v>18515</v>
      </c>
      <c r="C612" t="s">
        <v>18516</v>
      </c>
      <c r="D612" t="s">
        <v>14473</v>
      </c>
      <c r="E612" t="s">
        <v>18515</v>
      </c>
      <c r="F612" t="s">
        <v>18517</v>
      </c>
      <c r="G612" t="s">
        <v>17372</v>
      </c>
    </row>
    <row r="613" spans="1:7" x14ac:dyDescent="0.25">
      <c r="A613" t="s">
        <v>22</v>
      </c>
      <c r="B613" t="s">
        <v>18520</v>
      </c>
      <c r="C613" t="s">
        <v>18521</v>
      </c>
      <c r="D613" t="s">
        <v>14473</v>
      </c>
      <c r="E613" t="s">
        <v>18520</v>
      </c>
      <c r="F613" t="s">
        <v>18522</v>
      </c>
      <c r="G613" t="s">
        <v>17270</v>
      </c>
    </row>
    <row r="614" spans="1:7" x14ac:dyDescent="0.25">
      <c r="A614" t="s">
        <v>22</v>
      </c>
      <c r="B614" t="s">
        <v>18525</v>
      </c>
      <c r="C614" t="s">
        <v>18526</v>
      </c>
      <c r="D614" t="s">
        <v>14473</v>
      </c>
      <c r="E614" t="s">
        <v>18525</v>
      </c>
      <c r="F614" t="s">
        <v>18527</v>
      </c>
      <c r="G614" t="s">
        <v>18528</v>
      </c>
    </row>
    <row r="615" spans="1:7" x14ac:dyDescent="0.25">
      <c r="A615" t="s">
        <v>22</v>
      </c>
      <c r="B615" t="s">
        <v>18531</v>
      </c>
      <c r="C615" t="s">
        <v>6230</v>
      </c>
      <c r="D615" t="s">
        <v>14473</v>
      </c>
      <c r="E615" t="s">
        <v>18531</v>
      </c>
      <c r="F615" t="s">
        <v>18532</v>
      </c>
      <c r="G615" t="s">
        <v>17372</v>
      </c>
    </row>
    <row r="616" spans="1:7" x14ac:dyDescent="0.25">
      <c r="A616" t="s">
        <v>22</v>
      </c>
      <c r="B616" t="s">
        <v>18535</v>
      </c>
      <c r="C616" t="s">
        <v>18536</v>
      </c>
      <c r="D616" t="s">
        <v>14473</v>
      </c>
      <c r="E616" t="s">
        <v>18535</v>
      </c>
      <c r="F616" t="s">
        <v>18537</v>
      </c>
      <c r="G616" t="s">
        <v>17724</v>
      </c>
    </row>
    <row r="617" spans="1:7" x14ac:dyDescent="0.25">
      <c r="A617" t="s">
        <v>22</v>
      </c>
      <c r="B617" t="s">
        <v>18540</v>
      </c>
      <c r="C617" t="s">
        <v>17290</v>
      </c>
      <c r="D617" t="s">
        <v>14473</v>
      </c>
      <c r="E617" t="s">
        <v>18540</v>
      </c>
      <c r="F617" t="s">
        <v>18541</v>
      </c>
      <c r="G617" t="s">
        <v>17292</v>
      </c>
    </row>
    <row r="618" spans="1:7" x14ac:dyDescent="0.25">
      <c r="A618" t="s">
        <v>38</v>
      </c>
      <c r="B618" t="s">
        <v>18544</v>
      </c>
      <c r="C618" t="s">
        <v>18545</v>
      </c>
      <c r="D618" t="s">
        <v>14473</v>
      </c>
      <c r="E618" t="s">
        <v>18544</v>
      </c>
      <c r="F618" t="s">
        <v>18546</v>
      </c>
      <c r="G618" t="s">
        <v>18547</v>
      </c>
    </row>
    <row r="619" spans="1:7" x14ac:dyDescent="0.25">
      <c r="A619" t="s">
        <v>38</v>
      </c>
      <c r="B619" t="s">
        <v>18550</v>
      </c>
      <c r="C619" t="s">
        <v>18394</v>
      </c>
      <c r="D619" t="s">
        <v>14473</v>
      </c>
      <c r="E619" t="s">
        <v>18550</v>
      </c>
      <c r="F619" t="s">
        <v>18551</v>
      </c>
      <c r="G619" t="s">
        <v>17419</v>
      </c>
    </row>
    <row r="620" spans="1:7" x14ac:dyDescent="0.25">
      <c r="A620" t="s">
        <v>38</v>
      </c>
      <c r="B620" t="s">
        <v>18554</v>
      </c>
      <c r="C620" t="s">
        <v>17762</v>
      </c>
      <c r="D620" t="s">
        <v>14473</v>
      </c>
      <c r="E620" t="s">
        <v>18554</v>
      </c>
      <c r="F620" t="s">
        <v>18555</v>
      </c>
      <c r="G620" t="s">
        <v>9074</v>
      </c>
    </row>
    <row r="621" spans="1:7" x14ac:dyDescent="0.25">
      <c r="A621" t="s">
        <v>22</v>
      </c>
      <c r="B621" t="s">
        <v>18558</v>
      </c>
      <c r="C621" t="s">
        <v>18559</v>
      </c>
      <c r="D621" t="s">
        <v>14473</v>
      </c>
      <c r="E621" t="s">
        <v>18558</v>
      </c>
      <c r="F621" t="s">
        <v>18560</v>
      </c>
      <c r="G621" t="s">
        <v>17724</v>
      </c>
    </row>
    <row r="622" spans="1:7" x14ac:dyDescent="0.25">
      <c r="A622" t="s">
        <v>22</v>
      </c>
      <c r="B622" t="s">
        <v>18563</v>
      </c>
      <c r="C622" t="s">
        <v>18564</v>
      </c>
      <c r="D622" t="s">
        <v>14473</v>
      </c>
      <c r="E622" t="s">
        <v>18563</v>
      </c>
      <c r="F622" t="s">
        <v>18565</v>
      </c>
      <c r="G622" t="s">
        <v>17775</v>
      </c>
    </row>
    <row r="623" spans="1:7" x14ac:dyDescent="0.25">
      <c r="A623" t="s">
        <v>22</v>
      </c>
      <c r="B623" t="s">
        <v>18568</v>
      </c>
      <c r="C623" t="s">
        <v>18569</v>
      </c>
      <c r="D623" t="s">
        <v>14473</v>
      </c>
      <c r="E623" t="s">
        <v>18568</v>
      </c>
      <c r="F623" t="s">
        <v>18570</v>
      </c>
      <c r="G623" t="s">
        <v>18571</v>
      </c>
    </row>
    <row r="624" spans="1:7" x14ac:dyDescent="0.25">
      <c r="A624" t="s">
        <v>38</v>
      </c>
      <c r="B624" t="s">
        <v>18574</v>
      </c>
      <c r="C624" t="s">
        <v>532</v>
      </c>
      <c r="D624" t="s">
        <v>14473</v>
      </c>
      <c r="E624" t="s">
        <v>18574</v>
      </c>
      <c r="F624" t="s">
        <v>18575</v>
      </c>
      <c r="G624" t="s">
        <v>17724</v>
      </c>
    </row>
    <row r="625" spans="1:7" x14ac:dyDescent="0.25">
      <c r="A625" t="s">
        <v>32</v>
      </c>
      <c r="B625" t="s">
        <v>18578</v>
      </c>
      <c r="C625" t="s">
        <v>17456</v>
      </c>
      <c r="D625" t="s">
        <v>14473</v>
      </c>
      <c r="E625" t="s">
        <v>18578</v>
      </c>
      <c r="F625" t="s">
        <v>18579</v>
      </c>
      <c r="G625" t="s">
        <v>17372</v>
      </c>
    </row>
    <row r="626" spans="1:7" x14ac:dyDescent="0.25">
      <c r="A626" t="s">
        <v>38</v>
      </c>
      <c r="B626" t="s">
        <v>18582</v>
      </c>
      <c r="C626" t="s">
        <v>18583</v>
      </c>
      <c r="D626" t="s">
        <v>14473</v>
      </c>
      <c r="E626" t="s">
        <v>18582</v>
      </c>
      <c r="F626" t="s">
        <v>18584</v>
      </c>
      <c r="G626" t="s">
        <v>17724</v>
      </c>
    </row>
    <row r="627" spans="1:7" x14ac:dyDescent="0.25">
      <c r="A627" t="s">
        <v>22</v>
      </c>
      <c r="B627" t="s">
        <v>18587</v>
      </c>
      <c r="C627" t="s">
        <v>18588</v>
      </c>
      <c r="D627" t="s">
        <v>14473</v>
      </c>
      <c r="E627" t="s">
        <v>18587</v>
      </c>
      <c r="F627" t="s">
        <v>18589</v>
      </c>
      <c r="G627" t="s">
        <v>17372</v>
      </c>
    </row>
    <row r="628" spans="1:7" x14ac:dyDescent="0.25">
      <c r="A628" t="s">
        <v>22</v>
      </c>
      <c r="B628" t="s">
        <v>18592</v>
      </c>
      <c r="C628" t="s">
        <v>18593</v>
      </c>
      <c r="D628" t="s">
        <v>14473</v>
      </c>
      <c r="E628" t="s">
        <v>18592</v>
      </c>
      <c r="F628" t="s">
        <v>18594</v>
      </c>
      <c r="G628" t="s">
        <v>17372</v>
      </c>
    </row>
    <row r="629" spans="1:7" x14ac:dyDescent="0.25">
      <c r="A629" t="s">
        <v>22</v>
      </c>
      <c r="B629" t="s">
        <v>18597</v>
      </c>
      <c r="C629" t="s">
        <v>18598</v>
      </c>
      <c r="D629" t="s">
        <v>14473</v>
      </c>
      <c r="E629" t="s">
        <v>18597</v>
      </c>
      <c r="F629" t="s">
        <v>18599</v>
      </c>
      <c r="G629" t="s">
        <v>18241</v>
      </c>
    </row>
    <row r="630" spans="1:7" x14ac:dyDescent="0.25">
      <c r="A630" t="s">
        <v>22</v>
      </c>
      <c r="B630" t="s">
        <v>18602</v>
      </c>
      <c r="C630" t="s">
        <v>18603</v>
      </c>
      <c r="D630" t="s">
        <v>14473</v>
      </c>
      <c r="E630" t="s">
        <v>18602</v>
      </c>
      <c r="F630" t="s">
        <v>18604</v>
      </c>
      <c r="G630" t="s">
        <v>17724</v>
      </c>
    </row>
    <row r="631" spans="1:7" x14ac:dyDescent="0.25">
      <c r="A631" t="s">
        <v>22</v>
      </c>
      <c r="B631" t="s">
        <v>18607</v>
      </c>
      <c r="C631" t="s">
        <v>18608</v>
      </c>
      <c r="D631" t="s">
        <v>14473</v>
      </c>
      <c r="E631" t="s">
        <v>18607</v>
      </c>
      <c r="F631" t="s">
        <v>18609</v>
      </c>
      <c r="G631" t="s">
        <v>17313</v>
      </c>
    </row>
    <row r="632" spans="1:7" x14ac:dyDescent="0.25">
      <c r="A632" t="s">
        <v>32</v>
      </c>
      <c r="B632" t="s">
        <v>18612</v>
      </c>
      <c r="C632" t="s">
        <v>17274</v>
      </c>
      <c r="D632" t="s">
        <v>14473</v>
      </c>
      <c r="E632" t="s">
        <v>18612</v>
      </c>
      <c r="F632" t="s">
        <v>18613</v>
      </c>
      <c r="G632" t="s">
        <v>17165</v>
      </c>
    </row>
    <row r="633" spans="1:7" x14ac:dyDescent="0.25">
      <c r="A633" t="s">
        <v>22</v>
      </c>
      <c r="B633" t="s">
        <v>18616</v>
      </c>
      <c r="C633" t="s">
        <v>18617</v>
      </c>
      <c r="D633" t="s">
        <v>14473</v>
      </c>
      <c r="E633" t="s">
        <v>18616</v>
      </c>
      <c r="F633" t="s">
        <v>18618</v>
      </c>
      <c r="G633" t="s">
        <v>17366</v>
      </c>
    </row>
    <row r="634" spans="1:7" x14ac:dyDescent="0.25">
      <c r="A634" t="s">
        <v>22</v>
      </c>
      <c r="B634" t="s">
        <v>18621</v>
      </c>
      <c r="C634" t="s">
        <v>18473</v>
      </c>
      <c r="D634" t="s">
        <v>14473</v>
      </c>
      <c r="E634" t="s">
        <v>18621</v>
      </c>
      <c r="F634" t="s">
        <v>18622</v>
      </c>
      <c r="G634" t="s">
        <v>17781</v>
      </c>
    </row>
    <row r="635" spans="1:7" x14ac:dyDescent="0.25">
      <c r="A635" t="s">
        <v>22</v>
      </c>
      <c r="B635" t="s">
        <v>18625</v>
      </c>
      <c r="C635" t="s">
        <v>18626</v>
      </c>
      <c r="D635" t="s">
        <v>14473</v>
      </c>
      <c r="E635" t="s">
        <v>18625</v>
      </c>
      <c r="F635" t="s">
        <v>18627</v>
      </c>
      <c r="G635" t="s">
        <v>18316</v>
      </c>
    </row>
    <row r="636" spans="1:7" x14ac:dyDescent="0.25">
      <c r="A636" t="s">
        <v>22</v>
      </c>
      <c r="B636" t="s">
        <v>18630</v>
      </c>
      <c r="C636" t="s">
        <v>18631</v>
      </c>
      <c r="D636" t="s">
        <v>14473</v>
      </c>
      <c r="E636" t="s">
        <v>18630</v>
      </c>
      <c r="F636" t="s">
        <v>18632</v>
      </c>
      <c r="G636" t="s">
        <v>18332</v>
      </c>
    </row>
    <row r="637" spans="1:7" x14ac:dyDescent="0.25">
      <c r="A637" t="s">
        <v>22</v>
      </c>
      <c r="B637" t="s">
        <v>18635</v>
      </c>
      <c r="C637" t="s">
        <v>18636</v>
      </c>
      <c r="D637" t="s">
        <v>14473</v>
      </c>
      <c r="E637" t="s">
        <v>18635</v>
      </c>
      <c r="F637" t="s">
        <v>18637</v>
      </c>
      <c r="G637" t="s">
        <v>17689</v>
      </c>
    </row>
    <row r="638" spans="1:7" x14ac:dyDescent="0.25">
      <c r="A638" t="s">
        <v>22</v>
      </c>
      <c r="B638" t="s">
        <v>18640</v>
      </c>
      <c r="C638" t="s">
        <v>18641</v>
      </c>
      <c r="D638" t="s">
        <v>14473</v>
      </c>
      <c r="E638" t="s">
        <v>18640</v>
      </c>
      <c r="F638" t="s">
        <v>18642</v>
      </c>
      <c r="G638" t="s">
        <v>17689</v>
      </c>
    </row>
    <row r="639" spans="1:7" x14ac:dyDescent="0.25">
      <c r="A639" t="s">
        <v>22</v>
      </c>
      <c r="B639" t="s">
        <v>18645</v>
      </c>
      <c r="C639" t="s">
        <v>18646</v>
      </c>
      <c r="D639" t="s">
        <v>14473</v>
      </c>
      <c r="E639" t="s">
        <v>18645</v>
      </c>
      <c r="F639" t="s">
        <v>18647</v>
      </c>
      <c r="G639" t="s">
        <v>18147</v>
      </c>
    </row>
    <row r="640" spans="1:7" x14ac:dyDescent="0.25">
      <c r="A640" t="s">
        <v>22</v>
      </c>
      <c r="B640" t="s">
        <v>18650</v>
      </c>
      <c r="C640" t="s">
        <v>18651</v>
      </c>
      <c r="D640" t="s">
        <v>14473</v>
      </c>
      <c r="E640" t="s">
        <v>18650</v>
      </c>
      <c r="F640" t="s">
        <v>18652</v>
      </c>
      <c r="G640" t="s">
        <v>17181</v>
      </c>
    </row>
    <row r="641" spans="1:7" x14ac:dyDescent="0.25">
      <c r="A641" t="s">
        <v>38</v>
      </c>
      <c r="B641" t="s">
        <v>18655</v>
      </c>
      <c r="C641" t="s">
        <v>17359</v>
      </c>
      <c r="D641" t="s">
        <v>14473</v>
      </c>
      <c r="E641" t="s">
        <v>18655</v>
      </c>
      <c r="F641" t="s">
        <v>18656</v>
      </c>
      <c r="G641" t="s">
        <v>17689</v>
      </c>
    </row>
    <row r="642" spans="1:7" x14ac:dyDescent="0.25">
      <c r="A642" t="s">
        <v>22</v>
      </c>
      <c r="B642" t="s">
        <v>18659</v>
      </c>
      <c r="C642" t="s">
        <v>18660</v>
      </c>
      <c r="D642" t="s">
        <v>14473</v>
      </c>
      <c r="E642" t="s">
        <v>18659</v>
      </c>
      <c r="F642" t="s">
        <v>18661</v>
      </c>
      <c r="G642" t="s">
        <v>17372</v>
      </c>
    </row>
    <row r="643" spans="1:7" x14ac:dyDescent="0.25">
      <c r="A643" t="s">
        <v>22</v>
      </c>
      <c r="B643" t="s">
        <v>18664</v>
      </c>
      <c r="C643" t="s">
        <v>17937</v>
      </c>
      <c r="D643" t="s">
        <v>14473</v>
      </c>
      <c r="E643" t="s">
        <v>18664</v>
      </c>
      <c r="F643" t="s">
        <v>18665</v>
      </c>
      <c r="G643" t="s">
        <v>17724</v>
      </c>
    </row>
    <row r="644" spans="1:7" x14ac:dyDescent="0.25">
      <c r="A644" t="s">
        <v>22</v>
      </c>
      <c r="B644" t="s">
        <v>18668</v>
      </c>
      <c r="C644" t="s">
        <v>18669</v>
      </c>
      <c r="D644" t="s">
        <v>14473</v>
      </c>
      <c r="E644" t="s">
        <v>18668</v>
      </c>
      <c r="F644" t="s">
        <v>18670</v>
      </c>
      <c r="G644" t="s">
        <v>17313</v>
      </c>
    </row>
    <row r="645" spans="1:7" x14ac:dyDescent="0.25">
      <c r="A645" t="s">
        <v>38</v>
      </c>
      <c r="B645" t="s">
        <v>18673</v>
      </c>
      <c r="C645" t="s">
        <v>18674</v>
      </c>
      <c r="D645" t="s">
        <v>14473</v>
      </c>
      <c r="E645" t="s">
        <v>18673</v>
      </c>
      <c r="F645" t="s">
        <v>18675</v>
      </c>
      <c r="G645" t="s">
        <v>17372</v>
      </c>
    </row>
    <row r="646" spans="1:7" x14ac:dyDescent="0.25">
      <c r="A646" t="s">
        <v>38</v>
      </c>
      <c r="B646" t="s">
        <v>18678</v>
      </c>
      <c r="C646" t="s">
        <v>18679</v>
      </c>
      <c r="D646" t="s">
        <v>14473</v>
      </c>
      <c r="E646" t="s">
        <v>18678</v>
      </c>
      <c r="F646" t="s">
        <v>18680</v>
      </c>
      <c r="G646" t="s">
        <v>17724</v>
      </c>
    </row>
    <row r="647" spans="1:7" x14ac:dyDescent="0.25">
      <c r="A647" t="s">
        <v>38</v>
      </c>
      <c r="B647" t="s">
        <v>18683</v>
      </c>
      <c r="C647" t="s">
        <v>8767</v>
      </c>
      <c r="D647" t="s">
        <v>14473</v>
      </c>
      <c r="E647" t="s">
        <v>18683</v>
      </c>
      <c r="F647" t="s">
        <v>18684</v>
      </c>
      <c r="G647" t="s">
        <v>18435</v>
      </c>
    </row>
    <row r="648" spans="1:7" x14ac:dyDescent="0.25">
      <c r="A648" t="s">
        <v>38</v>
      </c>
      <c r="B648" t="s">
        <v>18687</v>
      </c>
      <c r="C648" t="s">
        <v>18688</v>
      </c>
      <c r="D648" t="s">
        <v>14473</v>
      </c>
      <c r="E648" t="s">
        <v>18687</v>
      </c>
      <c r="F648" t="s">
        <v>18689</v>
      </c>
      <c r="G648" t="s">
        <v>17724</v>
      </c>
    </row>
    <row r="649" spans="1:7" x14ac:dyDescent="0.25">
      <c r="A649" t="s">
        <v>22</v>
      </c>
      <c r="B649" t="s">
        <v>18692</v>
      </c>
      <c r="C649" t="s">
        <v>18693</v>
      </c>
      <c r="D649" t="s">
        <v>14473</v>
      </c>
      <c r="E649" t="s">
        <v>18692</v>
      </c>
      <c r="F649" t="s">
        <v>18694</v>
      </c>
      <c r="G649" t="s">
        <v>18571</v>
      </c>
    </row>
    <row r="650" spans="1:7" x14ac:dyDescent="0.25">
      <c r="A650" t="s">
        <v>22</v>
      </c>
      <c r="B650" t="s">
        <v>18697</v>
      </c>
      <c r="C650" t="s">
        <v>18698</v>
      </c>
      <c r="D650" t="s">
        <v>14473</v>
      </c>
      <c r="E650" t="s">
        <v>18697</v>
      </c>
      <c r="F650" t="s">
        <v>18699</v>
      </c>
      <c r="G650" t="s">
        <v>17372</v>
      </c>
    </row>
    <row r="651" spans="1:7" x14ac:dyDescent="0.25">
      <c r="A651" t="s">
        <v>38</v>
      </c>
      <c r="B651" t="s">
        <v>18702</v>
      </c>
      <c r="C651" t="s">
        <v>18703</v>
      </c>
      <c r="D651" t="s">
        <v>14473</v>
      </c>
      <c r="E651" t="s">
        <v>18702</v>
      </c>
      <c r="F651" t="s">
        <v>18704</v>
      </c>
      <c r="G651" t="s">
        <v>17781</v>
      </c>
    </row>
    <row r="652" spans="1:7" x14ac:dyDescent="0.25">
      <c r="A652" t="s">
        <v>22</v>
      </c>
      <c r="B652" t="s">
        <v>18707</v>
      </c>
      <c r="C652" t="s">
        <v>18708</v>
      </c>
      <c r="D652" t="s">
        <v>14473</v>
      </c>
      <c r="E652" t="s">
        <v>18707</v>
      </c>
      <c r="F652" t="s">
        <v>18709</v>
      </c>
      <c r="G652" t="s">
        <v>17159</v>
      </c>
    </row>
    <row r="653" spans="1:7" x14ac:dyDescent="0.25">
      <c r="A653" t="s">
        <v>38</v>
      </c>
      <c r="B653" t="s">
        <v>18712</v>
      </c>
      <c r="C653" t="s">
        <v>17952</v>
      </c>
      <c r="D653" t="s">
        <v>14473</v>
      </c>
      <c r="E653" t="s">
        <v>18712</v>
      </c>
      <c r="F653" t="s">
        <v>18713</v>
      </c>
      <c r="G653" t="s">
        <v>17546</v>
      </c>
    </row>
    <row r="654" spans="1:7" x14ac:dyDescent="0.25">
      <c r="A654" t="s">
        <v>22</v>
      </c>
      <c r="B654" t="s">
        <v>18716</v>
      </c>
      <c r="C654" t="s">
        <v>18717</v>
      </c>
      <c r="D654" t="s">
        <v>14473</v>
      </c>
      <c r="E654" t="s">
        <v>18716</v>
      </c>
      <c r="F654" t="s">
        <v>18718</v>
      </c>
      <c r="G654" t="s">
        <v>9074</v>
      </c>
    </row>
    <row r="655" spans="1:7" x14ac:dyDescent="0.25">
      <c r="A655" t="s">
        <v>38</v>
      </c>
      <c r="B655" t="s">
        <v>18721</v>
      </c>
      <c r="C655" t="s">
        <v>18722</v>
      </c>
      <c r="D655" t="s">
        <v>14473</v>
      </c>
      <c r="E655" t="s">
        <v>18721</v>
      </c>
      <c r="F655" t="s">
        <v>18723</v>
      </c>
      <c r="G655" t="s">
        <v>18724</v>
      </c>
    </row>
    <row r="656" spans="1:7" x14ac:dyDescent="0.25">
      <c r="A656" t="s">
        <v>38</v>
      </c>
      <c r="B656" t="s">
        <v>18727</v>
      </c>
      <c r="C656" t="s">
        <v>18728</v>
      </c>
      <c r="D656" t="s">
        <v>14473</v>
      </c>
      <c r="E656" t="s">
        <v>18727</v>
      </c>
      <c r="F656" t="s">
        <v>18729</v>
      </c>
      <c r="G656" t="s">
        <v>17546</v>
      </c>
    </row>
    <row r="657" spans="1:7" x14ac:dyDescent="0.25">
      <c r="A657" t="s">
        <v>22</v>
      </c>
      <c r="B657" t="s">
        <v>18732</v>
      </c>
      <c r="C657" t="s">
        <v>18733</v>
      </c>
      <c r="D657" t="s">
        <v>14473</v>
      </c>
      <c r="E657" t="s">
        <v>18732</v>
      </c>
      <c r="F657" t="s">
        <v>18734</v>
      </c>
      <c r="G657" t="s">
        <v>18316</v>
      </c>
    </row>
    <row r="658" spans="1:7" x14ac:dyDescent="0.25">
      <c r="A658" t="s">
        <v>38</v>
      </c>
      <c r="B658" t="s">
        <v>18737</v>
      </c>
      <c r="C658" t="s">
        <v>18156</v>
      </c>
      <c r="D658" t="s">
        <v>14473</v>
      </c>
      <c r="E658" t="s">
        <v>18737</v>
      </c>
      <c r="F658" t="s">
        <v>18738</v>
      </c>
      <c r="G658" t="s">
        <v>17546</v>
      </c>
    </row>
    <row r="659" spans="1:7" x14ac:dyDescent="0.25">
      <c r="A659" t="s">
        <v>22</v>
      </c>
      <c r="B659" t="s">
        <v>18741</v>
      </c>
      <c r="C659" t="s">
        <v>18742</v>
      </c>
      <c r="D659" t="s">
        <v>14473</v>
      </c>
      <c r="E659" t="s">
        <v>18741</v>
      </c>
      <c r="F659" t="s">
        <v>18743</v>
      </c>
      <c r="G659" t="s">
        <v>18064</v>
      </c>
    </row>
    <row r="660" spans="1:7" x14ac:dyDescent="0.25">
      <c r="A660" t="s">
        <v>38</v>
      </c>
      <c r="B660" t="s">
        <v>18746</v>
      </c>
      <c r="C660" t="s">
        <v>18747</v>
      </c>
      <c r="D660" t="s">
        <v>14473</v>
      </c>
      <c r="E660" t="s">
        <v>18746</v>
      </c>
      <c r="F660" t="s">
        <v>18748</v>
      </c>
      <c r="G660" t="s">
        <v>17781</v>
      </c>
    </row>
    <row r="661" spans="1:7" x14ac:dyDescent="0.25">
      <c r="A661" t="s">
        <v>38</v>
      </c>
      <c r="B661" t="s">
        <v>18751</v>
      </c>
      <c r="C661" t="s">
        <v>18752</v>
      </c>
      <c r="D661" t="s">
        <v>14473</v>
      </c>
      <c r="E661" t="s">
        <v>18751</v>
      </c>
      <c r="F661" t="s">
        <v>18753</v>
      </c>
      <c r="G661" t="s">
        <v>17546</v>
      </c>
    </row>
    <row r="662" spans="1:7" x14ac:dyDescent="0.25">
      <c r="A662" t="s">
        <v>22</v>
      </c>
      <c r="B662" t="s">
        <v>18756</v>
      </c>
      <c r="C662" t="s">
        <v>18757</v>
      </c>
      <c r="D662" t="s">
        <v>14473</v>
      </c>
      <c r="E662" t="s">
        <v>18756</v>
      </c>
      <c r="F662" t="s">
        <v>18758</v>
      </c>
      <c r="G662" t="s">
        <v>17372</v>
      </c>
    </row>
    <row r="663" spans="1:7" x14ac:dyDescent="0.25">
      <c r="A663" t="s">
        <v>22</v>
      </c>
      <c r="B663" t="s">
        <v>18761</v>
      </c>
      <c r="C663" t="s">
        <v>18762</v>
      </c>
      <c r="D663" t="s">
        <v>14473</v>
      </c>
      <c r="E663" t="s">
        <v>18761</v>
      </c>
      <c r="F663" t="s">
        <v>18763</v>
      </c>
      <c r="G663" t="s">
        <v>17372</v>
      </c>
    </row>
    <row r="664" spans="1:7" x14ac:dyDescent="0.25">
      <c r="A664" t="s">
        <v>38</v>
      </c>
      <c r="B664" t="s">
        <v>18766</v>
      </c>
      <c r="C664" t="s">
        <v>18239</v>
      </c>
      <c r="D664" t="s">
        <v>14473</v>
      </c>
      <c r="E664" t="s">
        <v>18766</v>
      </c>
      <c r="F664" t="s">
        <v>18767</v>
      </c>
      <c r="G664" t="s">
        <v>18241</v>
      </c>
    </row>
    <row r="665" spans="1:7" x14ac:dyDescent="0.25">
      <c r="A665" t="s">
        <v>38</v>
      </c>
      <c r="B665" t="s">
        <v>18770</v>
      </c>
      <c r="C665" t="s">
        <v>18239</v>
      </c>
      <c r="D665" t="s">
        <v>14473</v>
      </c>
      <c r="E665" t="s">
        <v>18770</v>
      </c>
      <c r="F665" t="s">
        <v>18771</v>
      </c>
      <c r="G665" t="s">
        <v>18241</v>
      </c>
    </row>
    <row r="666" spans="1:7" x14ac:dyDescent="0.25">
      <c r="A666" t="s">
        <v>22</v>
      </c>
      <c r="B666" t="s">
        <v>18774</v>
      </c>
      <c r="C666" t="s">
        <v>17456</v>
      </c>
      <c r="D666" t="s">
        <v>14473</v>
      </c>
      <c r="E666" t="s">
        <v>18774</v>
      </c>
      <c r="F666" t="s">
        <v>18775</v>
      </c>
      <c r="G666" t="s">
        <v>17372</v>
      </c>
    </row>
    <row r="667" spans="1:7" x14ac:dyDescent="0.25">
      <c r="A667" t="s">
        <v>22</v>
      </c>
      <c r="B667" t="s">
        <v>18778</v>
      </c>
      <c r="C667" t="s">
        <v>1385</v>
      </c>
      <c r="D667" t="s">
        <v>14473</v>
      </c>
      <c r="E667" t="s">
        <v>18778</v>
      </c>
      <c r="F667" t="s">
        <v>18779</v>
      </c>
      <c r="G667" t="s">
        <v>17202</v>
      </c>
    </row>
    <row r="668" spans="1:7" x14ac:dyDescent="0.25">
      <c r="A668" t="s">
        <v>22</v>
      </c>
      <c r="B668" t="s">
        <v>18782</v>
      </c>
      <c r="C668" t="s">
        <v>18783</v>
      </c>
      <c r="D668" t="s">
        <v>14473</v>
      </c>
      <c r="E668" t="s">
        <v>18782</v>
      </c>
      <c r="F668" t="s">
        <v>18784</v>
      </c>
      <c r="G668" t="s">
        <v>17336</v>
      </c>
    </row>
    <row r="669" spans="1:7" x14ac:dyDescent="0.25">
      <c r="A669" t="s">
        <v>38</v>
      </c>
      <c r="B669" t="s">
        <v>18787</v>
      </c>
      <c r="C669" t="s">
        <v>17972</v>
      </c>
      <c r="D669" t="s">
        <v>14473</v>
      </c>
      <c r="E669" t="s">
        <v>18787</v>
      </c>
      <c r="F669" t="s">
        <v>18788</v>
      </c>
      <c r="G669" t="s">
        <v>17792</v>
      </c>
    </row>
    <row r="670" spans="1:7" x14ac:dyDescent="0.25">
      <c r="A670" t="s">
        <v>22</v>
      </c>
      <c r="B670" t="s">
        <v>18796</v>
      </c>
      <c r="C670" t="s">
        <v>18797</v>
      </c>
      <c r="D670" t="s">
        <v>14473</v>
      </c>
      <c r="E670" t="s">
        <v>18796</v>
      </c>
      <c r="F670" t="s">
        <v>18798</v>
      </c>
      <c r="G670" t="s">
        <v>17286</v>
      </c>
    </row>
    <row r="671" spans="1:7" x14ac:dyDescent="0.25">
      <c r="A671" t="s">
        <v>22</v>
      </c>
      <c r="B671" t="s">
        <v>18801</v>
      </c>
      <c r="C671" t="s">
        <v>17535</v>
      </c>
      <c r="D671" t="s">
        <v>14473</v>
      </c>
      <c r="E671" t="s">
        <v>18801</v>
      </c>
      <c r="F671" t="s">
        <v>18802</v>
      </c>
      <c r="G671" t="s">
        <v>17165</v>
      </c>
    </row>
    <row r="672" spans="1:7" x14ac:dyDescent="0.25">
      <c r="A672" t="s">
        <v>38</v>
      </c>
      <c r="B672" t="s">
        <v>18805</v>
      </c>
      <c r="C672" t="s">
        <v>18806</v>
      </c>
      <c r="D672" t="s">
        <v>14473</v>
      </c>
      <c r="E672" t="s">
        <v>18805</v>
      </c>
      <c r="F672" t="s">
        <v>18807</v>
      </c>
      <c r="G672" t="s">
        <v>17372</v>
      </c>
    </row>
    <row r="673" spans="1:7" x14ac:dyDescent="0.25">
      <c r="A673" t="s">
        <v>38</v>
      </c>
      <c r="B673" t="s">
        <v>18810</v>
      </c>
      <c r="C673" t="s">
        <v>18811</v>
      </c>
      <c r="D673" t="s">
        <v>14473</v>
      </c>
      <c r="E673" t="s">
        <v>18810</v>
      </c>
      <c r="F673" t="s">
        <v>18812</v>
      </c>
      <c r="G673" t="s">
        <v>17313</v>
      </c>
    </row>
    <row r="674" spans="1:7" x14ac:dyDescent="0.25">
      <c r="A674" t="s">
        <v>22</v>
      </c>
      <c r="B674" t="s">
        <v>18815</v>
      </c>
      <c r="C674" t="s">
        <v>18389</v>
      </c>
      <c r="D674" t="s">
        <v>14473</v>
      </c>
      <c r="E674" t="s">
        <v>18815</v>
      </c>
      <c r="F674" t="s">
        <v>18816</v>
      </c>
      <c r="G674" t="s">
        <v>17724</v>
      </c>
    </row>
    <row r="675" spans="1:7" x14ac:dyDescent="0.25">
      <c r="A675" t="s">
        <v>38</v>
      </c>
      <c r="B675" t="s">
        <v>18819</v>
      </c>
      <c r="C675" t="s">
        <v>18820</v>
      </c>
      <c r="D675" t="s">
        <v>14473</v>
      </c>
      <c r="E675" t="s">
        <v>18819</v>
      </c>
      <c r="F675" t="s">
        <v>18821</v>
      </c>
      <c r="G675" t="s">
        <v>17620</v>
      </c>
    </row>
    <row r="676" spans="1:7" x14ac:dyDescent="0.25">
      <c r="A676" t="s">
        <v>38</v>
      </c>
      <c r="B676" t="s">
        <v>18824</v>
      </c>
      <c r="C676" t="s">
        <v>18825</v>
      </c>
      <c r="D676" t="s">
        <v>14473</v>
      </c>
      <c r="E676" t="s">
        <v>18824</v>
      </c>
      <c r="F676" t="s">
        <v>18826</v>
      </c>
      <c r="G676" t="s">
        <v>18064</v>
      </c>
    </row>
    <row r="677" spans="1:7" x14ac:dyDescent="0.25">
      <c r="A677" t="s">
        <v>38</v>
      </c>
      <c r="B677" t="s">
        <v>18829</v>
      </c>
      <c r="C677" t="s">
        <v>18830</v>
      </c>
      <c r="D677" t="s">
        <v>14473</v>
      </c>
      <c r="E677" t="s">
        <v>18829</v>
      </c>
      <c r="F677" t="s">
        <v>18831</v>
      </c>
      <c r="G677" t="s">
        <v>17419</v>
      </c>
    </row>
    <row r="678" spans="1:7" x14ac:dyDescent="0.25">
      <c r="A678" t="s">
        <v>38</v>
      </c>
      <c r="B678" t="s">
        <v>18834</v>
      </c>
      <c r="C678" t="s">
        <v>18835</v>
      </c>
      <c r="D678" t="s">
        <v>14473</v>
      </c>
      <c r="E678" t="s">
        <v>18834</v>
      </c>
      <c r="F678" t="s">
        <v>18836</v>
      </c>
      <c r="G678" t="s">
        <v>11856</v>
      </c>
    </row>
    <row r="679" spans="1:7" x14ac:dyDescent="0.25">
      <c r="A679" t="s">
        <v>38</v>
      </c>
      <c r="B679" t="s">
        <v>18839</v>
      </c>
      <c r="C679" t="s">
        <v>18840</v>
      </c>
      <c r="D679" t="s">
        <v>14473</v>
      </c>
      <c r="E679" t="s">
        <v>18839</v>
      </c>
      <c r="F679" t="s">
        <v>18841</v>
      </c>
      <c r="G679" t="s">
        <v>17419</v>
      </c>
    </row>
    <row r="680" spans="1:7" x14ac:dyDescent="0.25">
      <c r="A680" t="s">
        <v>22</v>
      </c>
      <c r="B680" t="s">
        <v>18844</v>
      </c>
      <c r="C680" t="s">
        <v>18473</v>
      </c>
      <c r="D680" t="s">
        <v>14473</v>
      </c>
      <c r="E680" t="s">
        <v>18844</v>
      </c>
      <c r="F680" t="s">
        <v>18845</v>
      </c>
      <c r="G680" t="s">
        <v>17781</v>
      </c>
    </row>
    <row r="681" spans="1:7" x14ac:dyDescent="0.25">
      <c r="A681" t="s">
        <v>38</v>
      </c>
      <c r="B681" t="s">
        <v>18848</v>
      </c>
      <c r="C681" t="s">
        <v>18849</v>
      </c>
      <c r="D681" t="s">
        <v>14473</v>
      </c>
      <c r="E681" t="s">
        <v>18848</v>
      </c>
      <c r="F681" t="s">
        <v>18850</v>
      </c>
      <c r="G681" t="s">
        <v>17270</v>
      </c>
    </row>
    <row r="682" spans="1:7" x14ac:dyDescent="0.25">
      <c r="A682" t="s">
        <v>38</v>
      </c>
      <c r="B682" t="s">
        <v>18853</v>
      </c>
      <c r="C682" t="s">
        <v>18854</v>
      </c>
      <c r="D682" t="s">
        <v>14473</v>
      </c>
      <c r="E682" t="s">
        <v>18853</v>
      </c>
      <c r="F682" t="s">
        <v>18855</v>
      </c>
      <c r="G682" t="s">
        <v>17781</v>
      </c>
    </row>
    <row r="683" spans="1:7" x14ac:dyDescent="0.25">
      <c r="A683" t="s">
        <v>38</v>
      </c>
      <c r="B683" t="s">
        <v>18858</v>
      </c>
      <c r="C683" t="s">
        <v>18859</v>
      </c>
      <c r="D683" t="s">
        <v>14473</v>
      </c>
      <c r="E683" t="s">
        <v>18858</v>
      </c>
      <c r="F683" t="s">
        <v>18860</v>
      </c>
      <c r="G683" t="s">
        <v>17202</v>
      </c>
    </row>
    <row r="684" spans="1:7" x14ac:dyDescent="0.25">
      <c r="A684" t="s">
        <v>38</v>
      </c>
      <c r="B684" t="s">
        <v>18863</v>
      </c>
      <c r="C684" t="s">
        <v>18024</v>
      </c>
      <c r="D684" t="s">
        <v>14473</v>
      </c>
      <c r="E684" t="s">
        <v>18863</v>
      </c>
      <c r="F684" t="s">
        <v>18864</v>
      </c>
      <c r="G684" t="s">
        <v>17781</v>
      </c>
    </row>
    <row r="685" spans="1:7" x14ac:dyDescent="0.25">
      <c r="A685" t="s">
        <v>38</v>
      </c>
      <c r="B685" t="s">
        <v>18867</v>
      </c>
      <c r="C685" t="s">
        <v>18868</v>
      </c>
      <c r="D685" t="s">
        <v>14473</v>
      </c>
      <c r="E685" t="s">
        <v>18867</v>
      </c>
      <c r="F685" t="s">
        <v>18869</v>
      </c>
      <c r="G685" t="s">
        <v>17546</v>
      </c>
    </row>
    <row r="686" spans="1:7" x14ac:dyDescent="0.25">
      <c r="A686" t="s">
        <v>38</v>
      </c>
      <c r="B686" t="s">
        <v>18872</v>
      </c>
      <c r="C686" t="s">
        <v>18646</v>
      </c>
      <c r="D686" t="s">
        <v>14473</v>
      </c>
      <c r="E686" t="s">
        <v>18872</v>
      </c>
      <c r="F686" t="s">
        <v>18873</v>
      </c>
      <c r="G686" t="s">
        <v>18147</v>
      </c>
    </row>
    <row r="687" spans="1:7" x14ac:dyDescent="0.25">
      <c r="A687" t="s">
        <v>38</v>
      </c>
      <c r="B687" t="s">
        <v>18876</v>
      </c>
      <c r="C687" t="s">
        <v>18877</v>
      </c>
      <c r="D687" t="s">
        <v>14473</v>
      </c>
      <c r="E687" t="s">
        <v>18876</v>
      </c>
      <c r="F687" t="s">
        <v>18878</v>
      </c>
      <c r="G687" t="s">
        <v>17366</v>
      </c>
    </row>
    <row r="688" spans="1:7" x14ac:dyDescent="0.25">
      <c r="A688" t="s">
        <v>38</v>
      </c>
      <c r="B688" t="s">
        <v>18881</v>
      </c>
      <c r="C688" t="s">
        <v>18882</v>
      </c>
      <c r="D688" t="s">
        <v>14473</v>
      </c>
      <c r="E688" t="s">
        <v>18881</v>
      </c>
      <c r="F688" t="s">
        <v>18883</v>
      </c>
      <c r="G688" t="s">
        <v>17781</v>
      </c>
    </row>
    <row r="689" spans="1:7" x14ac:dyDescent="0.25">
      <c r="A689" t="s">
        <v>38</v>
      </c>
      <c r="B689" t="s">
        <v>18886</v>
      </c>
      <c r="C689" t="s">
        <v>17737</v>
      </c>
      <c r="D689" t="s">
        <v>14473</v>
      </c>
      <c r="E689" t="s">
        <v>18886</v>
      </c>
      <c r="F689" t="s">
        <v>18887</v>
      </c>
      <c r="G689" t="s">
        <v>17372</v>
      </c>
    </row>
    <row r="690" spans="1:7" x14ac:dyDescent="0.25">
      <c r="A690" t="s">
        <v>22</v>
      </c>
      <c r="B690" t="s">
        <v>18890</v>
      </c>
      <c r="C690" t="s">
        <v>18891</v>
      </c>
      <c r="D690" t="s">
        <v>14473</v>
      </c>
      <c r="E690" t="s">
        <v>18890</v>
      </c>
      <c r="F690" t="s">
        <v>18892</v>
      </c>
      <c r="G690" t="s">
        <v>17419</v>
      </c>
    </row>
    <row r="691" spans="1:7" x14ac:dyDescent="0.25">
      <c r="A691" t="s">
        <v>22</v>
      </c>
      <c r="B691" t="s">
        <v>18895</v>
      </c>
      <c r="C691" t="s">
        <v>18161</v>
      </c>
      <c r="D691" t="s">
        <v>14473</v>
      </c>
      <c r="E691" t="s">
        <v>18895</v>
      </c>
      <c r="F691" t="s">
        <v>18896</v>
      </c>
      <c r="G691" t="s">
        <v>18163</v>
      </c>
    </row>
    <row r="692" spans="1:7" x14ac:dyDescent="0.25">
      <c r="A692" t="s">
        <v>38</v>
      </c>
      <c r="B692" t="s">
        <v>18899</v>
      </c>
      <c r="C692" t="s">
        <v>18900</v>
      </c>
      <c r="D692" t="s">
        <v>14473</v>
      </c>
      <c r="E692" t="s">
        <v>18899</v>
      </c>
      <c r="F692" t="s">
        <v>18901</v>
      </c>
      <c r="G692" t="s">
        <v>18435</v>
      </c>
    </row>
    <row r="693" spans="1:7" x14ac:dyDescent="0.25">
      <c r="A693" t="s">
        <v>38</v>
      </c>
      <c r="B693" t="s">
        <v>18904</v>
      </c>
      <c r="C693" t="s">
        <v>18905</v>
      </c>
      <c r="D693" t="s">
        <v>14473</v>
      </c>
      <c r="E693" t="s">
        <v>18904</v>
      </c>
      <c r="F693" t="s">
        <v>18906</v>
      </c>
      <c r="G693" t="s">
        <v>17202</v>
      </c>
    </row>
    <row r="694" spans="1:7" x14ac:dyDescent="0.25">
      <c r="A694" t="s">
        <v>38</v>
      </c>
      <c r="B694" t="s">
        <v>18909</v>
      </c>
      <c r="C694" t="s">
        <v>18910</v>
      </c>
      <c r="D694" t="s">
        <v>14473</v>
      </c>
      <c r="E694" t="s">
        <v>18909</v>
      </c>
      <c r="F694" t="s">
        <v>18911</v>
      </c>
      <c r="G694" t="s">
        <v>17781</v>
      </c>
    </row>
    <row r="695" spans="1:7" x14ac:dyDescent="0.25">
      <c r="A695" t="s">
        <v>38</v>
      </c>
      <c r="B695" t="s">
        <v>18914</v>
      </c>
      <c r="C695" t="s">
        <v>18915</v>
      </c>
      <c r="D695" t="s">
        <v>14473</v>
      </c>
      <c r="E695" t="s">
        <v>18914</v>
      </c>
      <c r="F695" t="s">
        <v>18916</v>
      </c>
      <c r="G695" t="s">
        <v>18528</v>
      </c>
    </row>
    <row r="696" spans="1:7" x14ac:dyDescent="0.25">
      <c r="A696" t="s">
        <v>38</v>
      </c>
      <c r="B696" t="s">
        <v>18919</v>
      </c>
      <c r="C696" t="s">
        <v>18920</v>
      </c>
      <c r="D696" t="s">
        <v>14473</v>
      </c>
      <c r="E696" t="s">
        <v>18919</v>
      </c>
      <c r="F696" t="s">
        <v>18921</v>
      </c>
      <c r="G696" t="s">
        <v>17781</v>
      </c>
    </row>
    <row r="697" spans="1:7" x14ac:dyDescent="0.25">
      <c r="A697" t="s">
        <v>38</v>
      </c>
      <c r="B697" t="s">
        <v>17205</v>
      </c>
      <c r="C697" t="s">
        <v>18924</v>
      </c>
      <c r="D697" t="s">
        <v>14473</v>
      </c>
      <c r="E697" t="s">
        <v>17205</v>
      </c>
      <c r="F697" t="s">
        <v>18925</v>
      </c>
      <c r="G697" t="s">
        <v>17781</v>
      </c>
    </row>
    <row r="698" spans="1:7" x14ac:dyDescent="0.25">
      <c r="A698" t="s">
        <v>22</v>
      </c>
      <c r="B698" t="s">
        <v>18928</v>
      </c>
      <c r="C698" t="s">
        <v>18929</v>
      </c>
      <c r="D698" t="s">
        <v>14473</v>
      </c>
      <c r="E698" t="s">
        <v>18928</v>
      </c>
      <c r="F698" t="s">
        <v>18930</v>
      </c>
      <c r="G698" t="s">
        <v>17724</v>
      </c>
    </row>
    <row r="699" spans="1:7" x14ac:dyDescent="0.25">
      <c r="A699" t="s">
        <v>22</v>
      </c>
      <c r="B699" t="s">
        <v>18933</v>
      </c>
      <c r="C699" t="s">
        <v>18934</v>
      </c>
      <c r="D699" t="s">
        <v>14473</v>
      </c>
      <c r="E699" t="s">
        <v>18933</v>
      </c>
      <c r="F699" t="s">
        <v>18935</v>
      </c>
      <c r="G699" t="s">
        <v>17372</v>
      </c>
    </row>
    <row r="700" spans="1:7" x14ac:dyDescent="0.25">
      <c r="A700" t="s">
        <v>38</v>
      </c>
      <c r="B700" t="s">
        <v>18938</v>
      </c>
      <c r="C700" t="s">
        <v>18939</v>
      </c>
      <c r="D700" t="s">
        <v>14473</v>
      </c>
      <c r="E700" t="s">
        <v>18938</v>
      </c>
      <c r="F700" t="s">
        <v>18940</v>
      </c>
      <c r="G700" t="s">
        <v>17562</v>
      </c>
    </row>
    <row r="701" spans="1:7" x14ac:dyDescent="0.25">
      <c r="A701" t="s">
        <v>22</v>
      </c>
      <c r="B701" t="s">
        <v>18943</v>
      </c>
      <c r="C701" t="s">
        <v>18944</v>
      </c>
      <c r="D701" t="s">
        <v>14473</v>
      </c>
      <c r="E701" t="s">
        <v>18943</v>
      </c>
      <c r="F701" t="s">
        <v>18945</v>
      </c>
      <c r="G701" t="s">
        <v>17781</v>
      </c>
    </row>
    <row r="702" spans="1:7" x14ac:dyDescent="0.25">
      <c r="A702" t="s">
        <v>38</v>
      </c>
      <c r="B702" t="s">
        <v>18948</v>
      </c>
      <c r="C702" t="s">
        <v>18949</v>
      </c>
      <c r="D702" t="s">
        <v>14473</v>
      </c>
      <c r="E702" t="s">
        <v>18948</v>
      </c>
      <c r="F702" t="s">
        <v>18950</v>
      </c>
      <c r="G702" t="s">
        <v>17270</v>
      </c>
    </row>
    <row r="703" spans="1:7" x14ac:dyDescent="0.25">
      <c r="A703" t="s">
        <v>38</v>
      </c>
      <c r="B703" t="s">
        <v>18953</v>
      </c>
      <c r="C703" t="s">
        <v>17268</v>
      </c>
      <c r="D703" t="s">
        <v>14473</v>
      </c>
      <c r="E703" t="s">
        <v>18953</v>
      </c>
      <c r="F703" t="s">
        <v>18954</v>
      </c>
      <c r="G703" t="s">
        <v>17270</v>
      </c>
    </row>
    <row r="704" spans="1:7" x14ac:dyDescent="0.25">
      <c r="A704" t="s">
        <v>38</v>
      </c>
      <c r="B704" t="s">
        <v>18957</v>
      </c>
      <c r="C704" t="s">
        <v>18958</v>
      </c>
      <c r="D704" t="s">
        <v>14473</v>
      </c>
      <c r="E704" t="s">
        <v>18957</v>
      </c>
      <c r="F704" t="s">
        <v>18959</v>
      </c>
      <c r="G704" t="s">
        <v>17286</v>
      </c>
    </row>
    <row r="705" spans="1:7" x14ac:dyDescent="0.25">
      <c r="A705" t="s">
        <v>38</v>
      </c>
      <c r="B705" t="s">
        <v>18962</v>
      </c>
      <c r="C705" t="s">
        <v>18963</v>
      </c>
      <c r="D705" t="s">
        <v>14473</v>
      </c>
      <c r="E705" t="s">
        <v>18962</v>
      </c>
      <c r="F705" t="s">
        <v>18964</v>
      </c>
      <c r="G705" t="s">
        <v>18965</v>
      </c>
    </row>
    <row r="706" spans="1:7" x14ac:dyDescent="0.25">
      <c r="A706" t="s">
        <v>38</v>
      </c>
      <c r="B706" t="s">
        <v>18968</v>
      </c>
      <c r="C706" t="s">
        <v>18969</v>
      </c>
      <c r="D706" t="s">
        <v>14473</v>
      </c>
      <c r="E706" t="s">
        <v>18968</v>
      </c>
      <c r="F706" t="s">
        <v>18970</v>
      </c>
      <c r="G706" t="s">
        <v>17270</v>
      </c>
    </row>
    <row r="707" spans="1:7" x14ac:dyDescent="0.25">
      <c r="A707" t="s">
        <v>38</v>
      </c>
      <c r="B707" t="s">
        <v>18973</v>
      </c>
      <c r="C707" t="s">
        <v>18974</v>
      </c>
      <c r="D707" t="s">
        <v>14473</v>
      </c>
      <c r="E707" t="s">
        <v>18973</v>
      </c>
      <c r="F707" t="s">
        <v>18975</v>
      </c>
      <c r="G707" t="s">
        <v>17286</v>
      </c>
    </row>
    <row r="708" spans="1:7" x14ac:dyDescent="0.25">
      <c r="A708" t="s">
        <v>38</v>
      </c>
      <c r="B708" t="s">
        <v>18978</v>
      </c>
      <c r="C708" t="s">
        <v>17456</v>
      </c>
      <c r="D708" t="s">
        <v>14473</v>
      </c>
      <c r="E708" t="s">
        <v>18978</v>
      </c>
      <c r="F708" t="s">
        <v>18979</v>
      </c>
      <c r="G708" t="s">
        <v>17372</v>
      </c>
    </row>
    <row r="709" spans="1:7" x14ac:dyDescent="0.25">
      <c r="A709" t="s">
        <v>22</v>
      </c>
      <c r="B709" t="s">
        <v>18982</v>
      </c>
      <c r="C709" t="s">
        <v>18137</v>
      </c>
      <c r="D709" t="s">
        <v>14473</v>
      </c>
      <c r="E709" t="s">
        <v>18982</v>
      </c>
      <c r="F709" t="s">
        <v>18983</v>
      </c>
      <c r="G709" t="s">
        <v>17792</v>
      </c>
    </row>
    <row r="710" spans="1:7" x14ac:dyDescent="0.25">
      <c r="A710" t="s">
        <v>38</v>
      </c>
      <c r="B710" t="s">
        <v>18986</v>
      </c>
      <c r="C710" t="s">
        <v>18987</v>
      </c>
      <c r="D710" t="s">
        <v>14473</v>
      </c>
      <c r="E710" t="s">
        <v>18986</v>
      </c>
      <c r="F710" t="s">
        <v>18988</v>
      </c>
      <c r="G710" t="s">
        <v>18064</v>
      </c>
    </row>
    <row r="711" spans="1:7" x14ac:dyDescent="0.25">
      <c r="A711" t="s">
        <v>38</v>
      </c>
      <c r="B711" t="s">
        <v>18991</v>
      </c>
      <c r="C711" t="s">
        <v>18992</v>
      </c>
      <c r="D711" t="s">
        <v>14473</v>
      </c>
      <c r="E711" t="s">
        <v>18991</v>
      </c>
      <c r="F711" t="s">
        <v>18993</v>
      </c>
      <c r="G711" t="s">
        <v>17775</v>
      </c>
    </row>
    <row r="712" spans="1:7" x14ac:dyDescent="0.25">
      <c r="A712" t="s">
        <v>38</v>
      </c>
      <c r="B712" t="s">
        <v>18996</v>
      </c>
      <c r="C712" t="s">
        <v>18997</v>
      </c>
      <c r="D712" t="s">
        <v>14473</v>
      </c>
      <c r="E712" t="s">
        <v>18996</v>
      </c>
      <c r="F712" t="s">
        <v>18998</v>
      </c>
      <c r="G712" t="s">
        <v>17286</v>
      </c>
    </row>
    <row r="713" spans="1:7" x14ac:dyDescent="0.25">
      <c r="A713" t="s">
        <v>32</v>
      </c>
      <c r="B713" t="s">
        <v>19001</v>
      </c>
      <c r="C713" t="s">
        <v>17274</v>
      </c>
      <c r="D713" t="s">
        <v>14473</v>
      </c>
      <c r="E713" t="s">
        <v>19001</v>
      </c>
      <c r="F713" t="s">
        <v>19002</v>
      </c>
      <c r="G713" t="s">
        <v>17165</v>
      </c>
    </row>
    <row r="714" spans="1:7" x14ac:dyDescent="0.25">
      <c r="A714" t="s">
        <v>38</v>
      </c>
      <c r="B714" t="s">
        <v>19005</v>
      </c>
      <c r="C714" t="s">
        <v>19006</v>
      </c>
      <c r="D714" t="s">
        <v>14473</v>
      </c>
      <c r="E714" t="s">
        <v>19005</v>
      </c>
      <c r="F714" t="s">
        <v>19007</v>
      </c>
      <c r="G714" t="s">
        <v>9074</v>
      </c>
    </row>
    <row r="715" spans="1:7" x14ac:dyDescent="0.25">
      <c r="A715" t="s">
        <v>22</v>
      </c>
      <c r="B715" t="s">
        <v>19010</v>
      </c>
      <c r="C715" t="s">
        <v>19011</v>
      </c>
      <c r="D715" t="s">
        <v>14473</v>
      </c>
      <c r="E715" t="s">
        <v>19010</v>
      </c>
      <c r="F715" t="s">
        <v>19012</v>
      </c>
      <c r="G715" t="s">
        <v>17372</v>
      </c>
    </row>
    <row r="716" spans="1:7" x14ac:dyDescent="0.25">
      <c r="A716" t="s">
        <v>22</v>
      </c>
      <c r="B716" t="s">
        <v>19015</v>
      </c>
      <c r="C716" t="s">
        <v>19016</v>
      </c>
      <c r="D716" t="s">
        <v>14473</v>
      </c>
      <c r="E716" t="s">
        <v>19015</v>
      </c>
      <c r="F716" t="s">
        <v>19017</v>
      </c>
      <c r="G716" t="s">
        <v>19018</v>
      </c>
    </row>
    <row r="717" spans="1:7" x14ac:dyDescent="0.25">
      <c r="A717" t="s">
        <v>22</v>
      </c>
      <c r="B717" t="s">
        <v>19021</v>
      </c>
      <c r="C717" t="s">
        <v>17560</v>
      </c>
      <c r="D717" t="s">
        <v>14473</v>
      </c>
      <c r="E717" t="s">
        <v>19021</v>
      </c>
      <c r="F717" t="s">
        <v>19022</v>
      </c>
      <c r="G717" t="s">
        <v>17562</v>
      </c>
    </row>
    <row r="718" spans="1:7" x14ac:dyDescent="0.25">
      <c r="A718" t="s">
        <v>22</v>
      </c>
      <c r="B718" t="s">
        <v>19025</v>
      </c>
      <c r="C718" t="s">
        <v>19026</v>
      </c>
      <c r="D718" t="s">
        <v>14473</v>
      </c>
      <c r="E718" t="s">
        <v>19025</v>
      </c>
      <c r="F718" t="s">
        <v>19027</v>
      </c>
      <c r="G718" t="s">
        <v>17372</v>
      </c>
    </row>
    <row r="719" spans="1:7" x14ac:dyDescent="0.25">
      <c r="A719" t="s">
        <v>38</v>
      </c>
      <c r="B719" t="s">
        <v>19030</v>
      </c>
      <c r="C719" t="s">
        <v>19031</v>
      </c>
      <c r="D719" t="s">
        <v>14473</v>
      </c>
      <c r="E719" t="s">
        <v>19030</v>
      </c>
      <c r="F719" t="s">
        <v>19032</v>
      </c>
      <c r="G719" t="s">
        <v>17769</v>
      </c>
    </row>
    <row r="720" spans="1:7" x14ac:dyDescent="0.25">
      <c r="A720" t="s">
        <v>38</v>
      </c>
      <c r="B720" t="s">
        <v>19035</v>
      </c>
      <c r="C720" t="s">
        <v>19036</v>
      </c>
      <c r="D720" t="s">
        <v>14473</v>
      </c>
      <c r="E720" t="s">
        <v>19035</v>
      </c>
      <c r="F720" t="s">
        <v>19037</v>
      </c>
      <c r="G720" t="s">
        <v>17781</v>
      </c>
    </row>
    <row r="721" spans="1:7" x14ac:dyDescent="0.25">
      <c r="A721" t="s">
        <v>38</v>
      </c>
      <c r="B721" t="s">
        <v>19040</v>
      </c>
      <c r="C721" t="s">
        <v>19041</v>
      </c>
      <c r="D721" t="s">
        <v>14473</v>
      </c>
      <c r="E721" t="s">
        <v>19040</v>
      </c>
      <c r="F721" t="s">
        <v>19042</v>
      </c>
      <c r="G721" t="s">
        <v>17546</v>
      </c>
    </row>
    <row r="722" spans="1:7" x14ac:dyDescent="0.25">
      <c r="A722" t="s">
        <v>38</v>
      </c>
      <c r="B722" t="s">
        <v>19045</v>
      </c>
      <c r="C722" t="s">
        <v>7897</v>
      </c>
      <c r="D722" t="s">
        <v>14473</v>
      </c>
      <c r="E722" t="s">
        <v>19045</v>
      </c>
      <c r="F722" t="s">
        <v>19046</v>
      </c>
      <c r="G722" t="s">
        <v>9074</v>
      </c>
    </row>
    <row r="723" spans="1:7" x14ac:dyDescent="0.25">
      <c r="A723" t="s">
        <v>22</v>
      </c>
      <c r="B723" t="s">
        <v>19049</v>
      </c>
      <c r="C723" t="s">
        <v>19050</v>
      </c>
      <c r="D723" t="s">
        <v>14473</v>
      </c>
      <c r="E723" t="s">
        <v>19049</v>
      </c>
      <c r="F723" t="s">
        <v>19051</v>
      </c>
      <c r="G723" t="s">
        <v>17781</v>
      </c>
    </row>
    <row r="724" spans="1:7" x14ac:dyDescent="0.25">
      <c r="A724" t="s">
        <v>38</v>
      </c>
      <c r="B724" t="s">
        <v>19054</v>
      </c>
      <c r="C724" t="s">
        <v>19055</v>
      </c>
      <c r="D724" t="s">
        <v>14473</v>
      </c>
      <c r="E724" t="s">
        <v>19054</v>
      </c>
      <c r="F724" t="s">
        <v>19056</v>
      </c>
      <c r="G724" t="s">
        <v>17165</v>
      </c>
    </row>
    <row r="725" spans="1:7" x14ac:dyDescent="0.25">
      <c r="A725" t="s">
        <v>22</v>
      </c>
      <c r="B725" t="s">
        <v>19059</v>
      </c>
      <c r="C725" t="s">
        <v>19060</v>
      </c>
      <c r="D725" t="s">
        <v>14473</v>
      </c>
      <c r="E725" t="s">
        <v>19059</v>
      </c>
      <c r="F725" t="s">
        <v>19061</v>
      </c>
      <c r="G725" t="s">
        <v>17372</v>
      </c>
    </row>
    <row r="726" spans="1:7" x14ac:dyDescent="0.25">
      <c r="A726" t="s">
        <v>22</v>
      </c>
      <c r="B726" t="s">
        <v>19064</v>
      </c>
      <c r="C726" t="s">
        <v>18929</v>
      </c>
      <c r="D726" t="s">
        <v>14473</v>
      </c>
      <c r="E726" t="s">
        <v>19064</v>
      </c>
      <c r="F726" t="s">
        <v>19065</v>
      </c>
      <c r="G726" t="s">
        <v>17724</v>
      </c>
    </row>
    <row r="727" spans="1:7" x14ac:dyDescent="0.25">
      <c r="A727" t="s">
        <v>38</v>
      </c>
      <c r="B727" t="s">
        <v>19068</v>
      </c>
      <c r="C727" t="s">
        <v>19069</v>
      </c>
      <c r="D727" t="s">
        <v>14473</v>
      </c>
      <c r="E727" t="s">
        <v>19068</v>
      </c>
      <c r="F727" t="s">
        <v>19070</v>
      </c>
      <c r="G727" t="s">
        <v>17781</v>
      </c>
    </row>
    <row r="728" spans="1:7" x14ac:dyDescent="0.25">
      <c r="A728" t="s">
        <v>38</v>
      </c>
      <c r="B728" t="s">
        <v>19073</v>
      </c>
      <c r="C728" t="s">
        <v>18679</v>
      </c>
      <c r="D728" t="s">
        <v>14473</v>
      </c>
      <c r="E728" t="s">
        <v>19073</v>
      </c>
      <c r="F728" t="s">
        <v>19074</v>
      </c>
      <c r="G728" t="s">
        <v>17724</v>
      </c>
    </row>
    <row r="729" spans="1:7" x14ac:dyDescent="0.25">
      <c r="A729" t="s">
        <v>22</v>
      </c>
      <c r="B729" t="s">
        <v>19077</v>
      </c>
      <c r="C729" t="s">
        <v>19078</v>
      </c>
      <c r="D729" t="s">
        <v>14473</v>
      </c>
      <c r="E729" t="s">
        <v>19077</v>
      </c>
      <c r="F729" t="s">
        <v>19079</v>
      </c>
      <c r="G729" t="s">
        <v>17372</v>
      </c>
    </row>
    <row r="730" spans="1:7" x14ac:dyDescent="0.25">
      <c r="A730" t="s">
        <v>38</v>
      </c>
      <c r="B730" t="s">
        <v>19082</v>
      </c>
      <c r="C730" t="s">
        <v>19083</v>
      </c>
      <c r="D730" t="s">
        <v>14473</v>
      </c>
      <c r="E730" t="s">
        <v>19082</v>
      </c>
      <c r="F730" t="s">
        <v>19084</v>
      </c>
      <c r="G730" t="s">
        <v>18528</v>
      </c>
    </row>
    <row r="731" spans="1:7" x14ac:dyDescent="0.25">
      <c r="A731" t="s">
        <v>38</v>
      </c>
      <c r="B731" t="s">
        <v>19087</v>
      </c>
      <c r="C731" t="s">
        <v>19088</v>
      </c>
      <c r="D731" t="s">
        <v>14473</v>
      </c>
      <c r="E731" t="s">
        <v>19087</v>
      </c>
      <c r="F731" t="s">
        <v>19089</v>
      </c>
      <c r="G731" t="s">
        <v>17336</v>
      </c>
    </row>
    <row r="732" spans="1:7" x14ac:dyDescent="0.25">
      <c r="A732" t="s">
        <v>38</v>
      </c>
      <c r="B732" t="s">
        <v>19092</v>
      </c>
      <c r="C732" t="s">
        <v>19093</v>
      </c>
      <c r="D732" t="s">
        <v>14473</v>
      </c>
      <c r="E732" t="s">
        <v>19092</v>
      </c>
      <c r="F732" t="s">
        <v>19094</v>
      </c>
      <c r="G732" t="s">
        <v>9074</v>
      </c>
    </row>
    <row r="733" spans="1:7" x14ac:dyDescent="0.25">
      <c r="A733" t="s">
        <v>38</v>
      </c>
      <c r="B733" t="s">
        <v>19097</v>
      </c>
      <c r="C733" t="s">
        <v>19098</v>
      </c>
      <c r="D733" t="s">
        <v>14473</v>
      </c>
      <c r="E733" t="s">
        <v>19097</v>
      </c>
      <c r="F733" t="s">
        <v>19099</v>
      </c>
      <c r="G733" t="s">
        <v>17159</v>
      </c>
    </row>
    <row r="734" spans="1:7" x14ac:dyDescent="0.25">
      <c r="A734" t="s">
        <v>38</v>
      </c>
      <c r="B734" t="s">
        <v>19102</v>
      </c>
      <c r="C734" t="s">
        <v>18473</v>
      </c>
      <c r="D734" t="s">
        <v>14473</v>
      </c>
      <c r="E734" t="s">
        <v>19102</v>
      </c>
      <c r="F734" t="s">
        <v>19103</v>
      </c>
      <c r="G734" t="s">
        <v>17781</v>
      </c>
    </row>
    <row r="735" spans="1:7" x14ac:dyDescent="0.25">
      <c r="A735" t="s">
        <v>22</v>
      </c>
      <c r="B735" t="s">
        <v>19106</v>
      </c>
      <c r="C735" t="s">
        <v>17928</v>
      </c>
      <c r="D735" t="s">
        <v>14473</v>
      </c>
      <c r="E735" t="s">
        <v>19106</v>
      </c>
      <c r="F735" t="s">
        <v>19107</v>
      </c>
      <c r="G735" t="s">
        <v>17724</v>
      </c>
    </row>
    <row r="736" spans="1:7" x14ac:dyDescent="0.25">
      <c r="A736" t="s">
        <v>38</v>
      </c>
      <c r="B736" t="s">
        <v>19110</v>
      </c>
      <c r="C736" t="s">
        <v>17855</v>
      </c>
      <c r="D736" t="s">
        <v>14473</v>
      </c>
      <c r="E736" t="s">
        <v>19110</v>
      </c>
      <c r="F736" t="s">
        <v>19111</v>
      </c>
      <c r="G736" t="s">
        <v>17286</v>
      </c>
    </row>
    <row r="737" spans="1:7" x14ac:dyDescent="0.25">
      <c r="A737" t="s">
        <v>22</v>
      </c>
      <c r="B737" t="s">
        <v>19114</v>
      </c>
      <c r="C737" t="s">
        <v>17982</v>
      </c>
      <c r="D737" t="s">
        <v>14473</v>
      </c>
      <c r="E737" t="s">
        <v>19114</v>
      </c>
      <c r="F737" t="s">
        <v>19115</v>
      </c>
      <c r="G737" t="s">
        <v>17393</v>
      </c>
    </row>
    <row r="738" spans="1:7" x14ac:dyDescent="0.25">
      <c r="A738" t="s">
        <v>38</v>
      </c>
      <c r="B738" t="s">
        <v>19118</v>
      </c>
      <c r="C738" t="s">
        <v>19036</v>
      </c>
      <c r="D738" t="s">
        <v>14473</v>
      </c>
      <c r="E738" t="s">
        <v>19118</v>
      </c>
      <c r="F738" t="s">
        <v>19119</v>
      </c>
      <c r="G738" t="s">
        <v>17781</v>
      </c>
    </row>
    <row r="739" spans="1:7" x14ac:dyDescent="0.25">
      <c r="A739" t="s">
        <v>38</v>
      </c>
      <c r="B739" t="s">
        <v>19122</v>
      </c>
      <c r="C739" t="s">
        <v>18039</v>
      </c>
      <c r="D739" t="s">
        <v>14473</v>
      </c>
      <c r="E739" t="s">
        <v>19122</v>
      </c>
      <c r="F739" t="s">
        <v>19123</v>
      </c>
      <c r="G739" t="s">
        <v>9074</v>
      </c>
    </row>
    <row r="740" spans="1:7" x14ac:dyDescent="0.25">
      <c r="A740" t="s">
        <v>38</v>
      </c>
      <c r="B740" t="s">
        <v>19126</v>
      </c>
      <c r="C740" t="s">
        <v>19127</v>
      </c>
      <c r="D740" t="s">
        <v>14473</v>
      </c>
      <c r="E740" t="s">
        <v>19126</v>
      </c>
      <c r="F740" t="s">
        <v>19128</v>
      </c>
      <c r="G740" t="s">
        <v>9074</v>
      </c>
    </row>
    <row r="741" spans="1:7" x14ac:dyDescent="0.25">
      <c r="A741" t="s">
        <v>22</v>
      </c>
      <c r="B741" t="s">
        <v>19131</v>
      </c>
      <c r="C741" t="s">
        <v>19132</v>
      </c>
      <c r="D741" t="s">
        <v>14473</v>
      </c>
      <c r="E741" t="s">
        <v>19131</v>
      </c>
      <c r="F741" t="s">
        <v>19133</v>
      </c>
      <c r="G741" t="s">
        <v>17202</v>
      </c>
    </row>
    <row r="742" spans="1:7" x14ac:dyDescent="0.25">
      <c r="A742" t="s">
        <v>38</v>
      </c>
      <c r="B742" t="s">
        <v>19136</v>
      </c>
      <c r="C742" t="s">
        <v>8154</v>
      </c>
      <c r="D742" t="s">
        <v>14473</v>
      </c>
      <c r="E742" t="s">
        <v>19136</v>
      </c>
      <c r="F742" t="s">
        <v>19137</v>
      </c>
      <c r="G742" t="s">
        <v>17270</v>
      </c>
    </row>
    <row r="743" spans="1:7" x14ac:dyDescent="0.25">
      <c r="A743" t="s">
        <v>22</v>
      </c>
      <c r="B743" t="s">
        <v>19140</v>
      </c>
      <c r="C743" t="s">
        <v>19141</v>
      </c>
      <c r="D743" t="s">
        <v>14473</v>
      </c>
      <c r="E743" t="s">
        <v>19140</v>
      </c>
      <c r="F743" t="s">
        <v>19142</v>
      </c>
      <c r="G743" t="s">
        <v>17724</v>
      </c>
    </row>
    <row r="744" spans="1:7" x14ac:dyDescent="0.25">
      <c r="A744" t="s">
        <v>38</v>
      </c>
      <c r="B744" t="s">
        <v>19145</v>
      </c>
      <c r="C744" t="s">
        <v>1252</v>
      </c>
      <c r="D744" t="s">
        <v>14473</v>
      </c>
      <c r="E744" t="s">
        <v>19145</v>
      </c>
      <c r="F744" t="s">
        <v>19146</v>
      </c>
      <c r="G744" t="s">
        <v>17620</v>
      </c>
    </row>
    <row r="745" spans="1:7" x14ac:dyDescent="0.25">
      <c r="A745" t="s">
        <v>38</v>
      </c>
      <c r="B745" t="s">
        <v>19149</v>
      </c>
      <c r="C745" t="s">
        <v>19150</v>
      </c>
      <c r="D745" t="s">
        <v>14473</v>
      </c>
      <c r="E745" t="s">
        <v>19149</v>
      </c>
      <c r="F745" t="s">
        <v>19151</v>
      </c>
      <c r="G745" t="s">
        <v>18147</v>
      </c>
    </row>
    <row r="746" spans="1:7" x14ac:dyDescent="0.25">
      <c r="A746" t="s">
        <v>38</v>
      </c>
      <c r="B746" t="s">
        <v>19154</v>
      </c>
      <c r="C746" t="s">
        <v>19155</v>
      </c>
      <c r="D746" t="s">
        <v>14473</v>
      </c>
      <c r="E746" t="s">
        <v>19154</v>
      </c>
      <c r="F746" t="s">
        <v>19156</v>
      </c>
      <c r="G746" t="s">
        <v>18064</v>
      </c>
    </row>
    <row r="747" spans="1:7" x14ac:dyDescent="0.25">
      <c r="A747" t="s">
        <v>38</v>
      </c>
      <c r="B747" t="s">
        <v>19159</v>
      </c>
      <c r="C747" t="s">
        <v>19160</v>
      </c>
      <c r="D747" t="s">
        <v>14473</v>
      </c>
      <c r="E747" t="s">
        <v>19159</v>
      </c>
      <c r="F747" t="s">
        <v>19161</v>
      </c>
      <c r="G747" t="s">
        <v>17724</v>
      </c>
    </row>
    <row r="748" spans="1:7" x14ac:dyDescent="0.25">
      <c r="A748" t="s">
        <v>38</v>
      </c>
      <c r="B748" t="s">
        <v>19164</v>
      </c>
      <c r="C748" t="s">
        <v>17174</v>
      </c>
      <c r="D748" t="s">
        <v>14473</v>
      </c>
      <c r="E748" t="s">
        <v>19164</v>
      </c>
      <c r="F748" t="s">
        <v>19165</v>
      </c>
      <c r="G748" t="s">
        <v>17165</v>
      </c>
    </row>
    <row r="749" spans="1:7" x14ac:dyDescent="0.25">
      <c r="A749" t="s">
        <v>38</v>
      </c>
      <c r="B749" t="s">
        <v>19168</v>
      </c>
      <c r="C749" t="s">
        <v>8671</v>
      </c>
      <c r="D749" t="s">
        <v>14473</v>
      </c>
      <c r="E749" t="s">
        <v>19168</v>
      </c>
      <c r="F749" t="s">
        <v>19169</v>
      </c>
      <c r="G749" t="s">
        <v>17286</v>
      </c>
    </row>
    <row r="750" spans="1:7" x14ac:dyDescent="0.25">
      <c r="A750" t="s">
        <v>38</v>
      </c>
      <c r="B750" t="s">
        <v>19172</v>
      </c>
      <c r="C750" t="s">
        <v>19173</v>
      </c>
      <c r="D750" t="s">
        <v>14473</v>
      </c>
      <c r="E750" t="s">
        <v>19172</v>
      </c>
      <c r="F750" t="s">
        <v>19174</v>
      </c>
      <c r="G750" t="s">
        <v>17366</v>
      </c>
    </row>
    <row r="751" spans="1:7" x14ac:dyDescent="0.25">
      <c r="A751" t="s">
        <v>22</v>
      </c>
      <c r="B751" t="s">
        <v>19177</v>
      </c>
      <c r="C751" t="s">
        <v>19178</v>
      </c>
      <c r="D751" t="s">
        <v>14473</v>
      </c>
      <c r="E751" t="s">
        <v>19177</v>
      </c>
      <c r="F751" t="s">
        <v>19179</v>
      </c>
      <c r="G751" t="s">
        <v>17781</v>
      </c>
    </row>
    <row r="752" spans="1:7" x14ac:dyDescent="0.25">
      <c r="A752" t="s">
        <v>38</v>
      </c>
      <c r="B752" t="s">
        <v>19182</v>
      </c>
      <c r="C752" t="s">
        <v>19183</v>
      </c>
      <c r="D752" t="s">
        <v>14473</v>
      </c>
      <c r="E752" t="s">
        <v>19182</v>
      </c>
      <c r="F752" t="s">
        <v>19184</v>
      </c>
      <c r="G752" t="s">
        <v>18262</v>
      </c>
    </row>
    <row r="753" spans="1:7" x14ac:dyDescent="0.25">
      <c r="A753" t="s">
        <v>22</v>
      </c>
      <c r="B753" t="s">
        <v>19187</v>
      </c>
      <c r="C753" t="s">
        <v>19188</v>
      </c>
      <c r="D753" t="s">
        <v>14473</v>
      </c>
      <c r="E753" t="s">
        <v>19187</v>
      </c>
      <c r="F753" t="s">
        <v>19189</v>
      </c>
      <c r="G753" t="s">
        <v>19190</v>
      </c>
    </row>
    <row r="754" spans="1:7" x14ac:dyDescent="0.25">
      <c r="A754" t="s">
        <v>38</v>
      </c>
      <c r="B754" t="s">
        <v>19193</v>
      </c>
      <c r="C754" t="s">
        <v>17629</v>
      </c>
      <c r="D754" t="s">
        <v>14473</v>
      </c>
      <c r="E754" t="s">
        <v>19193</v>
      </c>
      <c r="F754" t="s">
        <v>19194</v>
      </c>
      <c r="G754" t="s">
        <v>9074</v>
      </c>
    </row>
    <row r="755" spans="1:7" x14ac:dyDescent="0.25">
      <c r="A755" t="s">
        <v>38</v>
      </c>
      <c r="B755" t="s">
        <v>19197</v>
      </c>
      <c r="C755" t="s">
        <v>18944</v>
      </c>
      <c r="D755" t="s">
        <v>14473</v>
      </c>
      <c r="E755" t="s">
        <v>19197</v>
      </c>
      <c r="F755" t="s">
        <v>19198</v>
      </c>
      <c r="G755" t="s">
        <v>17781</v>
      </c>
    </row>
    <row r="756" spans="1:7" x14ac:dyDescent="0.25">
      <c r="A756" t="s">
        <v>38</v>
      </c>
      <c r="B756" t="s">
        <v>19201</v>
      </c>
      <c r="C756" t="s">
        <v>19202</v>
      </c>
      <c r="D756" t="s">
        <v>14473</v>
      </c>
      <c r="E756" t="s">
        <v>19201</v>
      </c>
      <c r="F756" t="s">
        <v>19203</v>
      </c>
      <c r="G756" t="s">
        <v>17781</v>
      </c>
    </row>
    <row r="757" spans="1:7" x14ac:dyDescent="0.25">
      <c r="A757" t="s">
        <v>38</v>
      </c>
      <c r="B757" t="s">
        <v>19206</v>
      </c>
      <c r="C757" t="s">
        <v>19207</v>
      </c>
      <c r="D757" t="s">
        <v>14473</v>
      </c>
      <c r="E757" t="s">
        <v>19206</v>
      </c>
      <c r="F757" t="s">
        <v>19208</v>
      </c>
      <c r="G757" t="s">
        <v>17620</v>
      </c>
    </row>
    <row r="758" spans="1:7" x14ac:dyDescent="0.25">
      <c r="A758" t="s">
        <v>38</v>
      </c>
      <c r="B758" t="s">
        <v>19211</v>
      </c>
      <c r="C758" t="s">
        <v>1515</v>
      </c>
      <c r="D758" t="s">
        <v>14473</v>
      </c>
      <c r="E758" t="s">
        <v>19211</v>
      </c>
      <c r="F758" t="s">
        <v>19212</v>
      </c>
      <c r="G758" t="s">
        <v>17181</v>
      </c>
    </row>
    <row r="759" spans="1:7" x14ac:dyDescent="0.25">
      <c r="A759" t="s">
        <v>38</v>
      </c>
      <c r="B759" t="s">
        <v>19215</v>
      </c>
      <c r="C759" t="s">
        <v>19216</v>
      </c>
      <c r="D759" t="s">
        <v>14473</v>
      </c>
      <c r="E759" t="s">
        <v>19215</v>
      </c>
      <c r="F759" t="s">
        <v>19217</v>
      </c>
      <c r="G759" t="s">
        <v>17270</v>
      </c>
    </row>
    <row r="760" spans="1:7" x14ac:dyDescent="0.25">
      <c r="A760" t="s">
        <v>22</v>
      </c>
      <c r="B760" t="s">
        <v>19220</v>
      </c>
      <c r="C760" t="s">
        <v>17257</v>
      </c>
      <c r="D760" t="s">
        <v>14473</v>
      </c>
      <c r="E760" t="s">
        <v>19220</v>
      </c>
      <c r="F760" t="s">
        <v>19221</v>
      </c>
      <c r="G760" t="s">
        <v>17775</v>
      </c>
    </row>
    <row r="761" spans="1:7" x14ac:dyDescent="0.25">
      <c r="A761" t="s">
        <v>38</v>
      </c>
      <c r="B761" t="s">
        <v>19224</v>
      </c>
      <c r="C761" t="s">
        <v>19225</v>
      </c>
      <c r="D761" t="s">
        <v>14473</v>
      </c>
      <c r="E761" t="s">
        <v>19224</v>
      </c>
      <c r="F761" t="s">
        <v>19226</v>
      </c>
      <c r="G761" t="s">
        <v>18147</v>
      </c>
    </row>
    <row r="762" spans="1:7" x14ac:dyDescent="0.25">
      <c r="A762" t="s">
        <v>38</v>
      </c>
      <c r="B762" t="s">
        <v>19229</v>
      </c>
      <c r="C762" t="s">
        <v>19230</v>
      </c>
      <c r="D762" t="s">
        <v>14473</v>
      </c>
      <c r="E762" t="s">
        <v>19229</v>
      </c>
      <c r="F762" t="s">
        <v>19231</v>
      </c>
      <c r="G762" t="s">
        <v>17781</v>
      </c>
    </row>
    <row r="763" spans="1:7" x14ac:dyDescent="0.25">
      <c r="A763" t="s">
        <v>22</v>
      </c>
      <c r="B763" t="s">
        <v>19234</v>
      </c>
      <c r="C763" t="s">
        <v>19235</v>
      </c>
      <c r="D763" t="s">
        <v>14473</v>
      </c>
      <c r="E763" t="s">
        <v>19234</v>
      </c>
      <c r="F763" t="s">
        <v>19236</v>
      </c>
      <c r="G763" t="s">
        <v>18366</v>
      </c>
    </row>
    <row r="764" spans="1:7" x14ac:dyDescent="0.25">
      <c r="A764" t="s">
        <v>38</v>
      </c>
      <c r="B764" t="s">
        <v>19239</v>
      </c>
      <c r="C764" t="s">
        <v>8014</v>
      </c>
      <c r="D764" t="s">
        <v>14473</v>
      </c>
      <c r="E764" t="s">
        <v>19239</v>
      </c>
      <c r="F764" t="s">
        <v>19240</v>
      </c>
      <c r="G764" t="s">
        <v>18064</v>
      </c>
    </row>
    <row r="765" spans="1:7" x14ac:dyDescent="0.25">
      <c r="A765" t="s">
        <v>38</v>
      </c>
      <c r="B765" t="s">
        <v>19243</v>
      </c>
      <c r="C765" t="s">
        <v>19244</v>
      </c>
      <c r="D765" t="s">
        <v>14473</v>
      </c>
      <c r="E765" t="s">
        <v>19243</v>
      </c>
      <c r="F765" t="s">
        <v>19245</v>
      </c>
      <c r="G765" t="s">
        <v>17769</v>
      </c>
    </row>
    <row r="766" spans="1:7" x14ac:dyDescent="0.25">
      <c r="A766" t="s">
        <v>22</v>
      </c>
      <c r="B766" t="s">
        <v>19248</v>
      </c>
      <c r="C766" t="s">
        <v>19249</v>
      </c>
      <c r="D766" t="s">
        <v>14473</v>
      </c>
      <c r="E766" t="s">
        <v>19248</v>
      </c>
      <c r="F766" t="s">
        <v>19250</v>
      </c>
      <c r="G766" t="s">
        <v>17781</v>
      </c>
    </row>
    <row r="767" spans="1:7" x14ac:dyDescent="0.25">
      <c r="A767" t="s">
        <v>22</v>
      </c>
      <c r="B767" t="s">
        <v>19253</v>
      </c>
      <c r="C767" t="s">
        <v>17279</v>
      </c>
      <c r="D767" t="s">
        <v>14473</v>
      </c>
      <c r="E767" t="s">
        <v>19253</v>
      </c>
      <c r="F767" t="s">
        <v>19254</v>
      </c>
      <c r="G767" t="s">
        <v>17270</v>
      </c>
    </row>
    <row r="768" spans="1:7" x14ac:dyDescent="0.25">
      <c r="A768" t="s">
        <v>38</v>
      </c>
      <c r="B768" t="s">
        <v>19257</v>
      </c>
      <c r="C768" t="s">
        <v>19258</v>
      </c>
      <c r="D768" t="s">
        <v>14473</v>
      </c>
      <c r="E768" t="s">
        <v>19257</v>
      </c>
      <c r="F768" t="s">
        <v>19259</v>
      </c>
      <c r="G768" t="s">
        <v>17781</v>
      </c>
    </row>
    <row r="769" spans="1:7" x14ac:dyDescent="0.25">
      <c r="A769" t="s">
        <v>22</v>
      </c>
      <c r="B769" t="s">
        <v>19262</v>
      </c>
      <c r="C769" t="s">
        <v>19263</v>
      </c>
      <c r="D769" t="s">
        <v>14473</v>
      </c>
      <c r="E769" t="s">
        <v>19262</v>
      </c>
      <c r="F769" t="s">
        <v>19264</v>
      </c>
      <c r="G769" t="s">
        <v>17546</v>
      </c>
    </row>
    <row r="770" spans="1:7" x14ac:dyDescent="0.25">
      <c r="A770" t="s">
        <v>38</v>
      </c>
      <c r="B770" t="s">
        <v>19267</v>
      </c>
      <c r="C770" t="s">
        <v>19268</v>
      </c>
      <c r="D770" t="s">
        <v>14473</v>
      </c>
      <c r="E770" t="s">
        <v>19267</v>
      </c>
      <c r="F770" t="s">
        <v>19269</v>
      </c>
      <c r="G770" t="s">
        <v>17419</v>
      </c>
    </row>
    <row r="771" spans="1:7" x14ac:dyDescent="0.25">
      <c r="A771" t="s">
        <v>38</v>
      </c>
      <c r="B771" t="s">
        <v>19272</v>
      </c>
      <c r="C771" t="s">
        <v>17423</v>
      </c>
      <c r="D771" t="s">
        <v>14473</v>
      </c>
      <c r="E771" t="s">
        <v>19272</v>
      </c>
      <c r="F771" t="s">
        <v>19273</v>
      </c>
      <c r="G771" t="s">
        <v>17409</v>
      </c>
    </row>
    <row r="772" spans="1:7" x14ac:dyDescent="0.25">
      <c r="A772" t="s">
        <v>38</v>
      </c>
      <c r="B772" t="s">
        <v>19276</v>
      </c>
      <c r="C772" t="s">
        <v>19277</v>
      </c>
      <c r="D772" t="s">
        <v>14473</v>
      </c>
      <c r="E772" t="s">
        <v>19276</v>
      </c>
      <c r="F772" t="s">
        <v>19278</v>
      </c>
      <c r="G772" t="s">
        <v>17546</v>
      </c>
    </row>
    <row r="773" spans="1:7" x14ac:dyDescent="0.25">
      <c r="A773" t="s">
        <v>38</v>
      </c>
      <c r="B773" t="s">
        <v>19281</v>
      </c>
      <c r="C773" t="s">
        <v>17311</v>
      </c>
      <c r="D773" t="s">
        <v>14473</v>
      </c>
      <c r="E773" t="s">
        <v>19281</v>
      </c>
      <c r="F773" t="s">
        <v>19282</v>
      </c>
      <c r="G773" t="s">
        <v>17313</v>
      </c>
    </row>
    <row r="774" spans="1:7" x14ac:dyDescent="0.25">
      <c r="A774" t="s">
        <v>38</v>
      </c>
      <c r="B774" t="s">
        <v>19285</v>
      </c>
      <c r="C774" t="s">
        <v>19286</v>
      </c>
      <c r="D774" t="s">
        <v>14473</v>
      </c>
      <c r="E774" t="s">
        <v>19285</v>
      </c>
      <c r="F774" t="s">
        <v>19287</v>
      </c>
      <c r="G774" t="s">
        <v>18147</v>
      </c>
    </row>
    <row r="775" spans="1:7" x14ac:dyDescent="0.25">
      <c r="A775" t="s">
        <v>38</v>
      </c>
      <c r="B775" t="s">
        <v>2544</v>
      </c>
      <c r="C775" t="s">
        <v>19290</v>
      </c>
      <c r="D775" t="s">
        <v>14473</v>
      </c>
      <c r="E775" t="s">
        <v>2544</v>
      </c>
      <c r="F775" t="s">
        <v>19291</v>
      </c>
      <c r="G775" t="s">
        <v>17620</v>
      </c>
    </row>
    <row r="776" spans="1:7" x14ac:dyDescent="0.25">
      <c r="A776" t="s">
        <v>22</v>
      </c>
      <c r="B776" t="s">
        <v>19294</v>
      </c>
      <c r="C776" t="s">
        <v>19295</v>
      </c>
      <c r="D776" t="s">
        <v>14473</v>
      </c>
      <c r="E776" t="s">
        <v>19294</v>
      </c>
      <c r="F776" t="s">
        <v>19296</v>
      </c>
      <c r="G776" t="s">
        <v>19297</v>
      </c>
    </row>
    <row r="777" spans="1:7" x14ac:dyDescent="0.25">
      <c r="A777" t="s">
        <v>38</v>
      </c>
      <c r="B777" t="s">
        <v>19300</v>
      </c>
      <c r="C777" t="s">
        <v>19301</v>
      </c>
      <c r="D777" t="s">
        <v>14473</v>
      </c>
      <c r="E777" t="s">
        <v>19300</v>
      </c>
      <c r="F777" t="s">
        <v>19302</v>
      </c>
      <c r="G777" t="s">
        <v>17781</v>
      </c>
    </row>
    <row r="778" spans="1:7" x14ac:dyDescent="0.25">
      <c r="A778" t="s">
        <v>22</v>
      </c>
      <c r="B778" t="s">
        <v>19305</v>
      </c>
      <c r="C778" t="s">
        <v>19306</v>
      </c>
      <c r="D778" t="s">
        <v>14473</v>
      </c>
      <c r="E778" t="s">
        <v>19305</v>
      </c>
      <c r="F778" t="s">
        <v>19307</v>
      </c>
      <c r="G778" t="s">
        <v>17372</v>
      </c>
    </row>
    <row r="779" spans="1:7" x14ac:dyDescent="0.25">
      <c r="A779" t="s">
        <v>22</v>
      </c>
      <c r="B779" t="s">
        <v>19310</v>
      </c>
      <c r="C779" t="s">
        <v>8919</v>
      </c>
      <c r="D779" t="s">
        <v>14473</v>
      </c>
      <c r="E779" t="s">
        <v>19310</v>
      </c>
      <c r="F779" t="s">
        <v>19311</v>
      </c>
      <c r="G779" t="s">
        <v>17775</v>
      </c>
    </row>
    <row r="780" spans="1:7" x14ac:dyDescent="0.25">
      <c r="A780" t="s">
        <v>38</v>
      </c>
      <c r="B780" t="s">
        <v>19314</v>
      </c>
      <c r="C780" t="s">
        <v>18120</v>
      </c>
      <c r="D780" t="s">
        <v>14473</v>
      </c>
      <c r="E780" t="s">
        <v>19314</v>
      </c>
      <c r="F780" t="s">
        <v>19315</v>
      </c>
      <c r="G780" t="s">
        <v>17620</v>
      </c>
    </row>
    <row r="781" spans="1:7" x14ac:dyDescent="0.25">
      <c r="A781" t="s">
        <v>22</v>
      </c>
      <c r="B781" t="s">
        <v>19318</v>
      </c>
      <c r="C781" t="s">
        <v>19319</v>
      </c>
      <c r="D781" t="s">
        <v>14473</v>
      </c>
      <c r="E781" t="s">
        <v>19318</v>
      </c>
      <c r="F781" t="s">
        <v>19320</v>
      </c>
      <c r="G781" t="s">
        <v>17372</v>
      </c>
    </row>
    <row r="782" spans="1:7" x14ac:dyDescent="0.25">
      <c r="A782" t="s">
        <v>32</v>
      </c>
      <c r="B782" t="s">
        <v>19323</v>
      </c>
      <c r="C782" t="s">
        <v>17274</v>
      </c>
      <c r="D782" t="s">
        <v>14473</v>
      </c>
      <c r="E782" t="s">
        <v>19323</v>
      </c>
      <c r="F782" t="s">
        <v>19324</v>
      </c>
      <c r="G782" t="s">
        <v>17165</v>
      </c>
    </row>
    <row r="783" spans="1:7" x14ac:dyDescent="0.25">
      <c r="A783" t="s">
        <v>22</v>
      </c>
      <c r="B783" t="s">
        <v>19327</v>
      </c>
      <c r="C783" t="s">
        <v>19328</v>
      </c>
      <c r="D783" t="s">
        <v>14473</v>
      </c>
      <c r="E783" t="s">
        <v>19327</v>
      </c>
      <c r="F783" t="s">
        <v>19329</v>
      </c>
      <c r="G783" t="s">
        <v>18316</v>
      </c>
    </row>
    <row r="784" spans="1:7" x14ac:dyDescent="0.25">
      <c r="A784" t="s">
        <v>38</v>
      </c>
      <c r="B784" t="s">
        <v>19332</v>
      </c>
      <c r="C784" t="s">
        <v>17687</v>
      </c>
      <c r="D784" t="s">
        <v>14473</v>
      </c>
      <c r="E784" t="s">
        <v>19332</v>
      </c>
      <c r="F784" t="s">
        <v>19333</v>
      </c>
      <c r="G784" t="s">
        <v>17689</v>
      </c>
    </row>
    <row r="785" spans="1:7" x14ac:dyDescent="0.25">
      <c r="A785" t="s">
        <v>38</v>
      </c>
      <c r="B785" t="s">
        <v>19336</v>
      </c>
      <c r="C785" t="s">
        <v>17451</v>
      </c>
      <c r="D785" t="s">
        <v>14473</v>
      </c>
      <c r="E785" t="s">
        <v>19336</v>
      </c>
      <c r="F785" t="s">
        <v>19337</v>
      </c>
      <c r="G785" t="s">
        <v>17270</v>
      </c>
    </row>
    <row r="786" spans="1:7" x14ac:dyDescent="0.25">
      <c r="A786" t="s">
        <v>38</v>
      </c>
      <c r="B786" t="s">
        <v>18525</v>
      </c>
      <c r="C786" t="s">
        <v>19340</v>
      </c>
      <c r="D786" t="s">
        <v>14473</v>
      </c>
      <c r="E786" t="s">
        <v>18525</v>
      </c>
      <c r="F786" t="s">
        <v>19341</v>
      </c>
      <c r="G786" t="s">
        <v>17393</v>
      </c>
    </row>
    <row r="787" spans="1:7" x14ac:dyDescent="0.25">
      <c r="A787" t="s">
        <v>22</v>
      </c>
      <c r="B787" t="s">
        <v>19344</v>
      </c>
      <c r="C787" t="s">
        <v>19345</v>
      </c>
      <c r="D787" t="s">
        <v>14473</v>
      </c>
      <c r="E787" t="s">
        <v>19344</v>
      </c>
      <c r="F787" t="s">
        <v>19346</v>
      </c>
      <c r="G787" t="s">
        <v>19347</v>
      </c>
    </row>
    <row r="788" spans="1:7" x14ac:dyDescent="0.25">
      <c r="A788" t="s">
        <v>38</v>
      </c>
      <c r="B788" t="s">
        <v>19350</v>
      </c>
      <c r="C788" t="s">
        <v>19345</v>
      </c>
      <c r="D788" t="s">
        <v>14473</v>
      </c>
      <c r="E788" t="s">
        <v>19350</v>
      </c>
      <c r="F788" t="s">
        <v>19351</v>
      </c>
      <c r="G788" t="s">
        <v>19347</v>
      </c>
    </row>
    <row r="789" spans="1:7" x14ac:dyDescent="0.25">
      <c r="A789" t="s">
        <v>38</v>
      </c>
      <c r="B789" t="s">
        <v>19354</v>
      </c>
      <c r="C789" t="s">
        <v>19355</v>
      </c>
      <c r="D789" t="s">
        <v>14473</v>
      </c>
      <c r="E789" t="s">
        <v>19354</v>
      </c>
      <c r="F789" t="s">
        <v>19356</v>
      </c>
      <c r="G789" t="s">
        <v>17336</v>
      </c>
    </row>
    <row r="790" spans="1:7" x14ac:dyDescent="0.25">
      <c r="A790" t="s">
        <v>38</v>
      </c>
      <c r="B790" t="s">
        <v>19359</v>
      </c>
      <c r="C790" t="s">
        <v>19360</v>
      </c>
      <c r="D790" t="s">
        <v>14473</v>
      </c>
      <c r="E790" t="s">
        <v>19359</v>
      </c>
      <c r="F790" t="s">
        <v>19361</v>
      </c>
      <c r="G790" t="s">
        <v>17724</v>
      </c>
    </row>
    <row r="791" spans="1:7" x14ac:dyDescent="0.25">
      <c r="A791" t="s">
        <v>22</v>
      </c>
      <c r="B791" t="s">
        <v>19364</v>
      </c>
      <c r="C791" t="s">
        <v>19365</v>
      </c>
      <c r="D791" t="s">
        <v>14473</v>
      </c>
      <c r="E791" t="s">
        <v>19364</v>
      </c>
      <c r="F791" t="s">
        <v>19366</v>
      </c>
      <c r="G791" t="s">
        <v>17781</v>
      </c>
    </row>
    <row r="792" spans="1:7" x14ac:dyDescent="0.25">
      <c r="A792" t="s">
        <v>38</v>
      </c>
      <c r="B792" t="s">
        <v>19369</v>
      </c>
      <c r="C792" t="s">
        <v>19370</v>
      </c>
      <c r="D792" t="s">
        <v>14473</v>
      </c>
      <c r="E792" t="s">
        <v>19369</v>
      </c>
      <c r="F792" t="s">
        <v>19371</v>
      </c>
      <c r="G792" t="s">
        <v>17372</v>
      </c>
    </row>
    <row r="793" spans="1:7" x14ac:dyDescent="0.25">
      <c r="A793" t="s">
        <v>38</v>
      </c>
      <c r="B793" t="s">
        <v>19374</v>
      </c>
      <c r="C793" t="s">
        <v>19375</v>
      </c>
      <c r="D793" t="s">
        <v>14473</v>
      </c>
      <c r="E793" t="s">
        <v>19374</v>
      </c>
      <c r="F793" t="s">
        <v>19376</v>
      </c>
      <c r="G793" t="s">
        <v>17724</v>
      </c>
    </row>
    <row r="794" spans="1:7" x14ac:dyDescent="0.25">
      <c r="A794" t="s">
        <v>22</v>
      </c>
      <c r="B794" t="s">
        <v>19379</v>
      </c>
      <c r="C794" t="s">
        <v>19380</v>
      </c>
      <c r="D794" t="s">
        <v>14473</v>
      </c>
      <c r="E794" t="s">
        <v>19379</v>
      </c>
      <c r="F794" t="s">
        <v>19381</v>
      </c>
      <c r="G794" t="s">
        <v>18187</v>
      </c>
    </row>
    <row r="795" spans="1:7" x14ac:dyDescent="0.25">
      <c r="A795" t="s">
        <v>38</v>
      </c>
      <c r="B795" t="s">
        <v>19384</v>
      </c>
      <c r="C795" t="s">
        <v>19385</v>
      </c>
      <c r="D795" t="s">
        <v>14473</v>
      </c>
      <c r="E795" t="s">
        <v>19384</v>
      </c>
      <c r="F795" t="s">
        <v>19386</v>
      </c>
      <c r="G795" t="s">
        <v>17393</v>
      </c>
    </row>
    <row r="796" spans="1:7" x14ac:dyDescent="0.25">
      <c r="A796" t="s">
        <v>22</v>
      </c>
      <c r="B796" t="s">
        <v>19389</v>
      </c>
      <c r="C796" t="s">
        <v>19390</v>
      </c>
      <c r="D796" t="s">
        <v>14473</v>
      </c>
      <c r="E796" t="s">
        <v>19389</v>
      </c>
      <c r="F796" t="s">
        <v>19391</v>
      </c>
      <c r="G796" t="s">
        <v>9074</v>
      </c>
    </row>
    <row r="797" spans="1:7" x14ac:dyDescent="0.25">
      <c r="A797" t="s">
        <v>22</v>
      </c>
      <c r="B797" t="s">
        <v>19394</v>
      </c>
      <c r="C797" t="s">
        <v>17639</v>
      </c>
      <c r="D797" t="s">
        <v>14473</v>
      </c>
      <c r="E797" t="s">
        <v>19394</v>
      </c>
      <c r="F797" t="s">
        <v>19395</v>
      </c>
      <c r="G797" t="s">
        <v>17372</v>
      </c>
    </row>
    <row r="798" spans="1:7" x14ac:dyDescent="0.25">
      <c r="A798" t="s">
        <v>22</v>
      </c>
      <c r="B798" t="s">
        <v>19398</v>
      </c>
      <c r="C798" t="s">
        <v>19399</v>
      </c>
      <c r="D798" t="s">
        <v>14473</v>
      </c>
      <c r="E798" t="s">
        <v>19398</v>
      </c>
      <c r="F798" t="s">
        <v>19400</v>
      </c>
      <c r="G798" t="s">
        <v>18316</v>
      </c>
    </row>
    <row r="799" spans="1:7" x14ac:dyDescent="0.25">
      <c r="A799" t="s">
        <v>22</v>
      </c>
      <c r="B799" t="s">
        <v>19403</v>
      </c>
      <c r="C799" t="s">
        <v>19404</v>
      </c>
      <c r="D799" t="s">
        <v>14473</v>
      </c>
      <c r="E799" t="s">
        <v>19403</v>
      </c>
      <c r="F799" t="s">
        <v>19405</v>
      </c>
      <c r="G799" t="s">
        <v>17372</v>
      </c>
    </row>
    <row r="800" spans="1:7" x14ac:dyDescent="0.25">
      <c r="A800" t="s">
        <v>38</v>
      </c>
      <c r="B800" t="s">
        <v>19408</v>
      </c>
      <c r="C800" t="s">
        <v>18187</v>
      </c>
      <c r="D800" t="s">
        <v>14473</v>
      </c>
      <c r="E800" t="s">
        <v>19408</v>
      </c>
      <c r="F800" t="s">
        <v>19409</v>
      </c>
      <c r="G800" t="s">
        <v>18187</v>
      </c>
    </row>
    <row r="801" spans="1:7" x14ac:dyDescent="0.25">
      <c r="A801" t="s">
        <v>22</v>
      </c>
      <c r="B801" t="s">
        <v>19412</v>
      </c>
      <c r="C801" t="s">
        <v>17880</v>
      </c>
      <c r="D801" t="s">
        <v>14473</v>
      </c>
      <c r="E801" t="s">
        <v>19412</v>
      </c>
      <c r="F801" t="s">
        <v>19413</v>
      </c>
      <c r="G801" t="s">
        <v>17372</v>
      </c>
    </row>
    <row r="802" spans="1:7" x14ac:dyDescent="0.25">
      <c r="A802" t="s">
        <v>38</v>
      </c>
      <c r="B802" t="s">
        <v>19416</v>
      </c>
      <c r="C802" t="s">
        <v>18473</v>
      </c>
      <c r="D802" t="s">
        <v>14473</v>
      </c>
      <c r="E802" t="s">
        <v>19416</v>
      </c>
      <c r="F802" t="s">
        <v>19417</v>
      </c>
      <c r="G802" t="s">
        <v>17781</v>
      </c>
    </row>
    <row r="803" spans="1:7" x14ac:dyDescent="0.25">
      <c r="A803" t="s">
        <v>22</v>
      </c>
      <c r="B803" t="s">
        <v>19420</v>
      </c>
      <c r="C803" t="s">
        <v>19421</v>
      </c>
      <c r="D803" t="s">
        <v>14473</v>
      </c>
      <c r="E803" t="s">
        <v>19420</v>
      </c>
      <c r="F803" t="s">
        <v>19422</v>
      </c>
      <c r="G803" t="s">
        <v>17718</v>
      </c>
    </row>
    <row r="804" spans="1:7" x14ac:dyDescent="0.25">
      <c r="A804" t="s">
        <v>22</v>
      </c>
      <c r="B804" t="s">
        <v>19425</v>
      </c>
      <c r="C804" t="s">
        <v>19426</v>
      </c>
      <c r="D804" t="s">
        <v>14473</v>
      </c>
      <c r="E804" t="s">
        <v>19425</v>
      </c>
      <c r="F804" t="s">
        <v>19427</v>
      </c>
      <c r="G804" t="s">
        <v>17546</v>
      </c>
    </row>
    <row r="805" spans="1:7" x14ac:dyDescent="0.25">
      <c r="A805" t="s">
        <v>22</v>
      </c>
      <c r="B805" t="s">
        <v>19430</v>
      </c>
      <c r="C805" t="s">
        <v>19431</v>
      </c>
      <c r="D805" t="s">
        <v>14473</v>
      </c>
      <c r="E805" t="s">
        <v>19430</v>
      </c>
      <c r="F805" t="s">
        <v>19432</v>
      </c>
      <c r="G805" t="s">
        <v>18262</v>
      </c>
    </row>
    <row r="806" spans="1:7" x14ac:dyDescent="0.25">
      <c r="A806" t="s">
        <v>38</v>
      </c>
      <c r="B806" t="s">
        <v>19435</v>
      </c>
      <c r="C806" t="s">
        <v>19436</v>
      </c>
      <c r="D806" t="s">
        <v>14473</v>
      </c>
      <c r="E806" t="s">
        <v>19435</v>
      </c>
      <c r="F806" t="s">
        <v>19437</v>
      </c>
      <c r="G806" t="s">
        <v>17270</v>
      </c>
    </row>
    <row r="807" spans="1:7" x14ac:dyDescent="0.25">
      <c r="A807" t="s">
        <v>38</v>
      </c>
      <c r="B807" t="s">
        <v>19440</v>
      </c>
      <c r="C807" t="s">
        <v>19441</v>
      </c>
      <c r="D807" t="s">
        <v>14473</v>
      </c>
      <c r="E807" t="s">
        <v>19440</v>
      </c>
      <c r="F807" t="s">
        <v>19442</v>
      </c>
      <c r="G807" t="s">
        <v>17202</v>
      </c>
    </row>
    <row r="808" spans="1:7" x14ac:dyDescent="0.25">
      <c r="A808" t="s">
        <v>22</v>
      </c>
      <c r="B808" t="s">
        <v>19449</v>
      </c>
      <c r="C808" t="s">
        <v>19450</v>
      </c>
      <c r="D808" t="s">
        <v>14473</v>
      </c>
      <c r="E808" t="s">
        <v>19449</v>
      </c>
      <c r="F808" t="s">
        <v>19451</v>
      </c>
      <c r="G808" t="s">
        <v>17372</v>
      </c>
    </row>
    <row r="809" spans="1:7" x14ac:dyDescent="0.25">
      <c r="A809" t="s">
        <v>22</v>
      </c>
      <c r="B809" t="s">
        <v>19454</v>
      </c>
      <c r="C809" t="s">
        <v>19455</v>
      </c>
      <c r="D809" t="s">
        <v>14473</v>
      </c>
      <c r="E809" t="s">
        <v>19454</v>
      </c>
      <c r="F809" t="s">
        <v>19456</v>
      </c>
      <c r="G809" t="s">
        <v>17372</v>
      </c>
    </row>
    <row r="810" spans="1:7" x14ac:dyDescent="0.25">
      <c r="A810" t="s">
        <v>22</v>
      </c>
      <c r="B810" t="s">
        <v>19459</v>
      </c>
      <c r="C810" t="s">
        <v>19460</v>
      </c>
      <c r="D810" t="s">
        <v>14473</v>
      </c>
      <c r="E810" t="s">
        <v>19459</v>
      </c>
      <c r="F810" t="s">
        <v>19461</v>
      </c>
      <c r="G810" t="s">
        <v>17924</v>
      </c>
    </row>
    <row r="811" spans="1:7" x14ac:dyDescent="0.25">
      <c r="A811" t="s">
        <v>38</v>
      </c>
      <c r="B811" t="s">
        <v>19464</v>
      </c>
      <c r="C811" t="s">
        <v>19465</v>
      </c>
      <c r="D811" t="s">
        <v>14473</v>
      </c>
      <c r="E811" t="s">
        <v>19464</v>
      </c>
      <c r="F811" t="s">
        <v>19466</v>
      </c>
      <c r="G811" t="s">
        <v>17393</v>
      </c>
    </row>
    <row r="812" spans="1:7" x14ac:dyDescent="0.25">
      <c r="A812" t="s">
        <v>38</v>
      </c>
      <c r="B812" t="s">
        <v>19469</v>
      </c>
      <c r="C812" t="s">
        <v>17428</v>
      </c>
      <c r="D812" t="s">
        <v>14473</v>
      </c>
      <c r="E812" t="s">
        <v>19469</v>
      </c>
      <c r="F812" t="s">
        <v>19470</v>
      </c>
      <c r="G812" t="s">
        <v>17202</v>
      </c>
    </row>
    <row r="813" spans="1:7" x14ac:dyDescent="0.25">
      <c r="A813" t="s">
        <v>38</v>
      </c>
      <c r="B813" t="s">
        <v>19473</v>
      </c>
      <c r="C813" t="s">
        <v>19474</v>
      </c>
      <c r="D813" t="s">
        <v>14473</v>
      </c>
      <c r="E813" t="s">
        <v>19473</v>
      </c>
      <c r="F813" t="s">
        <v>19475</v>
      </c>
      <c r="G813" t="s">
        <v>17781</v>
      </c>
    </row>
    <row r="814" spans="1:7" x14ac:dyDescent="0.25">
      <c r="A814" t="s">
        <v>38</v>
      </c>
      <c r="B814" t="s">
        <v>19478</v>
      </c>
      <c r="C814" t="s">
        <v>19479</v>
      </c>
      <c r="D814" t="s">
        <v>14473</v>
      </c>
      <c r="E814" t="s">
        <v>19478</v>
      </c>
      <c r="F814" t="s">
        <v>19480</v>
      </c>
      <c r="G814" t="s">
        <v>17769</v>
      </c>
    </row>
    <row r="815" spans="1:7" x14ac:dyDescent="0.25">
      <c r="A815" t="s">
        <v>38</v>
      </c>
      <c r="B815" t="s">
        <v>19483</v>
      </c>
      <c r="C815" t="s">
        <v>19484</v>
      </c>
      <c r="D815" t="s">
        <v>14473</v>
      </c>
      <c r="E815" t="s">
        <v>19483</v>
      </c>
      <c r="F815" t="s">
        <v>19485</v>
      </c>
      <c r="G815" t="s">
        <v>17781</v>
      </c>
    </row>
    <row r="816" spans="1:7" x14ac:dyDescent="0.25">
      <c r="A816" t="s">
        <v>38</v>
      </c>
      <c r="B816" t="s">
        <v>19488</v>
      </c>
      <c r="C816" t="s">
        <v>19489</v>
      </c>
      <c r="D816" t="s">
        <v>14473</v>
      </c>
      <c r="E816" t="s">
        <v>19488</v>
      </c>
      <c r="F816" t="s">
        <v>19490</v>
      </c>
      <c r="G816" t="s">
        <v>18147</v>
      </c>
    </row>
    <row r="817" spans="1:7" x14ac:dyDescent="0.25">
      <c r="A817" t="s">
        <v>38</v>
      </c>
      <c r="B817" t="s">
        <v>19493</v>
      </c>
      <c r="C817" t="s">
        <v>19494</v>
      </c>
      <c r="D817" t="s">
        <v>14473</v>
      </c>
      <c r="E817" t="s">
        <v>19493</v>
      </c>
      <c r="F817" t="s">
        <v>19495</v>
      </c>
      <c r="G817" t="s">
        <v>17372</v>
      </c>
    </row>
    <row r="818" spans="1:7" x14ac:dyDescent="0.25">
      <c r="A818" t="s">
        <v>38</v>
      </c>
      <c r="B818" t="s">
        <v>19498</v>
      </c>
      <c r="C818" t="s">
        <v>827</v>
      </c>
      <c r="D818" t="s">
        <v>14473</v>
      </c>
      <c r="E818" t="s">
        <v>19498</v>
      </c>
      <c r="F818" t="s">
        <v>19499</v>
      </c>
      <c r="G818" t="s">
        <v>17165</v>
      </c>
    </row>
    <row r="819" spans="1:7" x14ac:dyDescent="0.25">
      <c r="A819" t="s">
        <v>22</v>
      </c>
      <c r="B819" t="s">
        <v>19502</v>
      </c>
      <c r="C819" t="s">
        <v>18464</v>
      </c>
      <c r="D819" t="s">
        <v>14473</v>
      </c>
      <c r="E819" t="s">
        <v>19502</v>
      </c>
      <c r="F819" t="s">
        <v>19503</v>
      </c>
      <c r="G819" t="s">
        <v>17372</v>
      </c>
    </row>
    <row r="820" spans="1:7" x14ac:dyDescent="0.25">
      <c r="A820" t="s">
        <v>38</v>
      </c>
      <c r="B820" t="s">
        <v>19506</v>
      </c>
      <c r="C820" t="s">
        <v>19507</v>
      </c>
      <c r="D820" t="s">
        <v>14473</v>
      </c>
      <c r="E820" t="s">
        <v>19506</v>
      </c>
      <c r="F820" t="s">
        <v>19508</v>
      </c>
      <c r="G820" t="s">
        <v>18528</v>
      </c>
    </row>
    <row r="821" spans="1:7" x14ac:dyDescent="0.25">
      <c r="A821" t="s">
        <v>38</v>
      </c>
      <c r="B821" t="s">
        <v>19511</v>
      </c>
      <c r="C821" t="s">
        <v>19399</v>
      </c>
      <c r="D821" t="s">
        <v>14473</v>
      </c>
      <c r="E821" t="s">
        <v>19511</v>
      </c>
      <c r="F821" t="s">
        <v>19512</v>
      </c>
      <c r="G821" t="s">
        <v>18316</v>
      </c>
    </row>
    <row r="822" spans="1:7" x14ac:dyDescent="0.25">
      <c r="A822" t="s">
        <v>38</v>
      </c>
      <c r="B822" t="s">
        <v>19515</v>
      </c>
      <c r="C822" t="s">
        <v>19516</v>
      </c>
      <c r="D822" t="s">
        <v>14473</v>
      </c>
      <c r="E822" t="s">
        <v>19515</v>
      </c>
      <c r="F822" t="s">
        <v>19517</v>
      </c>
      <c r="G822" t="s">
        <v>17313</v>
      </c>
    </row>
    <row r="823" spans="1:7" x14ac:dyDescent="0.25">
      <c r="A823" t="s">
        <v>38</v>
      </c>
      <c r="B823" t="s">
        <v>19520</v>
      </c>
      <c r="C823" t="s">
        <v>19521</v>
      </c>
      <c r="D823" t="s">
        <v>14473</v>
      </c>
      <c r="E823" t="s">
        <v>19520</v>
      </c>
      <c r="F823" t="s">
        <v>19522</v>
      </c>
      <c r="G823" t="s">
        <v>17792</v>
      </c>
    </row>
    <row r="824" spans="1:7" x14ac:dyDescent="0.25">
      <c r="A824" t="s">
        <v>22</v>
      </c>
      <c r="B824" t="s">
        <v>19525</v>
      </c>
      <c r="C824" t="s">
        <v>19526</v>
      </c>
      <c r="D824" t="s">
        <v>14473</v>
      </c>
      <c r="E824" t="s">
        <v>19525</v>
      </c>
      <c r="F824" t="s">
        <v>19527</v>
      </c>
      <c r="G824" t="s">
        <v>17202</v>
      </c>
    </row>
    <row r="825" spans="1:7" x14ac:dyDescent="0.25">
      <c r="A825" t="s">
        <v>38</v>
      </c>
      <c r="B825" t="s">
        <v>19530</v>
      </c>
      <c r="C825" t="s">
        <v>18413</v>
      </c>
      <c r="D825" t="s">
        <v>14473</v>
      </c>
      <c r="E825" t="s">
        <v>19530</v>
      </c>
      <c r="F825" t="s">
        <v>19531</v>
      </c>
      <c r="G825" t="s">
        <v>18147</v>
      </c>
    </row>
    <row r="826" spans="1:7" x14ac:dyDescent="0.25">
      <c r="A826" t="s">
        <v>38</v>
      </c>
      <c r="B826" t="s">
        <v>19534</v>
      </c>
      <c r="C826" t="s">
        <v>19535</v>
      </c>
      <c r="D826" t="s">
        <v>14473</v>
      </c>
      <c r="E826" t="s">
        <v>19534</v>
      </c>
      <c r="F826" t="s">
        <v>19536</v>
      </c>
      <c r="G826" t="s">
        <v>17419</v>
      </c>
    </row>
    <row r="827" spans="1:7" x14ac:dyDescent="0.25">
      <c r="A827" t="s">
        <v>38</v>
      </c>
      <c r="B827" t="s">
        <v>19539</v>
      </c>
      <c r="C827" t="s">
        <v>19540</v>
      </c>
      <c r="D827" t="s">
        <v>14473</v>
      </c>
      <c r="E827" t="s">
        <v>19539</v>
      </c>
      <c r="F827" t="s">
        <v>19541</v>
      </c>
      <c r="G827" t="s">
        <v>18793</v>
      </c>
    </row>
    <row r="828" spans="1:7" x14ac:dyDescent="0.25">
      <c r="A828" t="s">
        <v>38</v>
      </c>
      <c r="B828" t="s">
        <v>19544</v>
      </c>
      <c r="C828" t="s">
        <v>19545</v>
      </c>
      <c r="D828" t="s">
        <v>14473</v>
      </c>
      <c r="E828" t="s">
        <v>19544</v>
      </c>
      <c r="F828" t="s">
        <v>19546</v>
      </c>
      <c r="G828" t="s">
        <v>17165</v>
      </c>
    </row>
    <row r="829" spans="1:7" x14ac:dyDescent="0.25">
      <c r="A829" t="s">
        <v>38</v>
      </c>
      <c r="B829" t="s">
        <v>19549</v>
      </c>
      <c r="C829" t="s">
        <v>19550</v>
      </c>
      <c r="D829" t="s">
        <v>14473</v>
      </c>
      <c r="E829" t="s">
        <v>19549</v>
      </c>
      <c r="F829" t="s">
        <v>19551</v>
      </c>
      <c r="G829" t="s">
        <v>17546</v>
      </c>
    </row>
    <row r="830" spans="1:7" x14ac:dyDescent="0.25">
      <c r="A830" t="s">
        <v>38</v>
      </c>
      <c r="B830" t="s">
        <v>19554</v>
      </c>
      <c r="C830" t="s">
        <v>18717</v>
      </c>
      <c r="D830" t="s">
        <v>14473</v>
      </c>
      <c r="E830" t="s">
        <v>19554</v>
      </c>
      <c r="F830" t="s">
        <v>19555</v>
      </c>
      <c r="G830" t="s">
        <v>9074</v>
      </c>
    </row>
    <row r="831" spans="1:7" x14ac:dyDescent="0.25">
      <c r="A831" t="s">
        <v>38</v>
      </c>
      <c r="B831" t="s">
        <v>19558</v>
      </c>
      <c r="C831" t="s">
        <v>19559</v>
      </c>
      <c r="D831" t="s">
        <v>14473</v>
      </c>
      <c r="E831" t="s">
        <v>19558</v>
      </c>
      <c r="F831" t="s">
        <v>19560</v>
      </c>
      <c r="G831" t="s">
        <v>17393</v>
      </c>
    </row>
    <row r="832" spans="1:7" x14ac:dyDescent="0.25">
      <c r="A832" t="s">
        <v>38</v>
      </c>
      <c r="B832" t="s">
        <v>19563</v>
      </c>
      <c r="C832" t="s">
        <v>17722</v>
      </c>
      <c r="D832" t="s">
        <v>14473</v>
      </c>
      <c r="E832" t="s">
        <v>19563</v>
      </c>
      <c r="F832" t="s">
        <v>19564</v>
      </c>
      <c r="G832" t="s">
        <v>17724</v>
      </c>
    </row>
    <row r="833" spans="1:7" x14ac:dyDescent="0.25">
      <c r="A833" t="s">
        <v>38</v>
      </c>
      <c r="B833" t="s">
        <v>19567</v>
      </c>
      <c r="C833" t="s">
        <v>19568</v>
      </c>
      <c r="D833" t="s">
        <v>14473</v>
      </c>
      <c r="E833" t="s">
        <v>19567</v>
      </c>
      <c r="F833" t="s">
        <v>19569</v>
      </c>
      <c r="G833" t="s">
        <v>18241</v>
      </c>
    </row>
    <row r="834" spans="1:7" x14ac:dyDescent="0.25">
      <c r="A834" t="s">
        <v>38</v>
      </c>
      <c r="B834" t="s">
        <v>19572</v>
      </c>
      <c r="C834" t="s">
        <v>19573</v>
      </c>
      <c r="D834" t="s">
        <v>14473</v>
      </c>
      <c r="E834" t="s">
        <v>19572</v>
      </c>
      <c r="F834" t="s">
        <v>19574</v>
      </c>
      <c r="G834" t="s">
        <v>17924</v>
      </c>
    </row>
    <row r="835" spans="1:7" x14ac:dyDescent="0.25">
      <c r="A835" t="s">
        <v>38</v>
      </c>
      <c r="B835" t="s">
        <v>19577</v>
      </c>
      <c r="C835" t="s">
        <v>19578</v>
      </c>
      <c r="D835" t="s">
        <v>14473</v>
      </c>
      <c r="E835" t="s">
        <v>19577</v>
      </c>
      <c r="F835" t="s">
        <v>19579</v>
      </c>
      <c r="G835" t="s">
        <v>17372</v>
      </c>
    </row>
    <row r="836" spans="1:7" x14ac:dyDescent="0.25">
      <c r="A836" t="s">
        <v>22</v>
      </c>
      <c r="B836" t="s">
        <v>19582</v>
      </c>
      <c r="C836" t="s">
        <v>19583</v>
      </c>
      <c r="D836" t="s">
        <v>14473</v>
      </c>
      <c r="E836" t="s">
        <v>19582</v>
      </c>
      <c r="F836" t="s">
        <v>19584</v>
      </c>
      <c r="G836" t="s">
        <v>19585</v>
      </c>
    </row>
    <row r="837" spans="1:7" x14ac:dyDescent="0.25">
      <c r="A837" t="s">
        <v>22</v>
      </c>
      <c r="B837" t="s">
        <v>19588</v>
      </c>
      <c r="C837" t="s">
        <v>19589</v>
      </c>
      <c r="D837" t="s">
        <v>14473</v>
      </c>
      <c r="E837" t="s">
        <v>19588</v>
      </c>
      <c r="F837" t="s">
        <v>19590</v>
      </c>
      <c r="G837" t="s">
        <v>17419</v>
      </c>
    </row>
    <row r="838" spans="1:7" x14ac:dyDescent="0.25">
      <c r="A838" t="s">
        <v>38</v>
      </c>
      <c r="B838" t="s">
        <v>19593</v>
      </c>
      <c r="C838" t="s">
        <v>18110</v>
      </c>
      <c r="D838" t="s">
        <v>14473</v>
      </c>
      <c r="E838" t="s">
        <v>19593</v>
      </c>
      <c r="F838" t="s">
        <v>19594</v>
      </c>
      <c r="G838" t="s">
        <v>17393</v>
      </c>
    </row>
    <row r="839" spans="1:7" x14ac:dyDescent="0.25">
      <c r="A839" t="s">
        <v>22</v>
      </c>
      <c r="B839" t="s">
        <v>19597</v>
      </c>
      <c r="C839" t="s">
        <v>19598</v>
      </c>
      <c r="D839" t="s">
        <v>14473</v>
      </c>
      <c r="E839" t="s">
        <v>19597</v>
      </c>
      <c r="F839" t="s">
        <v>19599</v>
      </c>
      <c r="G839" t="s">
        <v>17336</v>
      </c>
    </row>
    <row r="840" spans="1:7" x14ac:dyDescent="0.25">
      <c r="A840" t="s">
        <v>22</v>
      </c>
      <c r="B840" t="s">
        <v>19602</v>
      </c>
      <c r="C840" t="s">
        <v>19603</v>
      </c>
      <c r="D840" t="s">
        <v>14473</v>
      </c>
      <c r="E840" t="s">
        <v>19602</v>
      </c>
      <c r="F840" t="s">
        <v>19604</v>
      </c>
      <c r="G840" t="s">
        <v>17781</v>
      </c>
    </row>
    <row r="841" spans="1:7" x14ac:dyDescent="0.25">
      <c r="A841" t="s">
        <v>22</v>
      </c>
      <c r="B841" t="s">
        <v>19607</v>
      </c>
      <c r="C841" t="s">
        <v>19608</v>
      </c>
      <c r="D841" t="s">
        <v>14473</v>
      </c>
      <c r="E841" t="s">
        <v>19607</v>
      </c>
      <c r="F841" t="s">
        <v>19609</v>
      </c>
      <c r="G841" t="s">
        <v>17769</v>
      </c>
    </row>
    <row r="842" spans="1:7" x14ac:dyDescent="0.25">
      <c r="A842" t="s">
        <v>22</v>
      </c>
      <c r="B842" t="s">
        <v>19612</v>
      </c>
      <c r="C842" t="s">
        <v>19613</v>
      </c>
      <c r="D842" t="s">
        <v>14473</v>
      </c>
      <c r="E842" t="s">
        <v>19612</v>
      </c>
      <c r="F842" t="s">
        <v>19614</v>
      </c>
      <c r="G842" t="s">
        <v>17372</v>
      </c>
    </row>
    <row r="843" spans="1:7" x14ac:dyDescent="0.25">
      <c r="A843" t="s">
        <v>38</v>
      </c>
      <c r="B843" t="s">
        <v>19617</v>
      </c>
      <c r="C843" t="s">
        <v>19618</v>
      </c>
      <c r="D843" t="s">
        <v>14473</v>
      </c>
      <c r="E843" t="s">
        <v>19617</v>
      </c>
      <c r="F843" t="s">
        <v>19619</v>
      </c>
      <c r="G843" t="s">
        <v>17409</v>
      </c>
    </row>
    <row r="844" spans="1:7" x14ac:dyDescent="0.25">
      <c r="A844" t="s">
        <v>38</v>
      </c>
      <c r="B844" t="s">
        <v>19622</v>
      </c>
      <c r="C844" t="s">
        <v>19623</v>
      </c>
      <c r="D844" t="s">
        <v>14473</v>
      </c>
      <c r="E844" t="s">
        <v>19622</v>
      </c>
      <c r="F844" t="s">
        <v>19624</v>
      </c>
      <c r="G844" t="s">
        <v>17270</v>
      </c>
    </row>
    <row r="845" spans="1:7" x14ac:dyDescent="0.25">
      <c r="A845" t="s">
        <v>22</v>
      </c>
      <c r="B845" t="s">
        <v>19631</v>
      </c>
      <c r="C845" t="s">
        <v>18752</v>
      </c>
      <c r="D845" t="s">
        <v>14473</v>
      </c>
      <c r="E845" t="s">
        <v>19631</v>
      </c>
      <c r="F845" t="s">
        <v>19632</v>
      </c>
      <c r="G845" t="s">
        <v>17546</v>
      </c>
    </row>
    <row r="846" spans="1:7" x14ac:dyDescent="0.25">
      <c r="A846" t="s">
        <v>38</v>
      </c>
      <c r="B846" t="s">
        <v>19635</v>
      </c>
      <c r="C846" t="s">
        <v>19636</v>
      </c>
      <c r="D846" t="s">
        <v>14473</v>
      </c>
      <c r="E846" t="s">
        <v>19635</v>
      </c>
      <c r="F846" t="s">
        <v>19637</v>
      </c>
      <c r="G846" t="s">
        <v>18366</v>
      </c>
    </row>
    <row r="847" spans="1:7" x14ac:dyDescent="0.25">
      <c r="A847" t="s">
        <v>38</v>
      </c>
      <c r="B847" t="s">
        <v>19640</v>
      </c>
      <c r="C847" t="s">
        <v>19641</v>
      </c>
      <c r="D847" t="s">
        <v>14473</v>
      </c>
      <c r="E847" t="s">
        <v>19640</v>
      </c>
      <c r="F847" t="s">
        <v>19642</v>
      </c>
      <c r="G847" t="s">
        <v>17366</v>
      </c>
    </row>
    <row r="848" spans="1:7" x14ac:dyDescent="0.25">
      <c r="A848" t="s">
        <v>32</v>
      </c>
      <c r="B848" t="s">
        <v>19650</v>
      </c>
      <c r="C848" t="s">
        <v>17274</v>
      </c>
      <c r="D848" t="s">
        <v>14473</v>
      </c>
      <c r="E848" t="s">
        <v>19650</v>
      </c>
      <c r="F848" t="s">
        <v>19651</v>
      </c>
      <c r="G848" t="s">
        <v>17165</v>
      </c>
    </row>
    <row r="849" spans="1:7" x14ac:dyDescent="0.25">
      <c r="A849" t="s">
        <v>38</v>
      </c>
      <c r="B849" t="s">
        <v>19654</v>
      </c>
      <c r="C849" t="s">
        <v>19655</v>
      </c>
      <c r="D849" t="s">
        <v>14473</v>
      </c>
      <c r="E849" t="s">
        <v>19654</v>
      </c>
      <c r="F849" t="s">
        <v>19656</v>
      </c>
      <c r="G849" t="s">
        <v>17689</v>
      </c>
    </row>
    <row r="850" spans="1:7" x14ac:dyDescent="0.25">
      <c r="A850" t="s">
        <v>38</v>
      </c>
      <c r="B850" t="s">
        <v>19659</v>
      </c>
      <c r="C850" t="s">
        <v>19660</v>
      </c>
      <c r="D850" t="s">
        <v>14473</v>
      </c>
      <c r="E850" t="s">
        <v>19659</v>
      </c>
      <c r="F850" t="s">
        <v>19661</v>
      </c>
      <c r="G850" t="s">
        <v>18187</v>
      </c>
    </row>
    <row r="851" spans="1:7" x14ac:dyDescent="0.25">
      <c r="A851" t="s">
        <v>22</v>
      </c>
      <c r="B851" t="s">
        <v>19664</v>
      </c>
      <c r="C851" t="s">
        <v>18483</v>
      </c>
      <c r="D851" t="s">
        <v>14473</v>
      </c>
      <c r="E851" t="s">
        <v>19664</v>
      </c>
      <c r="F851" t="s">
        <v>19665</v>
      </c>
      <c r="G851" t="s">
        <v>17372</v>
      </c>
    </row>
    <row r="852" spans="1:7" x14ac:dyDescent="0.25">
      <c r="A852" t="s">
        <v>38</v>
      </c>
      <c r="B852" t="s">
        <v>19668</v>
      </c>
      <c r="C852" t="s">
        <v>19669</v>
      </c>
      <c r="D852" t="s">
        <v>14473</v>
      </c>
      <c r="E852" t="s">
        <v>19668</v>
      </c>
      <c r="F852" t="s">
        <v>19670</v>
      </c>
      <c r="G852" t="s">
        <v>18262</v>
      </c>
    </row>
    <row r="853" spans="1:7" x14ac:dyDescent="0.25">
      <c r="A853" t="s">
        <v>38</v>
      </c>
      <c r="B853" t="s">
        <v>19677</v>
      </c>
      <c r="C853" t="s">
        <v>19678</v>
      </c>
      <c r="D853" t="s">
        <v>14473</v>
      </c>
      <c r="E853" t="s">
        <v>19677</v>
      </c>
      <c r="F853" t="s">
        <v>19679</v>
      </c>
      <c r="G853" t="s">
        <v>18316</v>
      </c>
    </row>
    <row r="854" spans="1:7" x14ac:dyDescent="0.25">
      <c r="A854" t="s">
        <v>38</v>
      </c>
      <c r="B854" t="s">
        <v>10182</v>
      </c>
      <c r="C854" t="s">
        <v>19682</v>
      </c>
      <c r="D854" t="s">
        <v>14473</v>
      </c>
      <c r="E854" t="s">
        <v>19683</v>
      </c>
      <c r="F854" t="s">
        <v>19684</v>
      </c>
      <c r="G854" t="s">
        <v>18316</v>
      </c>
    </row>
    <row r="855" spans="1:7" x14ac:dyDescent="0.25">
      <c r="A855" t="s">
        <v>38</v>
      </c>
      <c r="B855" t="s">
        <v>19687</v>
      </c>
      <c r="C855" t="s">
        <v>19688</v>
      </c>
      <c r="D855" t="s">
        <v>14473</v>
      </c>
      <c r="E855" t="s">
        <v>19687</v>
      </c>
      <c r="F855" t="s">
        <v>19689</v>
      </c>
      <c r="G855" t="s">
        <v>18724</v>
      </c>
    </row>
    <row r="856" spans="1:7" x14ac:dyDescent="0.25">
      <c r="A856" t="s">
        <v>22</v>
      </c>
      <c r="B856" t="s">
        <v>19692</v>
      </c>
      <c r="C856" t="s">
        <v>19693</v>
      </c>
      <c r="D856" t="s">
        <v>14473</v>
      </c>
      <c r="E856" t="s">
        <v>19692</v>
      </c>
      <c r="F856" t="s">
        <v>19694</v>
      </c>
      <c r="G856" t="s">
        <v>17336</v>
      </c>
    </row>
    <row r="857" spans="1:7" x14ac:dyDescent="0.25">
      <c r="A857" t="s">
        <v>38</v>
      </c>
      <c r="B857" t="s">
        <v>19697</v>
      </c>
      <c r="C857" t="s">
        <v>19698</v>
      </c>
      <c r="D857" t="s">
        <v>14473</v>
      </c>
      <c r="E857" t="s">
        <v>19697</v>
      </c>
      <c r="F857" t="s">
        <v>19699</v>
      </c>
      <c r="G857" t="s">
        <v>17372</v>
      </c>
    </row>
    <row r="858" spans="1:7" x14ac:dyDescent="0.25">
      <c r="A858" t="s">
        <v>32</v>
      </c>
      <c r="B858" t="s">
        <v>19706</v>
      </c>
      <c r="C858" t="s">
        <v>17274</v>
      </c>
      <c r="D858" t="s">
        <v>14473</v>
      </c>
      <c r="E858" t="s">
        <v>19706</v>
      </c>
      <c r="F858" t="s">
        <v>19707</v>
      </c>
      <c r="G858" t="s">
        <v>17165</v>
      </c>
    </row>
    <row r="859" spans="1:7" x14ac:dyDescent="0.25">
      <c r="A859" t="s">
        <v>32</v>
      </c>
      <c r="B859" t="s">
        <v>19796</v>
      </c>
      <c r="C859" t="s">
        <v>19797</v>
      </c>
      <c r="D859" t="s">
        <v>19798</v>
      </c>
      <c r="E859" t="s">
        <v>19800</v>
      </c>
      <c r="F859" t="s">
        <v>19801</v>
      </c>
      <c r="G859" t="s">
        <v>19802</v>
      </c>
    </row>
    <row r="860" spans="1:7" x14ac:dyDescent="0.25">
      <c r="A860" t="s">
        <v>22</v>
      </c>
      <c r="B860" t="s">
        <v>19824</v>
      </c>
      <c r="C860" t="s">
        <v>19825</v>
      </c>
      <c r="D860" t="s">
        <v>19798</v>
      </c>
      <c r="E860" t="s">
        <v>19826</v>
      </c>
      <c r="F860" t="s">
        <v>19827</v>
      </c>
      <c r="G860" t="s">
        <v>19828</v>
      </c>
    </row>
    <row r="861" spans="1:7" x14ac:dyDescent="0.25">
      <c r="A861" t="s">
        <v>22</v>
      </c>
      <c r="B861" t="s">
        <v>19831</v>
      </c>
      <c r="C861" t="s">
        <v>19797</v>
      </c>
      <c r="D861" t="s">
        <v>19798</v>
      </c>
      <c r="E861" t="s">
        <v>19832</v>
      </c>
      <c r="F861" t="s">
        <v>19833</v>
      </c>
      <c r="G861" t="s">
        <v>19802</v>
      </c>
    </row>
    <row r="862" spans="1:7" x14ac:dyDescent="0.25">
      <c r="A862" t="s">
        <v>22</v>
      </c>
      <c r="B862" t="s">
        <v>19850</v>
      </c>
      <c r="C862" t="s">
        <v>19797</v>
      </c>
      <c r="D862" t="s">
        <v>19798</v>
      </c>
      <c r="E862" t="s">
        <v>19851</v>
      </c>
      <c r="F862" t="s">
        <v>19852</v>
      </c>
      <c r="G862" t="s">
        <v>19802</v>
      </c>
    </row>
    <row r="863" spans="1:7" x14ac:dyDescent="0.25">
      <c r="A863" t="s">
        <v>22</v>
      </c>
      <c r="B863" t="s">
        <v>19862</v>
      </c>
      <c r="C863" t="s">
        <v>19863</v>
      </c>
      <c r="D863" t="s">
        <v>19798</v>
      </c>
      <c r="E863" t="s">
        <v>19865</v>
      </c>
      <c r="F863" t="s">
        <v>19866</v>
      </c>
      <c r="G863" t="s">
        <v>19867</v>
      </c>
    </row>
    <row r="864" spans="1:7" x14ac:dyDescent="0.25">
      <c r="A864" t="s">
        <v>32</v>
      </c>
      <c r="B864" t="s">
        <v>19870</v>
      </c>
      <c r="C864" t="s">
        <v>19825</v>
      </c>
      <c r="D864" t="s">
        <v>19798</v>
      </c>
      <c r="E864" t="s">
        <v>19871</v>
      </c>
      <c r="F864" t="s">
        <v>19872</v>
      </c>
      <c r="G864" t="s">
        <v>19828</v>
      </c>
    </row>
    <row r="865" spans="1:7" x14ac:dyDescent="0.25">
      <c r="A865" t="s">
        <v>22</v>
      </c>
      <c r="B865" t="s">
        <v>19875</v>
      </c>
      <c r="C865" t="s">
        <v>19876</v>
      </c>
      <c r="D865" t="s">
        <v>19798</v>
      </c>
      <c r="E865" t="s">
        <v>19877</v>
      </c>
      <c r="F865" t="s">
        <v>19878</v>
      </c>
      <c r="G865" t="s">
        <v>19879</v>
      </c>
    </row>
    <row r="866" spans="1:7" x14ac:dyDescent="0.25">
      <c r="A866" t="s">
        <v>22</v>
      </c>
      <c r="B866" t="s">
        <v>19882</v>
      </c>
      <c r="C866" t="s">
        <v>19883</v>
      </c>
      <c r="D866" t="s">
        <v>19798</v>
      </c>
      <c r="E866" t="s">
        <v>19884</v>
      </c>
      <c r="F866" t="s">
        <v>19885</v>
      </c>
      <c r="G866" t="s">
        <v>19867</v>
      </c>
    </row>
    <row r="867" spans="1:7" x14ac:dyDescent="0.25">
      <c r="A867" t="s">
        <v>22</v>
      </c>
      <c r="B867" t="s">
        <v>19903</v>
      </c>
      <c r="C867" t="s">
        <v>19904</v>
      </c>
      <c r="D867" t="s">
        <v>19798</v>
      </c>
      <c r="E867" t="s">
        <v>19905</v>
      </c>
      <c r="F867" t="s">
        <v>19906</v>
      </c>
      <c r="G867" t="s">
        <v>19828</v>
      </c>
    </row>
    <row r="868" spans="1:7" x14ac:dyDescent="0.25">
      <c r="A868" t="s">
        <v>38</v>
      </c>
      <c r="B868" t="s">
        <v>19914</v>
      </c>
      <c r="C868" t="s">
        <v>19915</v>
      </c>
      <c r="D868" t="s">
        <v>19798</v>
      </c>
      <c r="E868" t="s">
        <v>19916</v>
      </c>
      <c r="F868" t="s">
        <v>19917</v>
      </c>
      <c r="G868" t="s">
        <v>19891</v>
      </c>
    </row>
    <row r="869" spans="1:7" x14ac:dyDescent="0.25">
      <c r="A869" t="s">
        <v>32</v>
      </c>
      <c r="B869" t="s">
        <v>19920</v>
      </c>
      <c r="C869" t="s">
        <v>19797</v>
      </c>
      <c r="D869" t="s">
        <v>19798</v>
      </c>
      <c r="E869" t="s">
        <v>19921</v>
      </c>
      <c r="F869" t="s">
        <v>19922</v>
      </c>
      <c r="G869" t="s">
        <v>19802</v>
      </c>
    </row>
    <row r="870" spans="1:7" x14ac:dyDescent="0.25">
      <c r="A870" t="s">
        <v>38</v>
      </c>
      <c r="B870" t="s">
        <v>19925</v>
      </c>
      <c r="C870" t="s">
        <v>19926</v>
      </c>
      <c r="D870" t="s">
        <v>19798</v>
      </c>
      <c r="E870" t="s">
        <v>19927</v>
      </c>
      <c r="F870" t="s">
        <v>19928</v>
      </c>
      <c r="G870" t="s">
        <v>19929</v>
      </c>
    </row>
    <row r="871" spans="1:7" x14ac:dyDescent="0.25">
      <c r="A871" t="s">
        <v>38</v>
      </c>
      <c r="B871" t="s">
        <v>8915</v>
      </c>
      <c r="C871" t="s">
        <v>19806</v>
      </c>
      <c r="D871" t="s">
        <v>19798</v>
      </c>
      <c r="E871" t="s">
        <v>19941</v>
      </c>
      <c r="F871" t="s">
        <v>19942</v>
      </c>
      <c r="G871" t="s">
        <v>19943</v>
      </c>
    </row>
  </sheetData>
  <autoFilter ref="A1:G87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HM_all_stores</vt:lpstr>
      <vt:lpstr>Analyzed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E560</cp:lastModifiedBy>
  <dcterms:created xsi:type="dcterms:W3CDTF">2023-10-04T20:37:16Z</dcterms:created>
  <dcterms:modified xsi:type="dcterms:W3CDTF">2023-10-04T20:50:44Z</dcterms:modified>
</cp:coreProperties>
</file>