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arav/Desktop/"/>
    </mc:Choice>
  </mc:AlternateContent>
  <xr:revisionPtr revIDLastSave="0" documentId="13_ncr:1_{F16F301B-B7A4-C046-AF8B-93809DD1BCF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3" i="1" l="1"/>
  <c r="G93" i="1"/>
  <c r="I91" i="1"/>
  <c r="G91" i="1"/>
  <c r="I92" i="1"/>
  <c r="G92" i="1"/>
  <c r="C28" i="1"/>
  <c r="G82" i="1"/>
  <c r="F82" i="1" s="1"/>
  <c r="I82" i="1"/>
  <c r="J82" i="1"/>
  <c r="E84" i="1"/>
  <c r="E83" i="1" s="1"/>
  <c r="E86" i="1"/>
  <c r="E87" i="1" s="1"/>
  <c r="I62" i="1" l="1"/>
  <c r="H62" i="1"/>
  <c r="G62" i="1"/>
  <c r="F62" i="1"/>
  <c r="E62" i="1"/>
  <c r="D62" i="1"/>
  <c r="C62" i="1"/>
  <c r="B62" i="1"/>
  <c r="I59" i="1"/>
  <c r="H59" i="1"/>
  <c r="G59" i="1"/>
  <c r="F59" i="1"/>
  <c r="E59" i="1"/>
  <c r="D59" i="1"/>
  <c r="C59" i="1"/>
  <c r="B59" i="1"/>
  <c r="I56" i="1"/>
  <c r="H56" i="1"/>
  <c r="G56" i="1"/>
  <c r="F56" i="1"/>
  <c r="E56" i="1"/>
  <c r="D56" i="1"/>
  <c r="C56" i="1"/>
  <c r="B56" i="1"/>
  <c r="M52" i="1"/>
  <c r="L52" i="1"/>
  <c r="K52" i="1"/>
  <c r="I51" i="1"/>
  <c r="H51" i="1"/>
  <c r="G51" i="1"/>
  <c r="F51" i="1"/>
  <c r="E51" i="1"/>
  <c r="D51" i="1"/>
  <c r="C51" i="1"/>
  <c r="B51" i="1"/>
  <c r="M49" i="1"/>
  <c r="L49" i="1"/>
  <c r="C49" i="1"/>
  <c r="I48" i="1"/>
  <c r="H48" i="1"/>
  <c r="G48" i="1"/>
  <c r="F48" i="1"/>
  <c r="E48" i="1"/>
  <c r="D48" i="1"/>
  <c r="C48" i="1"/>
  <c r="B48" i="1"/>
  <c r="B54" i="1" s="1"/>
  <c r="M46" i="1"/>
  <c r="L46" i="1"/>
  <c r="K46" i="1"/>
  <c r="J46" i="1"/>
  <c r="I45" i="1"/>
  <c r="H45" i="1"/>
  <c r="G45" i="1"/>
  <c r="F45" i="1"/>
  <c r="E45" i="1"/>
  <c r="D45" i="1"/>
  <c r="C45" i="1"/>
  <c r="B45" i="1"/>
  <c r="B41" i="1"/>
  <c r="B34" i="1" s="1"/>
  <c r="B35" i="1"/>
  <c r="B30" i="1"/>
  <c r="B28" i="1" s="1"/>
  <c r="I26" i="1"/>
  <c r="H26" i="1"/>
  <c r="G26" i="1"/>
  <c r="F26" i="1"/>
  <c r="E26" i="1"/>
  <c r="D26" i="1"/>
  <c r="I25" i="1"/>
  <c r="I63" i="1" s="1"/>
  <c r="H25" i="1"/>
  <c r="H63" i="1" s="1"/>
  <c r="G25" i="1"/>
  <c r="G63" i="1" s="1"/>
  <c r="F25" i="1"/>
  <c r="F63" i="1" s="1"/>
  <c r="E25" i="1"/>
  <c r="E63" i="1" s="1"/>
  <c r="D25" i="1"/>
  <c r="D63" i="1" s="1"/>
  <c r="C25" i="1"/>
  <c r="B25" i="1"/>
  <c r="I22" i="1"/>
  <c r="I60" i="1" s="1"/>
  <c r="H22" i="1"/>
  <c r="H60" i="1" s="1"/>
  <c r="G22" i="1"/>
  <c r="G60" i="1" s="1"/>
  <c r="F22" i="1"/>
  <c r="F60" i="1" s="1"/>
  <c r="E22" i="1"/>
  <c r="E60" i="1" s="1"/>
  <c r="D22" i="1"/>
  <c r="D60" i="1" s="1"/>
  <c r="C22" i="1"/>
  <c r="C60" i="1" s="1"/>
  <c r="B22" i="1"/>
  <c r="B60" i="1" s="1"/>
  <c r="I19" i="1"/>
  <c r="H19" i="1"/>
  <c r="G19" i="1"/>
  <c r="F19" i="1"/>
  <c r="E19" i="1"/>
  <c r="D19" i="1"/>
  <c r="C19" i="1"/>
  <c r="B19" i="1"/>
  <c r="I18" i="1"/>
  <c r="I57" i="1" s="1"/>
  <c r="H18" i="1"/>
  <c r="H57" i="1" s="1"/>
  <c r="G18" i="1"/>
  <c r="G57" i="1" s="1"/>
  <c r="F18" i="1"/>
  <c r="F57" i="1" s="1"/>
  <c r="E18" i="1"/>
  <c r="E57" i="1" s="1"/>
  <c r="D18" i="1"/>
  <c r="D57" i="1" s="1"/>
  <c r="C18" i="1"/>
  <c r="C57" i="1" s="1"/>
  <c r="B18" i="1"/>
  <c r="B57" i="1" s="1"/>
  <c r="I13" i="1"/>
  <c r="I52" i="1" s="1"/>
  <c r="H13" i="1"/>
  <c r="H52" i="1" s="1"/>
  <c r="G13" i="1"/>
  <c r="G52" i="1" s="1"/>
  <c r="F13" i="1"/>
  <c r="F52" i="1" s="1"/>
  <c r="E13" i="1"/>
  <c r="E52" i="1" s="1"/>
  <c r="D13" i="1"/>
  <c r="D52" i="1" s="1"/>
  <c r="C13" i="1"/>
  <c r="C52" i="1" s="1"/>
  <c r="B13" i="1"/>
  <c r="I10" i="1"/>
  <c r="I49" i="1" s="1"/>
  <c r="H10" i="1"/>
  <c r="H49" i="1" s="1"/>
  <c r="G10" i="1"/>
  <c r="G49" i="1" s="1"/>
  <c r="F10" i="1"/>
  <c r="F49" i="1" s="1"/>
  <c r="E10" i="1"/>
  <c r="E49" i="1" s="1"/>
  <c r="D10" i="1"/>
  <c r="D49" i="1" s="1"/>
  <c r="C10" i="1"/>
  <c r="B10" i="1"/>
  <c r="I7" i="1"/>
  <c r="I46" i="1" s="1"/>
  <c r="H7" i="1"/>
  <c r="H46" i="1" s="1"/>
  <c r="G7" i="1"/>
  <c r="G46" i="1" s="1"/>
  <c r="F7" i="1"/>
  <c r="F46" i="1" s="1"/>
  <c r="E7" i="1"/>
  <c r="E46" i="1" s="1"/>
  <c r="D7" i="1"/>
  <c r="D46" i="1" s="1"/>
  <c r="C7" i="1"/>
  <c r="C46" i="1" s="1"/>
  <c r="J6" i="1"/>
  <c r="K6" i="1" s="1"/>
  <c r="L6" i="1" s="1"/>
  <c r="M6" i="1" s="1"/>
  <c r="C54" i="1" l="1"/>
  <c r="J45" i="1"/>
  <c r="B65" i="1"/>
  <c r="G54" i="1"/>
  <c r="G65" i="1" s="1"/>
  <c r="H54" i="1"/>
  <c r="H65" i="1" s="1"/>
  <c r="I54" i="1"/>
  <c r="I65" i="1" s="1"/>
  <c r="J13" i="1"/>
  <c r="J52" i="1" s="1"/>
  <c r="C26" i="1"/>
  <c r="D54" i="1"/>
  <c r="D65" i="1" s="1"/>
  <c r="J25" i="1"/>
  <c r="J24" i="1" s="1"/>
  <c r="K24" i="1" s="1"/>
  <c r="C65" i="1"/>
  <c r="E54" i="1"/>
  <c r="E65" i="1" s="1"/>
  <c r="J10" i="1"/>
  <c r="J49" i="1" s="1"/>
  <c r="J48" i="1" s="1"/>
  <c r="F54" i="1"/>
  <c r="F65" i="1" s="1"/>
  <c r="J57" i="1"/>
  <c r="J56" i="1" s="1"/>
  <c r="K45" i="1"/>
  <c r="J60" i="1"/>
  <c r="J59" i="1" s="1"/>
  <c r="J18" i="1"/>
  <c r="J17" i="1" s="1"/>
  <c r="B63" i="1"/>
  <c r="C63" i="1"/>
  <c r="J22" i="1"/>
  <c r="J21" i="1" s="1"/>
  <c r="K21" i="1" s="1"/>
  <c r="L21" i="1" s="1"/>
  <c r="M21" i="1" s="1"/>
  <c r="B49" i="1"/>
  <c r="B52" i="1"/>
  <c r="J26" i="1" l="1"/>
  <c r="K10" i="1"/>
  <c r="K49" i="1" s="1"/>
  <c r="K48" i="1" s="1"/>
  <c r="J9" i="1"/>
  <c r="K17" i="1"/>
  <c r="J19" i="1"/>
  <c r="J63" i="1"/>
  <c r="J62" i="1" s="1"/>
  <c r="K26" i="1"/>
  <c r="L24" i="1"/>
  <c r="K62" i="1"/>
  <c r="L45" i="1"/>
  <c r="K59" i="1"/>
  <c r="K56" i="1"/>
  <c r="J51" i="1"/>
  <c r="J54" i="1" s="1"/>
  <c r="J65" i="1" l="1"/>
  <c r="J67" i="1" s="1"/>
  <c r="K9" i="1"/>
  <c r="J12" i="1"/>
  <c r="L62" i="1"/>
  <c r="L56" i="1"/>
  <c r="M45" i="1"/>
  <c r="L59" i="1"/>
  <c r="K51" i="1"/>
  <c r="K54" i="1" s="1"/>
  <c r="K65" i="1" s="1"/>
  <c r="K67" i="1" s="1"/>
  <c r="L48" i="1"/>
  <c r="M24" i="1"/>
  <c r="M26" i="1" s="1"/>
  <c r="L26" i="1"/>
  <c r="K12" i="1"/>
  <c r="L9" i="1"/>
  <c r="L17" i="1"/>
  <c r="K19" i="1"/>
  <c r="M9" i="1" l="1"/>
  <c r="M12" i="1" s="1"/>
  <c r="L12" i="1"/>
  <c r="M62" i="1"/>
  <c r="M56" i="1"/>
  <c r="M59" i="1"/>
  <c r="M48" i="1"/>
  <c r="L51" i="1"/>
  <c r="L54" i="1" s="1"/>
  <c r="L65" i="1" s="1"/>
  <c r="L67" i="1" s="1"/>
  <c r="L19" i="1"/>
  <c r="M17" i="1"/>
  <c r="M19" i="1" s="1"/>
  <c r="M51" i="1" l="1"/>
  <c r="M54" i="1" s="1"/>
  <c r="M65" i="1" s="1"/>
  <c r="M69" i="1" s="1"/>
  <c r="M67" i="1" l="1"/>
  <c r="M70" i="1"/>
  <c r="M72" i="1" l="1"/>
  <c r="M76" i="1" s="1"/>
  <c r="M79" i="1" s="1"/>
  <c r="E82" i="1" s="1"/>
</calcChain>
</file>

<file path=xl/sharedStrings.xml><?xml version="1.0" encoding="utf-8"?>
<sst xmlns="http://schemas.openxmlformats.org/spreadsheetml/2006/main" count="69" uniqueCount="47">
  <si>
    <t>Date</t>
  </si>
  <si>
    <t>Stock</t>
  </si>
  <si>
    <t>NVDA</t>
  </si>
  <si>
    <t>(In Millions)</t>
  </si>
  <si>
    <t>F1</t>
  </si>
  <si>
    <t>F2</t>
  </si>
  <si>
    <t>F3</t>
  </si>
  <si>
    <t>F4</t>
  </si>
  <si>
    <t xml:space="preserve">Income Statement </t>
  </si>
  <si>
    <t>Revenue</t>
  </si>
  <si>
    <t>% Growth</t>
  </si>
  <si>
    <t>EBIT</t>
  </si>
  <si>
    <t>% Sales</t>
  </si>
  <si>
    <t>Taxes</t>
  </si>
  <si>
    <t>% EBIT</t>
  </si>
  <si>
    <t>Cash Flow</t>
  </si>
  <si>
    <t>D&amp;A</t>
  </si>
  <si>
    <t>% Capex</t>
  </si>
  <si>
    <t>Capex</t>
  </si>
  <si>
    <t>Change in NWC</t>
  </si>
  <si>
    <t>% Change sales</t>
  </si>
  <si>
    <t>WACC</t>
  </si>
  <si>
    <t>% Debt</t>
  </si>
  <si>
    <t>Cost of debt</t>
  </si>
  <si>
    <t>Tax rate</t>
  </si>
  <si>
    <t>Equity Value</t>
  </si>
  <si>
    <t>% Equity</t>
  </si>
  <si>
    <t>Cost of equity</t>
  </si>
  <si>
    <t>Risk free rate</t>
  </si>
  <si>
    <t>Beta</t>
  </si>
  <si>
    <t>Market Risk premium</t>
  </si>
  <si>
    <t>Total</t>
  </si>
  <si>
    <t>EBIAT</t>
  </si>
  <si>
    <t>Unlevered FCF</t>
  </si>
  <si>
    <t>Present FCF</t>
  </si>
  <si>
    <t>Terminal Value</t>
  </si>
  <si>
    <t>Present Terminal</t>
  </si>
  <si>
    <t>Enterprise Value</t>
  </si>
  <si>
    <t>Cash (+)</t>
  </si>
  <si>
    <t>Debt (-)</t>
  </si>
  <si>
    <t>Total Shares</t>
  </si>
  <si>
    <t>Share Price</t>
  </si>
  <si>
    <t>PGR</t>
  </si>
  <si>
    <t>Bear Case</t>
  </si>
  <si>
    <t>Base Case</t>
  </si>
  <si>
    <t>Bull Case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</si>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</sst>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₹&quot;* #,##0.00_);_(&quot;₹&quot;* \(#,##0.00\);_(&quot;₹&quot;* &quot;-&quot;??_);_(@_)"/>
    <numFmt numFmtId="164" formatCode="d/m/yy"/>
    <numFmt numFmtId="165" formatCode="0.0%"/>
    <numFmt numFmtId="166" formatCode="0.0#%"/>
    <numFmt numFmtId="167" formatCode="0.000"/>
    <numFmt numFmtId="168" formatCode="0.000%"/>
    <numFmt numFmtId="172" formatCode="0.0000"/>
    <numFmt numFmtId="174" formatCode="_([$$-409]* #,##0.00_);_([$$-409]* \(#,##0.00\);_([$$-409]* &quot;-&quot;??_);_(@_)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55C2F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44" fontId="2" fillId="0" borderId="0" applyFont="0" applyFill="0" applyBorder="0" applyAlignment="0" applyProtection="0"/>
  </cellStyleXfs>
  <cellXfs count="6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1" xfId="0" applyNumberFormat="1" applyBorder="1">
      <alignment vertical="top" wrapText="1"/>
    </xf>
    <xf numFmtId="164" fontId="0" fillId="2" borderId="2" xfId="0" applyNumberFormat="1" applyFill="1" applyBorder="1">
      <alignment vertical="top" wrapText="1"/>
    </xf>
    <xf numFmtId="0" fontId="0" fillId="0" borderId="2" xfId="0" applyBorder="1">
      <alignment vertical="top" wrapText="1"/>
    </xf>
    <xf numFmtId="0" fontId="0" fillId="0" borderId="3" xfId="0" applyBorder="1">
      <alignment vertical="top" wrapText="1"/>
    </xf>
    <xf numFmtId="49" fontId="0" fillId="0" borderId="4" xfId="0" applyNumberFormat="1" applyBorder="1">
      <alignment vertical="top" wrapText="1"/>
    </xf>
    <xf numFmtId="49" fontId="0" fillId="2" borderId="5" xfId="0" applyNumberFormat="1" applyFill="1" applyBorder="1" applyAlignment="1">
      <alignment horizontal="right" vertical="top" wrapText="1"/>
    </xf>
    <xf numFmtId="0" fontId="0" fillId="0" borderId="5" xfId="0" applyBorder="1">
      <alignment vertical="top" wrapText="1"/>
    </xf>
    <xf numFmtId="0" fontId="0" fillId="0" borderId="6" xfId="0" applyBorder="1">
      <alignment vertical="top" wrapText="1"/>
    </xf>
    <xf numFmtId="0" fontId="0" fillId="0" borderId="4" xfId="0" applyBorder="1">
      <alignment vertical="top" wrapText="1"/>
    </xf>
    <xf numFmtId="49" fontId="0" fillId="0" borderId="5" xfId="0" applyNumberFormat="1" applyBorder="1" applyAlignment="1">
      <alignment horizontal="right" vertical="top" wrapText="1"/>
    </xf>
    <xf numFmtId="49" fontId="0" fillId="0" borderId="6" xfId="0" applyNumberFormat="1" applyBorder="1" applyAlignment="1">
      <alignment horizontal="right" vertical="top" wrapText="1"/>
    </xf>
    <xf numFmtId="49" fontId="0" fillId="3" borderId="4" xfId="0" applyNumberFormat="1" applyFill="1" applyBorder="1">
      <alignment vertical="top" wrapText="1"/>
    </xf>
    <xf numFmtId="0" fontId="0" fillId="3" borderId="5" xfId="0" applyNumberFormat="1" applyFill="1" applyBorder="1">
      <alignment vertical="top" wrapText="1"/>
    </xf>
    <xf numFmtId="0" fontId="0" fillId="3" borderId="6" xfId="0" applyNumberFormat="1" applyFill="1" applyBorder="1">
      <alignment vertical="top" wrapText="1"/>
    </xf>
    <xf numFmtId="0" fontId="0" fillId="4" borderId="5" xfId="0" applyNumberFormat="1" applyFill="1" applyBorder="1">
      <alignment vertical="top" wrapText="1"/>
    </xf>
    <xf numFmtId="1" fontId="0" fillId="0" borderId="5" xfId="0" applyNumberFormat="1" applyBorder="1">
      <alignment vertical="top" wrapText="1"/>
    </xf>
    <xf numFmtId="1" fontId="0" fillId="0" borderId="6" xfId="0" applyNumberFormat="1" applyBorder="1">
      <alignment vertical="top" wrapText="1"/>
    </xf>
    <xf numFmtId="9" fontId="0" fillId="0" borderId="5" xfId="0" applyNumberFormat="1" applyBorder="1">
      <alignment vertical="top" wrapText="1"/>
    </xf>
    <xf numFmtId="165" fontId="0" fillId="5" borderId="5" xfId="0" applyNumberFormat="1" applyFill="1" applyBorder="1">
      <alignment vertical="top" wrapText="1"/>
    </xf>
    <xf numFmtId="165" fontId="0" fillId="5" borderId="6" xfId="0" applyNumberFormat="1" applyFill="1" applyBorder="1">
      <alignment vertical="top" wrapText="1"/>
    </xf>
    <xf numFmtId="9" fontId="0" fillId="5" borderId="5" xfId="0" applyNumberFormat="1" applyFill="1" applyBorder="1">
      <alignment vertical="top" wrapText="1"/>
    </xf>
    <xf numFmtId="9" fontId="0" fillId="5" borderId="6" xfId="0" applyNumberFormat="1" applyFill="1" applyBorder="1">
      <alignment vertical="top" wrapText="1"/>
    </xf>
    <xf numFmtId="9" fontId="0" fillId="0" borderId="6" xfId="0" applyNumberFormat="1" applyBorder="1">
      <alignment vertical="top" wrapText="1"/>
    </xf>
    <xf numFmtId="49" fontId="1" fillId="0" borderId="4" xfId="0" applyNumberFormat="1" applyFont="1" applyBorder="1">
      <alignment vertical="top" wrapText="1"/>
    </xf>
    <xf numFmtId="9" fontId="0" fillId="4" borderId="5" xfId="0" applyNumberFormat="1" applyFill="1" applyBorder="1">
      <alignment vertical="top" wrapText="1"/>
    </xf>
    <xf numFmtId="166" fontId="0" fillId="4" borderId="5" xfId="0" applyNumberFormat="1" applyFill="1" applyBorder="1">
      <alignment vertical="top" wrapText="1"/>
    </xf>
    <xf numFmtId="165" fontId="0" fillId="4" borderId="5" xfId="0" applyNumberFormat="1" applyFill="1" applyBorder="1">
      <alignment vertical="top" wrapText="1"/>
    </xf>
    <xf numFmtId="49" fontId="0" fillId="0" borderId="7" xfId="0" applyNumberFormat="1" applyBorder="1">
      <alignment vertical="top" wrapText="1"/>
    </xf>
    <xf numFmtId="9" fontId="0" fillId="0" borderId="8" xfId="0" applyNumberFormat="1" applyBorder="1">
      <alignment vertical="top" wrapText="1"/>
    </xf>
    <xf numFmtId="9" fontId="0" fillId="0" borderId="9" xfId="0" applyNumberFormat="1" applyBorder="1">
      <alignment vertical="top" wrapText="1"/>
    </xf>
    <xf numFmtId="0" fontId="0" fillId="0" borderId="2" xfId="0" applyNumberFormat="1" applyBorder="1" applyAlignment="1">
      <alignment horizontal="right" vertical="top" wrapText="1"/>
    </xf>
    <xf numFmtId="0" fontId="0" fillId="0" borderId="3" xfId="0" applyNumberFormat="1" applyBorder="1" applyAlignment="1">
      <alignment horizontal="right" vertical="top" wrapText="1"/>
    </xf>
    <xf numFmtId="0" fontId="0" fillId="6" borderId="5" xfId="0" applyNumberFormat="1" applyFill="1" applyBorder="1">
      <alignment vertical="top" wrapText="1"/>
    </xf>
    <xf numFmtId="0" fontId="0" fillId="0" borderId="5" xfId="0" applyBorder="1" applyAlignment="1">
      <alignment horizontal="right" vertical="top" wrapText="1"/>
    </xf>
    <xf numFmtId="9" fontId="0" fillId="6" borderId="5" xfId="0" applyNumberFormat="1" applyFill="1" applyBorder="1">
      <alignment vertical="top" wrapText="1"/>
    </xf>
    <xf numFmtId="165" fontId="0" fillId="6" borderId="5" xfId="0" applyNumberFormat="1" applyFill="1" applyBorder="1">
      <alignment vertical="top" wrapText="1"/>
    </xf>
    <xf numFmtId="165" fontId="0" fillId="6" borderId="6" xfId="0" applyNumberFormat="1" applyFill="1" applyBorder="1">
      <alignment vertical="top" wrapText="1"/>
    </xf>
    <xf numFmtId="9" fontId="0" fillId="6" borderId="6" xfId="0" applyNumberFormat="1" applyFill="1" applyBorder="1">
      <alignment vertical="top" wrapText="1"/>
    </xf>
    <xf numFmtId="0" fontId="1" fillId="0" borderId="5" xfId="0" applyNumberFormat="1" applyFont="1" applyBorder="1">
      <alignment vertical="top" wrapText="1"/>
    </xf>
    <xf numFmtId="1" fontId="1" fillId="0" borderId="5" xfId="0" applyNumberFormat="1" applyFont="1" applyBorder="1">
      <alignment vertical="top" wrapText="1"/>
    </xf>
    <xf numFmtId="1" fontId="1" fillId="0" borderId="6" xfId="0" applyNumberFormat="1" applyFont="1" applyBorder="1">
      <alignment vertical="top" wrapText="1"/>
    </xf>
    <xf numFmtId="0" fontId="1" fillId="0" borderId="5" xfId="0" applyFont="1" applyBorder="1">
      <alignment vertical="top" wrapText="1"/>
    </xf>
    <xf numFmtId="9" fontId="1" fillId="0" borderId="5" xfId="0" applyNumberFormat="1" applyFont="1" applyBorder="1">
      <alignment vertical="top" wrapText="1"/>
    </xf>
    <xf numFmtId="1" fontId="0" fillId="4" borderId="6" xfId="0" applyNumberFormat="1" applyFill="1" applyBorder="1">
      <alignment vertical="top" wrapText="1"/>
    </xf>
    <xf numFmtId="49" fontId="1" fillId="0" borderId="7" xfId="0" applyNumberFormat="1" applyFont="1" applyBorder="1">
      <alignment vertical="top" wrapText="1"/>
    </xf>
    <xf numFmtId="0" fontId="1" fillId="0" borderId="8" xfId="0" applyFont="1" applyBorder="1">
      <alignment vertical="top" wrapText="1"/>
    </xf>
    <xf numFmtId="9" fontId="1" fillId="0" borderId="8" xfId="0" applyNumberFormat="1" applyFont="1" applyBorder="1">
      <alignment vertical="top" wrapText="1"/>
    </xf>
    <xf numFmtId="167" fontId="1" fillId="7" borderId="9" xfId="0" applyNumberFormat="1" applyFont="1" applyFill="1" applyBorder="1">
      <alignment vertical="top" wrapText="1"/>
    </xf>
    <xf numFmtId="49" fontId="2" fillId="0" borderId="4" xfId="0" applyNumberFormat="1" applyFont="1" applyBorder="1">
      <alignment vertical="top" wrapText="1"/>
    </xf>
    <xf numFmtId="0" fontId="0" fillId="0" borderId="8" xfId="0" applyNumberFormat="1" applyFill="1" applyBorder="1">
      <alignment vertical="top" wrapText="1"/>
    </xf>
    <xf numFmtId="9" fontId="0" fillId="0" borderId="0" xfId="0" applyNumberFormat="1">
      <alignment vertical="top" wrapText="1"/>
    </xf>
    <xf numFmtId="10" fontId="0" fillId="0" borderId="0" xfId="0" applyNumberFormat="1">
      <alignment vertical="top" wrapText="1"/>
    </xf>
    <xf numFmtId="0" fontId="2" fillId="0" borderId="0" xfId="0" applyNumberFormat="1" applyFont="1" applyAlignment="1">
      <alignment horizontal="center" vertical="top" wrapText="1"/>
    </xf>
    <xf numFmtId="168" fontId="0" fillId="0" borderId="0" xfId="0" applyNumberFormat="1">
      <alignment vertical="top" wrapText="1"/>
    </xf>
    <xf numFmtId="167" fontId="0" fillId="0" borderId="0" xfId="0" applyNumberFormat="1">
      <alignment vertical="top" wrapText="1"/>
    </xf>
    <xf numFmtId="9" fontId="0" fillId="8" borderId="5" xfId="0" applyNumberFormat="1" applyFill="1" applyBorder="1">
      <alignment vertical="top" wrapText="1"/>
    </xf>
    <xf numFmtId="0" fontId="2" fillId="9" borderId="0" xfId="0" applyNumberFormat="1" applyFont="1" applyFill="1">
      <alignment vertical="top" wrapText="1"/>
    </xf>
    <xf numFmtId="174" fontId="0" fillId="9" borderId="0" xfId="1" applyNumberFormat="1" applyFont="1" applyFill="1" applyAlignment="1">
      <alignment vertical="top" wrapText="1"/>
    </xf>
    <xf numFmtId="0" fontId="2" fillId="9" borderId="0" xfId="0" applyNumberFormat="1" applyFont="1" applyFill="1" applyAlignment="1">
      <alignment horizontal="center" vertical="top" wrapText="1"/>
    </xf>
    <xf numFmtId="172" fontId="2" fillId="9" borderId="0" xfId="0" applyNumberFormat="1" applyFont="1" applyFill="1" applyAlignment="1">
      <alignment horizontal="center" vertical="top" wrapText="1"/>
    </xf>
    <xf numFmtId="174" fontId="0" fillId="9" borderId="0" xfId="0" applyNumberFormat="1" applyFill="1">
      <alignment vertical="top" wrapText="1"/>
    </xf>
  </cellXfs>
  <cellStyles count="2">
    <cellStyle name="Currency" xfId="1" builtinId="4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DAD"/>
      <rgbColor rgb="FFE3E3E3"/>
      <rgbColor rgb="FFFF94CA"/>
      <rgbColor rgb="FFFFF056"/>
      <rgbColor rgb="FF56C1FE"/>
      <rgbColor rgb="FFFF968C"/>
      <rgbColor rgb="FF72FCE9"/>
      <rgbColor rgb="FF88F94E"/>
      <rgbColor rgb="FFA5A5A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5C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showGridLines="0" tabSelected="1" zoomScale="84" zoomScaleNormal="84" workbookViewId="0">
      <selection activeCell="K87" sqref="K87"/>
    </sheetView>
  </sheetViews>
  <sheetFormatPr baseColWidth="10" defaultColWidth="16.33203125" defaultRowHeight="20" customHeight="1" x14ac:dyDescent="0.15"/>
  <cols>
    <col min="1" max="1" width="18.33203125" style="1" customWidth="1"/>
    <col min="2" max="29" width="16.33203125" style="1" customWidth="1"/>
    <col min="30" max="16384" width="16.33203125" style="1"/>
  </cols>
  <sheetData>
    <row r="1" spans="1:13" ht="20.25" customHeight="1" x14ac:dyDescent="0.15">
      <c r="A1" s="2" t="s">
        <v>0</v>
      </c>
      <c r="B1" s="3">
        <v>44930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ht="20" customHeight="1" x14ac:dyDescent="0.15">
      <c r="A2" s="6" t="s">
        <v>1</v>
      </c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20" customHeight="1" x14ac:dyDescent="0.1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20" customHeight="1" x14ac:dyDescent="0.15">
      <c r="A4" s="6" t="s">
        <v>3</v>
      </c>
      <c r="B4" s="8"/>
      <c r="C4" s="8"/>
      <c r="D4" s="8"/>
      <c r="E4" s="8"/>
      <c r="F4" s="8"/>
      <c r="G4" s="8"/>
      <c r="H4" s="8"/>
      <c r="I4" s="8"/>
      <c r="J4" s="11" t="s">
        <v>4</v>
      </c>
      <c r="K4" s="11" t="s">
        <v>5</v>
      </c>
      <c r="L4" s="11" t="s">
        <v>6</v>
      </c>
      <c r="M4" s="12" t="s">
        <v>7</v>
      </c>
    </row>
    <row r="5" spans="1:13" ht="20" customHeight="1" x14ac:dyDescent="0.15">
      <c r="A5" s="13" t="s">
        <v>8</v>
      </c>
      <c r="B5" s="14">
        <v>2015</v>
      </c>
      <c r="C5" s="14">
        <v>2016</v>
      </c>
      <c r="D5" s="14">
        <v>2017</v>
      </c>
      <c r="E5" s="14">
        <v>2018</v>
      </c>
      <c r="F5" s="14">
        <v>2019</v>
      </c>
      <c r="G5" s="14">
        <v>2020</v>
      </c>
      <c r="H5" s="14">
        <v>2021</v>
      </c>
      <c r="I5" s="14">
        <v>2022</v>
      </c>
      <c r="J5" s="14">
        <v>2023</v>
      </c>
      <c r="K5" s="14">
        <v>2024</v>
      </c>
      <c r="L5" s="14">
        <v>2025</v>
      </c>
      <c r="M5" s="15">
        <v>2026</v>
      </c>
    </row>
    <row r="6" spans="1:13" ht="20" customHeight="1" x14ac:dyDescent="0.15">
      <c r="A6" s="6" t="s">
        <v>9</v>
      </c>
      <c r="B6" s="16">
        <v>4682</v>
      </c>
      <c r="C6" s="16">
        <v>5010</v>
      </c>
      <c r="D6" s="16">
        <v>6910</v>
      </c>
      <c r="E6" s="16">
        <v>9714</v>
      </c>
      <c r="F6" s="16">
        <v>11716</v>
      </c>
      <c r="G6" s="16">
        <v>10918</v>
      </c>
      <c r="H6" s="16">
        <v>16675</v>
      </c>
      <c r="I6" s="16">
        <v>26914</v>
      </c>
      <c r="J6" s="17">
        <f>I6+(I6*J7)</f>
        <v>32646.682000000001</v>
      </c>
      <c r="K6" s="17">
        <f>J6+(J6*K7)</f>
        <v>39600.425265999998</v>
      </c>
      <c r="L6" s="17">
        <f>K6+(K6*L7)</f>
        <v>48035.315847657999</v>
      </c>
      <c r="M6" s="18">
        <f>L6+(L6*M7)</f>
        <v>58266.838123209149</v>
      </c>
    </row>
    <row r="7" spans="1:13" ht="20" customHeight="1" x14ac:dyDescent="0.15">
      <c r="A7" s="6" t="s">
        <v>10</v>
      </c>
      <c r="B7" s="8"/>
      <c r="C7" s="19">
        <f t="shared" ref="C7:I7" si="0">(C6-B6)/B6</f>
        <v>7.0055531824006839E-2</v>
      </c>
      <c r="D7" s="19">
        <f t="shared" si="0"/>
        <v>0.37924151696606784</v>
      </c>
      <c r="E7" s="19">
        <f t="shared" si="0"/>
        <v>0.4057887120115774</v>
      </c>
      <c r="F7" s="19">
        <f t="shared" si="0"/>
        <v>0.20609429689108502</v>
      </c>
      <c r="G7" s="19">
        <f t="shared" si="0"/>
        <v>-6.8111983612154314E-2</v>
      </c>
      <c r="H7" s="19">
        <f t="shared" si="0"/>
        <v>0.52729437625938813</v>
      </c>
      <c r="I7" s="19">
        <f t="shared" si="0"/>
        <v>0.61403298350824587</v>
      </c>
      <c r="J7" s="20">
        <v>0.21299999999999999</v>
      </c>
      <c r="K7" s="20">
        <v>0.21299999999999999</v>
      </c>
      <c r="L7" s="20">
        <v>0.21299999999999999</v>
      </c>
      <c r="M7" s="21">
        <v>0.21299999999999999</v>
      </c>
    </row>
    <row r="8" spans="1:13" ht="20" customHeight="1" x14ac:dyDescent="0.15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ht="20" customHeight="1" x14ac:dyDescent="0.15">
      <c r="A9" s="6" t="s">
        <v>11</v>
      </c>
      <c r="B9" s="16">
        <v>759</v>
      </c>
      <c r="C9" s="16">
        <v>747</v>
      </c>
      <c r="D9" s="16">
        <v>1934</v>
      </c>
      <c r="E9" s="16">
        <v>3210</v>
      </c>
      <c r="F9" s="16">
        <v>3804</v>
      </c>
      <c r="G9" s="16">
        <v>2846</v>
      </c>
      <c r="H9" s="16">
        <v>4532</v>
      </c>
      <c r="I9" s="16">
        <v>10041</v>
      </c>
      <c r="J9" s="17">
        <f>I9+(I9*J10)</f>
        <v>12741.731647016353</v>
      </c>
      <c r="K9" s="17">
        <f>J9+(J9*K10)</f>
        <v>16168.88012793328</v>
      </c>
      <c r="L9" s="17">
        <f>K9+(K9*L10)</f>
        <v>20534.477762475268</v>
      </c>
      <c r="M9" s="18">
        <f>L9+(L9*M10)</f>
        <v>26078.786758343591</v>
      </c>
    </row>
    <row r="10" spans="1:13" ht="20" customHeight="1" x14ac:dyDescent="0.15">
      <c r="A10" s="6" t="s">
        <v>12</v>
      </c>
      <c r="B10" s="19">
        <f t="shared" ref="B10:I10" si="1">B9/B6</f>
        <v>0.16211020931225972</v>
      </c>
      <c r="C10" s="19">
        <f t="shared" si="1"/>
        <v>0.14910179640718563</v>
      </c>
      <c r="D10" s="19">
        <f t="shared" si="1"/>
        <v>0.27988422575976846</v>
      </c>
      <c r="E10" s="19">
        <f t="shared" si="1"/>
        <v>0.33045089561457691</v>
      </c>
      <c r="F10" s="19">
        <f t="shared" si="1"/>
        <v>0.32468419255718678</v>
      </c>
      <c r="G10" s="19">
        <f t="shared" si="1"/>
        <v>0.2606704524638212</v>
      </c>
      <c r="H10" s="19">
        <f t="shared" si="1"/>
        <v>0.27178410794602698</v>
      </c>
      <c r="I10" s="19">
        <f t="shared" si="1"/>
        <v>0.37307720888756779</v>
      </c>
      <c r="J10" s="22">
        <f>AVERAGE(B10:I10)</f>
        <v>0.26897038611854918</v>
      </c>
      <c r="K10" s="22">
        <f>AVERAGE(B10:J10)</f>
        <v>0.26897038611854918</v>
      </c>
      <c r="L10" s="22">
        <v>0.27</v>
      </c>
      <c r="M10" s="23">
        <v>0.27</v>
      </c>
    </row>
    <row r="11" spans="1:13" ht="20" customHeight="1" x14ac:dyDescent="0.15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spans="1:13" ht="20" customHeight="1" x14ac:dyDescent="0.15">
      <c r="A12" s="6" t="s">
        <v>13</v>
      </c>
      <c r="B12" s="16">
        <v>124</v>
      </c>
      <c r="C12" s="16">
        <v>129</v>
      </c>
      <c r="D12" s="16">
        <v>239</v>
      </c>
      <c r="E12" s="16">
        <v>149</v>
      </c>
      <c r="F12" s="16">
        <v>-245</v>
      </c>
      <c r="G12" s="16">
        <v>174</v>
      </c>
      <c r="H12" s="16">
        <v>77</v>
      </c>
      <c r="I12" s="16">
        <v>189</v>
      </c>
      <c r="J12" s="17">
        <f>J9*J13</f>
        <v>857.84474909721496</v>
      </c>
      <c r="K12" s="17">
        <f>K9*K13</f>
        <v>1131.8216089553298</v>
      </c>
      <c r="L12" s="17">
        <f>L9*L13</f>
        <v>1437.4134433732688</v>
      </c>
      <c r="M12" s="18">
        <f>M9*M13</f>
        <v>1825.5150730840514</v>
      </c>
    </row>
    <row r="13" spans="1:13" ht="20" customHeight="1" x14ac:dyDescent="0.15">
      <c r="A13" s="6" t="s">
        <v>14</v>
      </c>
      <c r="B13" s="19">
        <f t="shared" ref="B13:I13" si="2">B12/B9</f>
        <v>0.16337285902503293</v>
      </c>
      <c r="C13" s="19">
        <f t="shared" si="2"/>
        <v>0.17269076305220885</v>
      </c>
      <c r="D13" s="19">
        <f t="shared" si="2"/>
        <v>0.12357807652533609</v>
      </c>
      <c r="E13" s="19">
        <f t="shared" si="2"/>
        <v>4.641744548286604E-2</v>
      </c>
      <c r="F13" s="19">
        <f t="shared" si="2"/>
        <v>-6.4405888538380654E-2</v>
      </c>
      <c r="G13" s="19">
        <f t="shared" si="2"/>
        <v>6.1138439915671118E-2</v>
      </c>
      <c r="H13" s="19">
        <f t="shared" si="2"/>
        <v>1.6990291262135922E-2</v>
      </c>
      <c r="I13" s="19">
        <f t="shared" si="2"/>
        <v>1.8822826411711981E-2</v>
      </c>
      <c r="J13" s="22">
        <f>AVERAGE(B13:I13)</f>
        <v>6.7325601642072783E-2</v>
      </c>
      <c r="K13" s="22">
        <v>7.0000000000000007E-2</v>
      </c>
      <c r="L13" s="22">
        <v>7.0000000000000007E-2</v>
      </c>
      <c r="M13" s="23">
        <v>7.0000000000000007E-2</v>
      </c>
    </row>
    <row r="14" spans="1:13" ht="20" customHeight="1" x14ac:dyDescent="0.15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1:13" ht="20" customHeight="1" x14ac:dyDescent="0.15">
      <c r="A15" s="13" t="s">
        <v>15</v>
      </c>
      <c r="B15" s="14">
        <v>2015</v>
      </c>
      <c r="C15" s="14">
        <v>2016</v>
      </c>
      <c r="D15" s="14">
        <v>2017</v>
      </c>
      <c r="E15" s="14">
        <v>2018</v>
      </c>
      <c r="F15" s="14">
        <v>2019</v>
      </c>
      <c r="G15" s="14">
        <v>2020</v>
      </c>
      <c r="H15" s="14">
        <v>2021</v>
      </c>
      <c r="I15" s="14">
        <v>2022</v>
      </c>
      <c r="J15" s="14">
        <v>2023</v>
      </c>
      <c r="K15" s="14">
        <v>2024</v>
      </c>
      <c r="L15" s="14">
        <v>2025</v>
      </c>
      <c r="M15" s="15">
        <v>2026</v>
      </c>
    </row>
    <row r="16" spans="1:13" ht="20" customHeight="1" x14ac:dyDescent="0.15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1:13" ht="20" customHeight="1" x14ac:dyDescent="0.15">
      <c r="A17" s="6" t="s">
        <v>16</v>
      </c>
      <c r="B17" s="16">
        <v>248</v>
      </c>
      <c r="C17" s="16">
        <v>226</v>
      </c>
      <c r="D17" s="16">
        <v>187</v>
      </c>
      <c r="E17" s="16">
        <v>199</v>
      </c>
      <c r="F17" s="16">
        <v>262</v>
      </c>
      <c r="G17" s="16">
        <v>381</v>
      </c>
      <c r="H17" s="16">
        <v>1098</v>
      </c>
      <c r="I17" s="16">
        <v>1174</v>
      </c>
      <c r="J17" s="17">
        <f>I17+(I17*J18)</f>
        <v>1219.8378470419893</v>
      </c>
      <c r="K17" s="17">
        <f>J17+(J17*K18)</f>
        <v>1268.6313609236688</v>
      </c>
      <c r="L17" s="17">
        <f>K17+(K17*L18)</f>
        <v>1319.3766153606155</v>
      </c>
      <c r="M17" s="18">
        <f>L17+(L17*M18)</f>
        <v>1372.15167997504</v>
      </c>
    </row>
    <row r="18" spans="1:13" ht="20" customHeight="1" x14ac:dyDescent="0.15">
      <c r="A18" s="6" t="s">
        <v>12</v>
      </c>
      <c r="B18" s="19">
        <f t="shared" ref="B18:I18" si="3">B17/B6</f>
        <v>5.296881674498078E-2</v>
      </c>
      <c r="C18" s="19">
        <f t="shared" si="3"/>
        <v>4.5109780439121755E-2</v>
      </c>
      <c r="D18" s="19">
        <f t="shared" si="3"/>
        <v>2.7062228654124457E-2</v>
      </c>
      <c r="E18" s="19">
        <f t="shared" si="3"/>
        <v>2.0485896644018942E-2</v>
      </c>
      <c r="F18" s="19">
        <f t="shared" si="3"/>
        <v>2.2362581085694777E-2</v>
      </c>
      <c r="G18" s="19">
        <f t="shared" si="3"/>
        <v>3.4896501190694269E-2</v>
      </c>
      <c r="H18" s="19">
        <f t="shared" si="3"/>
        <v>6.5847076461769113E-2</v>
      </c>
      <c r="I18" s="19">
        <f t="shared" si="3"/>
        <v>4.362042059894479E-2</v>
      </c>
      <c r="J18" s="22">
        <f>AVERAGE(B18:I18)</f>
        <v>3.9044162727418612E-2</v>
      </c>
      <c r="K18" s="22">
        <v>0.04</v>
      </c>
      <c r="L18" s="22">
        <v>0.04</v>
      </c>
      <c r="M18" s="23">
        <v>0.04</v>
      </c>
    </row>
    <row r="19" spans="1:13" ht="20" customHeight="1" x14ac:dyDescent="0.15">
      <c r="A19" s="6" t="s">
        <v>17</v>
      </c>
      <c r="B19" s="19">
        <f t="shared" ref="B19:M19" si="4">B17/B21</f>
        <v>2.4554455445544554</v>
      </c>
      <c r="C19" s="19">
        <f t="shared" si="4"/>
        <v>2.8607594936708862</v>
      </c>
      <c r="D19" s="19">
        <f t="shared" si="4"/>
        <v>1.1065088757396451</v>
      </c>
      <c r="E19" s="19">
        <f t="shared" si="4"/>
        <v>0.33558178752107926</v>
      </c>
      <c r="F19" s="19">
        <f t="shared" si="4"/>
        <v>0.43666666666666665</v>
      </c>
      <c r="G19" s="19">
        <f t="shared" si="4"/>
        <v>0.77914110429447858</v>
      </c>
      <c r="H19" s="19">
        <f t="shared" si="4"/>
        <v>0.97340425531914898</v>
      </c>
      <c r="I19" s="19">
        <f t="shared" si="4"/>
        <v>1.2028688524590163</v>
      </c>
      <c r="J19" s="22">
        <f t="shared" si="4"/>
        <v>1.2013656725099608</v>
      </c>
      <c r="K19" s="22">
        <f t="shared" si="4"/>
        <v>1.2013656725099608</v>
      </c>
      <c r="L19" s="22">
        <f t="shared" si="4"/>
        <v>1.2013656725099611</v>
      </c>
      <c r="M19" s="23">
        <f t="shared" si="4"/>
        <v>1.2013656725099608</v>
      </c>
    </row>
    <row r="20" spans="1:13" ht="20" customHeight="1" x14ac:dyDescent="0.15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3" ht="20" customHeight="1" x14ac:dyDescent="0.15">
      <c r="A21" s="6" t="s">
        <v>18</v>
      </c>
      <c r="B21" s="16">
        <v>101</v>
      </c>
      <c r="C21" s="16">
        <v>79</v>
      </c>
      <c r="D21" s="16">
        <v>169</v>
      </c>
      <c r="E21" s="16">
        <v>593</v>
      </c>
      <c r="F21" s="16">
        <v>600</v>
      </c>
      <c r="G21" s="16">
        <v>489</v>
      </c>
      <c r="H21" s="16">
        <v>1128</v>
      </c>
      <c r="I21" s="16">
        <v>976</v>
      </c>
      <c r="J21" s="17">
        <f>I21+(I21*J22)</f>
        <v>1015.3759799823773</v>
      </c>
      <c r="K21" s="17">
        <f>J21+(J21*K22)</f>
        <v>1055.9910191816723</v>
      </c>
      <c r="L21" s="17">
        <f>K21+(K21*L22)</f>
        <v>1098.2306599489391</v>
      </c>
      <c r="M21" s="18">
        <f>L21+(L21*M22)</f>
        <v>1142.1598863468967</v>
      </c>
    </row>
    <row r="22" spans="1:13" ht="20" customHeight="1" x14ac:dyDescent="0.15">
      <c r="A22" s="6" t="s">
        <v>12</v>
      </c>
      <c r="B22" s="19">
        <f t="shared" ref="B22:I22" si="5">B21/B6</f>
        <v>2.1571977787270397E-2</v>
      </c>
      <c r="C22" s="19">
        <f t="shared" si="5"/>
        <v>1.5768463073852296E-2</v>
      </c>
      <c r="D22" s="19">
        <f t="shared" si="5"/>
        <v>2.4457308248914615E-2</v>
      </c>
      <c r="E22" s="19">
        <f t="shared" si="5"/>
        <v>6.1045913115091617E-2</v>
      </c>
      <c r="F22" s="19">
        <f t="shared" si="5"/>
        <v>5.1212017753499491E-2</v>
      </c>
      <c r="G22" s="19">
        <f t="shared" si="5"/>
        <v>4.478842278805642E-2</v>
      </c>
      <c r="H22" s="19">
        <f t="shared" si="5"/>
        <v>6.7646176911544231E-2</v>
      </c>
      <c r="I22" s="19">
        <f t="shared" si="5"/>
        <v>3.6263654603552055E-2</v>
      </c>
      <c r="J22" s="22">
        <f>AVERAGE(B22:I22)</f>
        <v>4.034424178522264E-2</v>
      </c>
      <c r="K22" s="22">
        <v>0.04</v>
      </c>
      <c r="L22" s="22">
        <v>0.04</v>
      </c>
      <c r="M22" s="23">
        <v>0.04</v>
      </c>
    </row>
    <row r="23" spans="1:13" ht="20" customHeight="1" x14ac:dyDescent="0.15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spans="1:13" ht="20" customHeight="1" x14ac:dyDescent="0.15">
      <c r="A24" s="6" t="s">
        <v>19</v>
      </c>
      <c r="B24" s="16">
        <v>203</v>
      </c>
      <c r="C24" s="16">
        <v>51</v>
      </c>
      <c r="D24" s="16">
        <v>679</v>
      </c>
      <c r="E24" s="16">
        <v>-185</v>
      </c>
      <c r="F24" s="16">
        <v>857</v>
      </c>
      <c r="G24" s="16">
        <v>-717</v>
      </c>
      <c r="H24" s="16">
        <v>703</v>
      </c>
      <c r="I24" s="16">
        <v>3363</v>
      </c>
      <c r="J24" s="17">
        <f>I24+(I24*J25)</f>
        <v>3492.2000824049223</v>
      </c>
      <c r="K24" s="17">
        <f>J24+(J24*K25)</f>
        <v>3631.8880857011191</v>
      </c>
      <c r="L24" s="17">
        <f>K24+(K24*L25)</f>
        <v>3777.1636091291639</v>
      </c>
      <c r="M24" s="18">
        <f>L24+(L24*M25)</f>
        <v>3928.2501534943303</v>
      </c>
    </row>
    <row r="25" spans="1:13" ht="20" customHeight="1" x14ac:dyDescent="0.15">
      <c r="A25" s="6" t="s">
        <v>12</v>
      </c>
      <c r="B25" s="19">
        <f t="shared" ref="B25:I25" si="6">B24/B6</f>
        <v>4.335753951302862E-2</v>
      </c>
      <c r="C25" s="19">
        <f t="shared" si="6"/>
        <v>1.0179640718562874E-2</v>
      </c>
      <c r="D25" s="19">
        <f t="shared" si="6"/>
        <v>9.8263386396526778E-2</v>
      </c>
      <c r="E25" s="19">
        <f t="shared" si="6"/>
        <v>-1.9044677784640723E-2</v>
      </c>
      <c r="F25" s="19">
        <f t="shared" si="6"/>
        <v>7.3147832024581763E-2</v>
      </c>
      <c r="G25" s="19">
        <f t="shared" si="6"/>
        <v>-6.5671368382487633E-2</v>
      </c>
      <c r="H25" s="19">
        <f t="shared" si="6"/>
        <v>4.2158920539730138E-2</v>
      </c>
      <c r="I25" s="19">
        <f t="shared" si="6"/>
        <v>0.12495355577023111</v>
      </c>
      <c r="J25" s="22">
        <f>AVERAGE(B25:I25)</f>
        <v>3.8418103599441616E-2</v>
      </c>
      <c r="K25" s="22">
        <v>0.04</v>
      </c>
      <c r="L25" s="22">
        <v>0.04</v>
      </c>
      <c r="M25" s="23">
        <v>0.04</v>
      </c>
    </row>
    <row r="26" spans="1:13" ht="20" customHeight="1" x14ac:dyDescent="0.15">
      <c r="A26" s="6" t="s">
        <v>20</v>
      </c>
      <c r="B26" s="8"/>
      <c r="C26" s="19">
        <f>(C25-B25)/B25</f>
        <v>-0.76521636529895876</v>
      </c>
      <c r="D26" s="19">
        <f t="shared" ref="D26:M26" si="7">D24/(D6-C6)</f>
        <v>0.35736842105263156</v>
      </c>
      <c r="E26" s="19">
        <f t="shared" si="7"/>
        <v>-6.5977175463623389E-2</v>
      </c>
      <c r="F26" s="19">
        <f t="shared" si="7"/>
        <v>0.42807192807192807</v>
      </c>
      <c r="G26" s="19">
        <f t="shared" si="7"/>
        <v>0.89849624060150379</v>
      </c>
      <c r="H26" s="19">
        <f t="shared" si="7"/>
        <v>0.12211221122112212</v>
      </c>
      <c r="I26" s="19">
        <f t="shared" si="7"/>
        <v>0.32845004394960448</v>
      </c>
      <c r="J26" s="22">
        <f t="shared" si="7"/>
        <v>0.60917387052080019</v>
      </c>
      <c r="K26" s="22">
        <f t="shared" si="7"/>
        <v>0.5222925188306945</v>
      </c>
      <c r="L26" s="22">
        <f t="shared" si="7"/>
        <v>0.44780232447149387</v>
      </c>
      <c r="M26" s="23">
        <f t="shared" si="7"/>
        <v>0.3839360407669859</v>
      </c>
    </row>
    <row r="27" spans="1:13" ht="20" customHeight="1" x14ac:dyDescent="0.15">
      <c r="A27" s="10"/>
      <c r="B27" s="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4"/>
    </row>
    <row r="28" spans="1:13" ht="20" customHeight="1" x14ac:dyDescent="0.15">
      <c r="A28" s="25" t="s">
        <v>21</v>
      </c>
      <c r="B28" s="19">
        <f>(B30*B31*(1-B32))+(B34*B35)</f>
        <v>0.12384352968718962</v>
      </c>
      <c r="C28" s="57">
        <f>B28</f>
        <v>0.12384352968718962</v>
      </c>
      <c r="D28" s="19"/>
      <c r="E28" s="19"/>
      <c r="F28" s="19"/>
      <c r="G28" s="19"/>
      <c r="H28" s="19"/>
      <c r="I28" s="19"/>
      <c r="J28" s="19"/>
      <c r="K28" s="19"/>
      <c r="L28" s="19"/>
      <c r="M28" s="24"/>
    </row>
    <row r="29" spans="1:13" ht="20" customHeight="1" x14ac:dyDescent="0.15">
      <c r="A29" s="6" t="s">
        <v>22</v>
      </c>
      <c r="B29" s="16">
        <v>10.946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4"/>
    </row>
    <row r="30" spans="1:13" ht="20" customHeight="1" x14ac:dyDescent="0.15">
      <c r="A30" s="6" t="s">
        <v>22</v>
      </c>
      <c r="B30" s="19">
        <f>B29/B41</f>
        <v>2.5884656495048192E-2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4"/>
    </row>
    <row r="31" spans="1:13" ht="20" customHeight="1" x14ac:dyDescent="0.15">
      <c r="A31" s="6" t="s">
        <v>23</v>
      </c>
      <c r="B31" s="26">
        <v>3.6999999999999998E-2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4"/>
    </row>
    <row r="32" spans="1:13" ht="20" customHeight="1" x14ac:dyDescent="0.15">
      <c r="A32" s="6" t="s">
        <v>24</v>
      </c>
      <c r="B32" s="26">
        <v>7.0000000000000007E-2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24"/>
    </row>
    <row r="33" spans="1:13" ht="20" customHeight="1" x14ac:dyDescent="0.15">
      <c r="A33" s="6" t="s">
        <v>25</v>
      </c>
      <c r="B33" s="16">
        <v>411.93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24"/>
    </row>
    <row r="34" spans="1:13" ht="20" customHeight="1" x14ac:dyDescent="0.15">
      <c r="A34" s="6" t="s">
        <v>26</v>
      </c>
      <c r="B34" s="19">
        <f>B33/B41</f>
        <v>0.97411534350495177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24"/>
    </row>
    <row r="35" spans="1:13" ht="20" customHeight="1" x14ac:dyDescent="0.15">
      <c r="A35" s="6" t="s">
        <v>27</v>
      </c>
      <c r="B35" s="19">
        <f>B36+B37*B38</f>
        <v>0.12622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4"/>
    </row>
    <row r="36" spans="1:13" ht="20" customHeight="1" x14ac:dyDescent="0.15">
      <c r="A36" s="6" t="s">
        <v>28</v>
      </c>
      <c r="B36" s="27">
        <v>3.73E-2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4"/>
    </row>
    <row r="37" spans="1:13" ht="20" customHeight="1" x14ac:dyDescent="0.15">
      <c r="A37" s="6" t="s">
        <v>29</v>
      </c>
      <c r="B37" s="16">
        <v>1.71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4"/>
    </row>
    <row r="38" spans="1:13" ht="20" customHeight="1" x14ac:dyDescent="0.15">
      <c r="A38" s="6" t="s">
        <v>30</v>
      </c>
      <c r="B38" s="28">
        <v>5.1999999999999998E-2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4"/>
    </row>
    <row r="39" spans="1:13" ht="20" customHeight="1" x14ac:dyDescent="0.15">
      <c r="A39" s="50" t="s">
        <v>42</v>
      </c>
      <c r="B39" s="28">
        <v>2.5000000000000001E-2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4"/>
    </row>
    <row r="40" spans="1:13" ht="20" customHeight="1" x14ac:dyDescent="0.15">
      <c r="A40" s="10"/>
      <c r="B40" s="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4"/>
    </row>
    <row r="41" spans="1:13" ht="20.25" customHeight="1" x14ac:dyDescent="0.15">
      <c r="A41" s="29" t="s">
        <v>31</v>
      </c>
      <c r="B41" s="51">
        <f>B29+B33</f>
        <v>422.87600000000003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1"/>
    </row>
    <row r="43" spans="1:13" ht="20.25" customHeight="1" x14ac:dyDescent="0.15">
      <c r="A43" s="2" t="s">
        <v>3</v>
      </c>
      <c r="B43" s="4"/>
      <c r="C43" s="4"/>
      <c r="D43" s="4"/>
      <c r="E43" s="4"/>
      <c r="F43" s="4"/>
      <c r="G43" s="4"/>
      <c r="H43" s="4"/>
      <c r="I43" s="4"/>
      <c r="J43" s="32">
        <v>1</v>
      </c>
      <c r="K43" s="32">
        <v>2</v>
      </c>
      <c r="L43" s="32">
        <v>3</v>
      </c>
      <c r="M43" s="33">
        <v>4</v>
      </c>
    </row>
    <row r="44" spans="1:13" ht="20" customHeight="1" x14ac:dyDescent="0.15">
      <c r="A44" s="10"/>
      <c r="B44" s="14">
        <v>2015</v>
      </c>
      <c r="C44" s="14">
        <v>2016</v>
      </c>
      <c r="D44" s="14">
        <v>2017</v>
      </c>
      <c r="E44" s="14">
        <v>2018</v>
      </c>
      <c r="F44" s="14">
        <v>2019</v>
      </c>
      <c r="G44" s="14">
        <v>2020</v>
      </c>
      <c r="H44" s="14">
        <v>2021</v>
      </c>
      <c r="I44" s="14">
        <v>2022</v>
      </c>
      <c r="J44" s="14">
        <v>2023</v>
      </c>
      <c r="K44" s="14">
        <v>2024</v>
      </c>
      <c r="L44" s="14">
        <v>2025</v>
      </c>
      <c r="M44" s="15">
        <v>2026</v>
      </c>
    </row>
    <row r="45" spans="1:13" ht="20" customHeight="1" x14ac:dyDescent="0.15">
      <c r="A45" s="6" t="s">
        <v>9</v>
      </c>
      <c r="B45" s="34">
        <f t="shared" ref="B45:I45" si="8">B6</f>
        <v>4682</v>
      </c>
      <c r="C45" s="34">
        <f t="shared" si="8"/>
        <v>5010</v>
      </c>
      <c r="D45" s="34">
        <f t="shared" si="8"/>
        <v>6910</v>
      </c>
      <c r="E45" s="34">
        <f t="shared" si="8"/>
        <v>9714</v>
      </c>
      <c r="F45" s="34">
        <f t="shared" si="8"/>
        <v>11716</v>
      </c>
      <c r="G45" s="34">
        <f t="shared" si="8"/>
        <v>10918</v>
      </c>
      <c r="H45" s="34">
        <f t="shared" si="8"/>
        <v>16675</v>
      </c>
      <c r="I45" s="34">
        <f t="shared" si="8"/>
        <v>26914</v>
      </c>
      <c r="J45" s="17">
        <f>I45+(I45*J46)</f>
        <v>32646.682000000001</v>
      </c>
      <c r="K45" s="17">
        <f>J45+(J45*K46)</f>
        <v>39600.425265999998</v>
      </c>
      <c r="L45" s="17">
        <f>K45+(K45*L46)</f>
        <v>48035.315847657999</v>
      </c>
      <c r="M45" s="18">
        <f>L45+(L45*M46)</f>
        <v>58266.838123209149</v>
      </c>
    </row>
    <row r="46" spans="1:13" ht="20" customHeight="1" x14ac:dyDescent="0.15">
      <c r="A46" s="6" t="s">
        <v>10</v>
      </c>
      <c r="B46" s="35"/>
      <c r="C46" s="36">
        <f t="shared" ref="C46:M46" si="9">C7</f>
        <v>7.0055531824006839E-2</v>
      </c>
      <c r="D46" s="36">
        <f t="shared" si="9"/>
        <v>0.37924151696606784</v>
      </c>
      <c r="E46" s="36">
        <f t="shared" si="9"/>
        <v>0.4057887120115774</v>
      </c>
      <c r="F46" s="36">
        <f t="shared" si="9"/>
        <v>0.20609429689108502</v>
      </c>
      <c r="G46" s="36">
        <f t="shared" si="9"/>
        <v>-6.8111983612154314E-2</v>
      </c>
      <c r="H46" s="36">
        <f t="shared" si="9"/>
        <v>0.52729437625938813</v>
      </c>
      <c r="I46" s="36">
        <f t="shared" si="9"/>
        <v>0.61403298350824587</v>
      </c>
      <c r="J46" s="37">
        <f t="shared" si="9"/>
        <v>0.21299999999999999</v>
      </c>
      <c r="K46" s="37">
        <f t="shared" si="9"/>
        <v>0.21299999999999999</v>
      </c>
      <c r="L46" s="37">
        <f t="shared" si="9"/>
        <v>0.21299999999999999</v>
      </c>
      <c r="M46" s="38">
        <f t="shared" si="9"/>
        <v>0.21299999999999999</v>
      </c>
    </row>
    <row r="47" spans="1:13" ht="20" customHeight="1" x14ac:dyDescent="0.15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  <row r="48" spans="1:13" ht="20" customHeight="1" x14ac:dyDescent="0.15">
      <c r="A48" s="6" t="s">
        <v>11</v>
      </c>
      <c r="B48" s="34">
        <f t="shared" ref="B48:I49" si="10">B9</f>
        <v>759</v>
      </c>
      <c r="C48" s="34">
        <f t="shared" si="10"/>
        <v>747</v>
      </c>
      <c r="D48" s="34">
        <f t="shared" si="10"/>
        <v>1934</v>
      </c>
      <c r="E48" s="34">
        <f t="shared" si="10"/>
        <v>3210</v>
      </c>
      <c r="F48" s="34">
        <f t="shared" si="10"/>
        <v>3804</v>
      </c>
      <c r="G48" s="34">
        <f t="shared" si="10"/>
        <v>2846</v>
      </c>
      <c r="H48" s="34">
        <f t="shared" si="10"/>
        <v>4532</v>
      </c>
      <c r="I48" s="34">
        <f t="shared" si="10"/>
        <v>10041</v>
      </c>
      <c r="J48" s="17">
        <f>I48+(I48*J49)</f>
        <v>12741.731647016353</v>
      </c>
      <c r="K48" s="17">
        <f>J48+(J48*K49)</f>
        <v>16168.88012793328</v>
      </c>
      <c r="L48" s="17">
        <f>K48+(K48*L49)</f>
        <v>20534.477762475268</v>
      </c>
      <c r="M48" s="18">
        <f>L48+(L48*M49)</f>
        <v>26078.786758343591</v>
      </c>
    </row>
    <row r="49" spans="1:13" ht="20" customHeight="1" x14ac:dyDescent="0.15">
      <c r="A49" s="6" t="s">
        <v>12</v>
      </c>
      <c r="B49" s="36">
        <f t="shared" si="10"/>
        <v>0.16211020931225972</v>
      </c>
      <c r="C49" s="36">
        <f t="shared" si="10"/>
        <v>0.14910179640718563</v>
      </c>
      <c r="D49" s="36">
        <f t="shared" si="10"/>
        <v>0.27988422575976846</v>
      </c>
      <c r="E49" s="36">
        <f t="shared" si="10"/>
        <v>0.33045089561457691</v>
      </c>
      <c r="F49" s="36">
        <f t="shared" si="10"/>
        <v>0.32468419255718678</v>
      </c>
      <c r="G49" s="36">
        <f t="shared" si="10"/>
        <v>0.2606704524638212</v>
      </c>
      <c r="H49" s="36">
        <f t="shared" si="10"/>
        <v>0.27178410794602698</v>
      </c>
      <c r="I49" s="36">
        <f t="shared" si="10"/>
        <v>0.37307720888756779</v>
      </c>
      <c r="J49" s="36">
        <f>J10</f>
        <v>0.26897038611854918</v>
      </c>
      <c r="K49" s="36">
        <f>K10</f>
        <v>0.26897038611854918</v>
      </c>
      <c r="L49" s="36">
        <f>L10</f>
        <v>0.27</v>
      </c>
      <c r="M49" s="39">
        <f>M10</f>
        <v>0.27</v>
      </c>
    </row>
    <row r="50" spans="1:13" ht="20" customHeight="1" x14ac:dyDescent="0.15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</row>
    <row r="51" spans="1:13" ht="20" customHeight="1" x14ac:dyDescent="0.15">
      <c r="A51" s="6" t="s">
        <v>13</v>
      </c>
      <c r="B51" s="34">
        <f t="shared" ref="B51:I52" si="11">B12</f>
        <v>124</v>
      </c>
      <c r="C51" s="34">
        <f t="shared" si="11"/>
        <v>129</v>
      </c>
      <c r="D51" s="34">
        <f t="shared" si="11"/>
        <v>239</v>
      </c>
      <c r="E51" s="34">
        <f t="shared" si="11"/>
        <v>149</v>
      </c>
      <c r="F51" s="34">
        <f t="shared" si="11"/>
        <v>-245</v>
      </c>
      <c r="G51" s="34">
        <f t="shared" si="11"/>
        <v>174</v>
      </c>
      <c r="H51" s="34">
        <f t="shared" si="11"/>
        <v>77</v>
      </c>
      <c r="I51" s="34">
        <f t="shared" si="11"/>
        <v>189</v>
      </c>
      <c r="J51" s="17">
        <f>J48*J52</f>
        <v>857.84474909721496</v>
      </c>
      <c r="K51" s="17">
        <f>K48*K52</f>
        <v>1131.8216089553298</v>
      </c>
      <c r="L51" s="17">
        <f>L48*L52</f>
        <v>1437.4134433732688</v>
      </c>
      <c r="M51" s="18">
        <f>M48*M52</f>
        <v>1825.5150730840514</v>
      </c>
    </row>
    <row r="52" spans="1:13" ht="20" customHeight="1" x14ac:dyDescent="0.15">
      <c r="A52" s="6" t="s">
        <v>14</v>
      </c>
      <c r="B52" s="36">
        <f t="shared" si="11"/>
        <v>0.16337285902503293</v>
      </c>
      <c r="C52" s="36">
        <f t="shared" si="11"/>
        <v>0.17269076305220885</v>
      </c>
      <c r="D52" s="36">
        <f t="shared" si="11"/>
        <v>0.12357807652533609</v>
      </c>
      <c r="E52" s="36">
        <f t="shared" si="11"/>
        <v>4.641744548286604E-2</v>
      </c>
      <c r="F52" s="36">
        <f t="shared" si="11"/>
        <v>-6.4405888538380654E-2</v>
      </c>
      <c r="G52" s="36">
        <f t="shared" si="11"/>
        <v>6.1138439915671118E-2</v>
      </c>
      <c r="H52" s="36">
        <f t="shared" si="11"/>
        <v>1.6990291262135922E-2</v>
      </c>
      <c r="I52" s="36">
        <f t="shared" si="11"/>
        <v>1.8822826411711981E-2</v>
      </c>
      <c r="J52" s="36">
        <f>J13</f>
        <v>6.7325601642072783E-2</v>
      </c>
      <c r="K52" s="36">
        <f>K13</f>
        <v>7.0000000000000007E-2</v>
      </c>
      <c r="L52" s="36">
        <f>L13</f>
        <v>7.0000000000000007E-2</v>
      </c>
      <c r="M52" s="39">
        <f>M13</f>
        <v>7.0000000000000007E-2</v>
      </c>
    </row>
    <row r="53" spans="1:13" ht="20" customHeight="1" x14ac:dyDescent="0.15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</row>
    <row r="54" spans="1:13" ht="20" customHeight="1" x14ac:dyDescent="0.15">
      <c r="A54" s="25" t="s">
        <v>32</v>
      </c>
      <c r="B54" s="40">
        <f t="shared" ref="B54:M54" si="12">B48-B51</f>
        <v>635</v>
      </c>
      <c r="C54" s="40">
        <f t="shared" si="12"/>
        <v>618</v>
      </c>
      <c r="D54" s="40">
        <f t="shared" si="12"/>
        <v>1695</v>
      </c>
      <c r="E54" s="40">
        <f t="shared" si="12"/>
        <v>3061</v>
      </c>
      <c r="F54" s="40">
        <f t="shared" si="12"/>
        <v>4049</v>
      </c>
      <c r="G54" s="40">
        <f t="shared" si="12"/>
        <v>2672</v>
      </c>
      <c r="H54" s="40">
        <f t="shared" si="12"/>
        <v>4455</v>
      </c>
      <c r="I54" s="40">
        <f t="shared" si="12"/>
        <v>9852</v>
      </c>
      <c r="J54" s="41">
        <f t="shared" si="12"/>
        <v>11883.886897919137</v>
      </c>
      <c r="K54" s="41">
        <f t="shared" si="12"/>
        <v>15037.05851897795</v>
      </c>
      <c r="L54" s="41">
        <f t="shared" si="12"/>
        <v>19097.064319101999</v>
      </c>
      <c r="M54" s="42">
        <f t="shared" si="12"/>
        <v>24253.27168525954</v>
      </c>
    </row>
    <row r="55" spans="1:13" ht="20" customHeight="1" x14ac:dyDescent="0.15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</row>
    <row r="56" spans="1:13" ht="20" customHeight="1" x14ac:dyDescent="0.15">
      <c r="A56" s="6" t="s">
        <v>16</v>
      </c>
      <c r="B56" s="34">
        <f t="shared" ref="B56:I57" si="13">B17</f>
        <v>248</v>
      </c>
      <c r="C56" s="34">
        <f t="shared" si="13"/>
        <v>226</v>
      </c>
      <c r="D56" s="34">
        <f t="shared" si="13"/>
        <v>187</v>
      </c>
      <c r="E56" s="34">
        <f t="shared" si="13"/>
        <v>199</v>
      </c>
      <c r="F56" s="34">
        <f t="shared" si="13"/>
        <v>262</v>
      </c>
      <c r="G56" s="34">
        <f t="shared" si="13"/>
        <v>381</v>
      </c>
      <c r="H56" s="34">
        <f t="shared" si="13"/>
        <v>1098</v>
      </c>
      <c r="I56" s="34">
        <f t="shared" si="13"/>
        <v>1174</v>
      </c>
      <c r="J56" s="17">
        <f>J45*J57</f>
        <v>1274.6623645182881</v>
      </c>
      <c r="K56" s="17">
        <f>K45*K57</f>
        <v>1584.0170106400001</v>
      </c>
      <c r="L56" s="17">
        <f>L45*L57</f>
        <v>1921.41263390632</v>
      </c>
      <c r="M56" s="18">
        <f>M45*M57</f>
        <v>2330.6735249283661</v>
      </c>
    </row>
    <row r="57" spans="1:13" ht="20" customHeight="1" x14ac:dyDescent="0.15">
      <c r="A57" s="6" t="s">
        <v>12</v>
      </c>
      <c r="B57" s="36">
        <f t="shared" si="13"/>
        <v>5.296881674498078E-2</v>
      </c>
      <c r="C57" s="36">
        <f t="shared" si="13"/>
        <v>4.5109780439121755E-2</v>
      </c>
      <c r="D57" s="36">
        <f t="shared" si="13"/>
        <v>2.7062228654124457E-2</v>
      </c>
      <c r="E57" s="36">
        <f t="shared" si="13"/>
        <v>2.0485896644018942E-2</v>
      </c>
      <c r="F57" s="36">
        <f t="shared" si="13"/>
        <v>2.2362581085694777E-2</v>
      </c>
      <c r="G57" s="36">
        <f t="shared" si="13"/>
        <v>3.4896501190694269E-2</v>
      </c>
      <c r="H57" s="36">
        <f t="shared" si="13"/>
        <v>6.5847076461769113E-2</v>
      </c>
      <c r="I57" s="36">
        <f t="shared" si="13"/>
        <v>4.362042059894479E-2</v>
      </c>
      <c r="J57" s="22">
        <f>AVERAGE(B57:I57)</f>
        <v>3.9044162727418612E-2</v>
      </c>
      <c r="K57" s="22">
        <v>0.04</v>
      </c>
      <c r="L57" s="22">
        <v>0.04</v>
      </c>
      <c r="M57" s="23">
        <v>0.04</v>
      </c>
    </row>
    <row r="58" spans="1:13" ht="20" customHeight="1" x14ac:dyDescent="0.15">
      <c r="A58" s="10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24"/>
    </row>
    <row r="59" spans="1:13" ht="20" customHeight="1" x14ac:dyDescent="0.15">
      <c r="A59" s="6" t="s">
        <v>18</v>
      </c>
      <c r="B59" s="34">
        <f t="shared" ref="B59:I60" si="14">B21</f>
        <v>101</v>
      </c>
      <c r="C59" s="34">
        <f t="shared" si="14"/>
        <v>79</v>
      </c>
      <c r="D59" s="34">
        <f t="shared" si="14"/>
        <v>169</v>
      </c>
      <c r="E59" s="34">
        <f t="shared" si="14"/>
        <v>593</v>
      </c>
      <c r="F59" s="34">
        <f t="shared" si="14"/>
        <v>600</v>
      </c>
      <c r="G59" s="34">
        <f t="shared" si="14"/>
        <v>489</v>
      </c>
      <c r="H59" s="34">
        <f t="shared" si="14"/>
        <v>1128</v>
      </c>
      <c r="I59" s="34">
        <f t="shared" si="14"/>
        <v>976</v>
      </c>
      <c r="J59" s="17">
        <f>J45*J60</f>
        <v>1317.1056320932757</v>
      </c>
      <c r="K59" s="17">
        <f>K45*K60</f>
        <v>1584.0170106400001</v>
      </c>
      <c r="L59" s="17">
        <f>L45*L60</f>
        <v>1921.41263390632</v>
      </c>
      <c r="M59" s="18">
        <f>M45*M60</f>
        <v>2330.6735249283661</v>
      </c>
    </row>
    <row r="60" spans="1:13" ht="20" customHeight="1" x14ac:dyDescent="0.15">
      <c r="A60" s="6" t="s">
        <v>12</v>
      </c>
      <c r="B60" s="36">
        <f t="shared" si="14"/>
        <v>2.1571977787270397E-2</v>
      </c>
      <c r="C60" s="36">
        <f t="shared" si="14"/>
        <v>1.5768463073852296E-2</v>
      </c>
      <c r="D60" s="36">
        <f t="shared" si="14"/>
        <v>2.4457308248914615E-2</v>
      </c>
      <c r="E60" s="36">
        <f t="shared" si="14"/>
        <v>6.1045913115091617E-2</v>
      </c>
      <c r="F60" s="36">
        <f t="shared" si="14"/>
        <v>5.1212017753499491E-2</v>
      </c>
      <c r="G60" s="36">
        <f t="shared" si="14"/>
        <v>4.478842278805642E-2</v>
      </c>
      <c r="H60" s="36">
        <f t="shared" si="14"/>
        <v>6.7646176911544231E-2</v>
      </c>
      <c r="I60" s="36">
        <f t="shared" si="14"/>
        <v>3.6263654603552055E-2</v>
      </c>
      <c r="J60" s="22">
        <f>AVERAGE(B60:I60)</f>
        <v>4.034424178522264E-2</v>
      </c>
      <c r="K60" s="22">
        <v>0.04</v>
      </c>
      <c r="L60" s="22">
        <v>0.04</v>
      </c>
      <c r="M60" s="23">
        <v>0.04</v>
      </c>
    </row>
    <row r="61" spans="1:13" ht="20" customHeight="1" x14ac:dyDescent="0.15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9"/>
    </row>
    <row r="62" spans="1:13" ht="20" customHeight="1" x14ac:dyDescent="0.15">
      <c r="A62" s="6" t="s">
        <v>19</v>
      </c>
      <c r="B62" s="34">
        <f t="shared" ref="B62:I63" si="15">B24</f>
        <v>203</v>
      </c>
      <c r="C62" s="34">
        <f t="shared" si="15"/>
        <v>51</v>
      </c>
      <c r="D62" s="34">
        <f t="shared" si="15"/>
        <v>679</v>
      </c>
      <c r="E62" s="34">
        <f t="shared" si="15"/>
        <v>-185</v>
      </c>
      <c r="F62" s="34">
        <f t="shared" si="15"/>
        <v>857</v>
      </c>
      <c r="G62" s="34">
        <f t="shared" si="15"/>
        <v>-717</v>
      </c>
      <c r="H62" s="34">
        <f t="shared" si="15"/>
        <v>703</v>
      </c>
      <c r="I62" s="34">
        <f t="shared" si="15"/>
        <v>3363</v>
      </c>
      <c r="J62" s="17">
        <f>J45*J63</f>
        <v>1254.2236112540259</v>
      </c>
      <c r="K62" s="17">
        <f>K45*K63</f>
        <v>1584.0170106400001</v>
      </c>
      <c r="L62" s="17">
        <f>L45*L63</f>
        <v>1921.41263390632</v>
      </c>
      <c r="M62" s="18">
        <f>M45*M63</f>
        <v>2330.6735249283661</v>
      </c>
    </row>
    <row r="63" spans="1:13" ht="20" customHeight="1" x14ac:dyDescent="0.15">
      <c r="A63" s="6" t="s">
        <v>12</v>
      </c>
      <c r="B63" s="36">
        <f t="shared" si="15"/>
        <v>4.335753951302862E-2</v>
      </c>
      <c r="C63" s="36">
        <f t="shared" si="15"/>
        <v>1.0179640718562874E-2</v>
      </c>
      <c r="D63" s="36">
        <f t="shared" si="15"/>
        <v>9.8263386396526778E-2</v>
      </c>
      <c r="E63" s="36">
        <f t="shared" si="15"/>
        <v>-1.9044677784640723E-2</v>
      </c>
      <c r="F63" s="36">
        <f t="shared" si="15"/>
        <v>7.3147832024581763E-2</v>
      </c>
      <c r="G63" s="36">
        <f t="shared" si="15"/>
        <v>-6.5671368382487633E-2</v>
      </c>
      <c r="H63" s="36">
        <f t="shared" si="15"/>
        <v>4.2158920539730138E-2</v>
      </c>
      <c r="I63" s="36">
        <f t="shared" si="15"/>
        <v>0.12495355577023111</v>
      </c>
      <c r="J63" s="22">
        <f>AVERAGE(B63:I63)</f>
        <v>3.8418103599441616E-2</v>
      </c>
      <c r="K63" s="22">
        <v>0.04</v>
      </c>
      <c r="L63" s="22">
        <v>0.04</v>
      </c>
      <c r="M63" s="23">
        <v>0.04</v>
      </c>
    </row>
    <row r="64" spans="1:13" ht="20" customHeight="1" x14ac:dyDescent="0.15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9"/>
    </row>
    <row r="65" spans="1:13" ht="20" customHeight="1" x14ac:dyDescent="0.15">
      <c r="A65" s="25" t="s">
        <v>33</v>
      </c>
      <c r="B65" s="40">
        <f t="shared" ref="B65:M65" si="16">B54+B56-B59-B62</f>
        <v>579</v>
      </c>
      <c r="C65" s="40">
        <f t="shared" si="16"/>
        <v>714</v>
      </c>
      <c r="D65" s="40">
        <f t="shared" si="16"/>
        <v>1034</v>
      </c>
      <c r="E65" s="40">
        <f t="shared" si="16"/>
        <v>2852</v>
      </c>
      <c r="F65" s="40">
        <f t="shared" si="16"/>
        <v>2854</v>
      </c>
      <c r="G65" s="40">
        <f t="shared" si="16"/>
        <v>3281</v>
      </c>
      <c r="H65" s="40">
        <f t="shared" si="16"/>
        <v>3722</v>
      </c>
      <c r="I65" s="40">
        <f t="shared" si="16"/>
        <v>6687</v>
      </c>
      <c r="J65" s="41">
        <f t="shared" si="16"/>
        <v>10587.220019090124</v>
      </c>
      <c r="K65" s="41">
        <f t="shared" si="16"/>
        <v>13453.041508337948</v>
      </c>
      <c r="L65" s="41">
        <f t="shared" si="16"/>
        <v>17175.65168519568</v>
      </c>
      <c r="M65" s="42">
        <f t="shared" si="16"/>
        <v>21922.598160331174</v>
      </c>
    </row>
    <row r="66" spans="1:13" ht="20" customHeight="1" x14ac:dyDescent="0.15">
      <c r="A66" s="10"/>
      <c r="B66" s="19"/>
      <c r="C66" s="19"/>
      <c r="D66" s="19"/>
      <c r="E66" s="19"/>
      <c r="F66" s="19"/>
      <c r="G66" s="19"/>
      <c r="H66" s="19"/>
      <c r="I66" s="19"/>
      <c r="J66" s="8"/>
      <c r="K66" s="8"/>
      <c r="L66" s="8"/>
      <c r="M66" s="9"/>
    </row>
    <row r="67" spans="1:13" ht="20" customHeight="1" x14ac:dyDescent="0.15">
      <c r="A67" s="25" t="s">
        <v>34</v>
      </c>
      <c r="B67" s="8"/>
      <c r="C67" s="8"/>
      <c r="D67" s="8"/>
      <c r="E67" s="8"/>
      <c r="F67" s="8"/>
      <c r="G67" s="8"/>
      <c r="H67" s="8"/>
      <c r="I67" s="8"/>
      <c r="J67" s="41">
        <f>J65/(1+B28)^J43</f>
        <v>9420.5463122050169</v>
      </c>
      <c r="K67" s="41">
        <f>K65/(1+B28)^K43</f>
        <v>10651.451226771846</v>
      </c>
      <c r="L67" s="41">
        <f>L65/(1+B28)^L43</f>
        <v>12100.287120164678</v>
      </c>
      <c r="M67" s="42">
        <f>M65/(1+B28)^M43</f>
        <v>13742.5911164344</v>
      </c>
    </row>
    <row r="68" spans="1:13" ht="20" customHeight="1" x14ac:dyDescent="0.15">
      <c r="A68" s="10"/>
      <c r="B68" s="8"/>
      <c r="C68" s="8"/>
      <c r="D68" s="8"/>
      <c r="E68" s="8"/>
      <c r="F68" s="8"/>
      <c r="G68" s="8"/>
      <c r="H68" s="8"/>
      <c r="I68" s="8"/>
      <c r="J68" s="17"/>
      <c r="K68" s="17"/>
      <c r="L68" s="17"/>
      <c r="M68" s="18"/>
    </row>
    <row r="69" spans="1:13" ht="20" customHeight="1" x14ac:dyDescent="0.15">
      <c r="A69" s="6" t="s">
        <v>35</v>
      </c>
      <c r="B69" s="19"/>
      <c r="C69" s="19"/>
      <c r="D69" s="19"/>
      <c r="E69" s="19"/>
      <c r="F69" s="19"/>
      <c r="G69" s="19"/>
      <c r="H69" s="19"/>
      <c r="I69" s="19"/>
      <c r="J69" s="8"/>
      <c r="K69" s="8"/>
      <c r="L69" s="8"/>
      <c r="M69" s="18">
        <f>(M65*(1+B39))/(B28-B39)</f>
        <v>227335.70103629865</v>
      </c>
    </row>
    <row r="70" spans="1:13" ht="20" customHeight="1" x14ac:dyDescent="0.15">
      <c r="A70" s="25" t="s">
        <v>36</v>
      </c>
      <c r="B70" s="43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2">
        <f>M69/(1+B28)^M43</f>
        <v>142509.640630234</v>
      </c>
    </row>
    <row r="71" spans="1:13" ht="20" customHeight="1" x14ac:dyDescent="0.15">
      <c r="A71" s="10"/>
      <c r="B71" s="8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4"/>
    </row>
    <row r="72" spans="1:13" ht="20" customHeight="1" x14ac:dyDescent="0.15">
      <c r="A72" s="25" t="s">
        <v>37</v>
      </c>
      <c r="B72" s="43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2">
        <f>SUM(J67,K67,L67,M67,M70)</f>
        <v>188424.51640580996</v>
      </c>
    </row>
    <row r="73" spans="1:13" ht="20" customHeight="1" x14ac:dyDescent="0.15">
      <c r="A73" s="6" t="s">
        <v>38</v>
      </c>
      <c r="B73" s="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45">
        <v>21208</v>
      </c>
    </row>
    <row r="74" spans="1:13" ht="20" customHeight="1" x14ac:dyDescent="0.15">
      <c r="A74" s="6" t="s">
        <v>39</v>
      </c>
      <c r="B74" s="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45">
        <v>10946</v>
      </c>
    </row>
    <row r="75" spans="1:13" ht="20" customHeight="1" x14ac:dyDescent="0.15">
      <c r="A75" s="10"/>
      <c r="B75" s="8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8"/>
    </row>
    <row r="76" spans="1:13" ht="20" customHeight="1" x14ac:dyDescent="0.15">
      <c r="A76" s="25" t="s">
        <v>25</v>
      </c>
      <c r="B76" s="43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2">
        <f>M72+M73-M74</f>
        <v>198686.51640580996</v>
      </c>
    </row>
    <row r="77" spans="1:13" ht="20" customHeight="1" x14ac:dyDescent="0.15">
      <c r="A77" s="10"/>
      <c r="B77" s="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8"/>
    </row>
    <row r="78" spans="1:13" ht="20" customHeight="1" x14ac:dyDescent="0.15">
      <c r="A78" s="6" t="s">
        <v>40</v>
      </c>
      <c r="B78" s="8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45">
        <v>2550</v>
      </c>
    </row>
    <row r="79" spans="1:13" ht="20.25" customHeight="1" x14ac:dyDescent="0.15">
      <c r="A79" s="46" t="s">
        <v>41</v>
      </c>
      <c r="B79" s="47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9">
        <f>M76/M78</f>
        <v>77.916280943454893</v>
      </c>
    </row>
    <row r="81" spans="4:10" ht="20" customHeight="1" x14ac:dyDescent="0.15">
      <c r="H81" s="54" t="s">
        <v>42</v>
      </c>
    </row>
    <row r="82" spans="4:10" ht="20" customHeight="1" x14ac:dyDescent="0.15">
      <c r="E82" s="56">
        <f>M79</f>
        <v>77.916280943454893</v>
      </c>
      <c r="F82" s="53">
        <f>G82+0.2%</f>
        <v>2.9000000000000005E-2</v>
      </c>
      <c r="G82" s="53">
        <f>H82+0.2%</f>
        <v>2.7000000000000003E-2</v>
      </c>
      <c r="H82" s="53">
        <v>2.5000000000000001E-2</v>
      </c>
      <c r="I82" s="55">
        <f>H82-0.2%</f>
        <v>2.3E-2</v>
      </c>
      <c r="J82" s="55">
        <f>I82-0.2%</f>
        <v>2.0999999999999998E-2</v>
      </c>
    </row>
    <row r="83" spans="4:10" ht="20" customHeight="1" x14ac:dyDescent="0.15">
      <c r="E83" s="55">
        <f>E84-0.5%</f>
        <v>0.10999999999999999</v>
      </c>
      <c r="F83" s="1">
        <f t="dataTable" ref="F83:J87" dt2D="1" dtr="1" r1="B39" r2="C28"/>
        <v>80.50055359550781</v>
      </c>
      <c r="G83" s="1">
        <v>79.18173223785972</v>
      </c>
      <c r="H83" s="1">
        <v>77.916280943454893</v>
      </c>
      <c r="I83" s="1">
        <v>76.701024294093898</v>
      </c>
      <c r="J83" s="1">
        <v>75.533033881240286</v>
      </c>
    </row>
    <row r="84" spans="4:10" ht="20" customHeight="1" x14ac:dyDescent="0.15">
      <c r="E84" s="55">
        <f>E85-0.5%</f>
        <v>0.11499999999999999</v>
      </c>
      <c r="F84" s="1">
        <v>80.50055359550781</v>
      </c>
      <c r="G84" s="1">
        <v>79.18173223785972</v>
      </c>
      <c r="H84" s="1">
        <v>77.916280943454893</v>
      </c>
      <c r="I84" s="1">
        <v>76.701024294093898</v>
      </c>
      <c r="J84" s="1">
        <v>75.533033881240286</v>
      </c>
    </row>
    <row r="85" spans="4:10" ht="20" customHeight="1" x14ac:dyDescent="0.15">
      <c r="D85" s="54" t="s">
        <v>21</v>
      </c>
      <c r="E85" s="52">
        <v>0.12</v>
      </c>
      <c r="F85" s="1">
        <v>80.50055359550781</v>
      </c>
      <c r="G85" s="1">
        <v>79.18173223785972</v>
      </c>
      <c r="H85" s="1">
        <v>77.916280943454893</v>
      </c>
      <c r="I85" s="1">
        <v>76.701024294093898</v>
      </c>
      <c r="J85" s="1">
        <v>75.533033881240286</v>
      </c>
    </row>
    <row r="86" spans="4:10" ht="20" customHeight="1" x14ac:dyDescent="0.15">
      <c r="E86" s="55">
        <f>E85+0.5%</f>
        <v>0.125</v>
      </c>
      <c r="F86" s="1">
        <v>80.50055359550781</v>
      </c>
      <c r="G86" s="1">
        <v>79.18173223785972</v>
      </c>
      <c r="H86" s="1">
        <v>77.916280943454893</v>
      </c>
      <c r="I86" s="1">
        <v>76.701024294093898</v>
      </c>
      <c r="J86" s="1">
        <v>75.533033881240286</v>
      </c>
    </row>
    <row r="87" spans="4:10" ht="20" customHeight="1" x14ac:dyDescent="0.15">
      <c r="E87" s="55">
        <f>E86+0.5%</f>
        <v>0.13</v>
      </c>
      <c r="F87" s="1">
        <v>80.50055359550781</v>
      </c>
      <c r="G87" s="1">
        <v>79.18173223785972</v>
      </c>
      <c r="H87" s="1">
        <v>77.916280943454893</v>
      </c>
      <c r="I87" s="1">
        <v>76.701024294093898</v>
      </c>
      <c r="J87" s="1">
        <v>75.533033881240286</v>
      </c>
    </row>
    <row r="91" spans="4:10" ht="20" customHeight="1" x14ac:dyDescent="0.15">
      <c r="F91" s="58" t="s">
        <v>43</v>
      </c>
      <c r="G91" s="59">
        <f>G92-(30%*G92)</f>
        <v>53.690717005865729</v>
      </c>
      <c r="H91" s="60" t="s">
        <v>46</v>
      </c>
      <c r="I91" s="59">
        <f>I92-(30%*I92)</f>
        <v>55.427212566501808</v>
      </c>
    </row>
    <row r="92" spans="4:10" ht="20" customHeight="1" x14ac:dyDescent="0.15">
      <c r="F92" s="58" t="s">
        <v>44</v>
      </c>
      <c r="G92" s="59">
        <f>I86</f>
        <v>76.701024294093898</v>
      </c>
      <c r="H92" s="61" t="s">
        <v>46</v>
      </c>
      <c r="I92" s="62">
        <f>G84</f>
        <v>79.18173223785972</v>
      </c>
    </row>
    <row r="93" spans="4:10" ht="20" customHeight="1" x14ac:dyDescent="0.15">
      <c r="F93" s="58" t="s">
        <v>45</v>
      </c>
      <c r="G93" s="59">
        <f>G92+(30%*G92)</f>
        <v>99.71133158232206</v>
      </c>
      <c r="H93" s="60" t="s">
        <v>46</v>
      </c>
      <c r="I93" s="59">
        <f>I92+(30%*I92)</f>
        <v>102.93625190921763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2023-01-05T18:33:45Z</dcterms:modified>
</cp:coreProperties>
</file>