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arav/Desktop/"/>
    </mc:Choice>
  </mc:AlternateContent>
  <xr:revisionPtr revIDLastSave="0" documentId="13_ncr:1_{B8AD1394-300B-E449-9959-E2A6E2252EE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F55" i="1"/>
  <c r="G55" i="1"/>
  <c r="H55" i="1"/>
  <c r="E55" i="1"/>
  <c r="L102" i="1"/>
  <c r="M102" i="1"/>
  <c r="N102" i="1"/>
  <c r="K102" i="1"/>
  <c r="L116" i="1"/>
  <c r="M116" i="1"/>
  <c r="N116" i="1"/>
  <c r="K116" i="1"/>
  <c r="F70" i="1"/>
  <c r="G70" i="1"/>
  <c r="E70" i="1"/>
  <c r="G22" i="1"/>
  <c r="D110" i="1"/>
  <c r="D102" i="1"/>
  <c r="J66" i="1"/>
  <c r="K66" i="1" s="1"/>
  <c r="J79" i="1"/>
  <c r="K79" i="1" s="1"/>
  <c r="D79" i="1" s="1"/>
  <c r="E79" i="1" s="1"/>
  <c r="F79" i="1" s="1"/>
  <c r="G79" i="1" s="1"/>
  <c r="H79" i="1" s="1"/>
  <c r="I78" i="1"/>
  <c r="I75" i="1"/>
  <c r="I69" i="1"/>
  <c r="I65" i="1"/>
  <c r="D19" i="1"/>
  <c r="B57" i="1"/>
  <c r="B59" i="1"/>
  <c r="B17" i="1"/>
  <c r="B48" i="1" s="1"/>
  <c r="B14" i="1"/>
  <c r="B11" i="1"/>
  <c r="K96" i="1" s="1"/>
  <c r="K72" i="1"/>
  <c r="K100" i="1"/>
  <c r="L100" i="1"/>
  <c r="M100" i="1"/>
  <c r="N100" i="1"/>
  <c r="L131" i="1"/>
  <c r="M131" i="1"/>
  <c r="N131" i="1"/>
  <c r="L129" i="1"/>
  <c r="M129" i="1"/>
  <c r="N129" i="1"/>
  <c r="K131" i="1"/>
  <c r="K129" i="1"/>
  <c r="L93" i="1"/>
  <c r="M93" i="1"/>
  <c r="N93" i="1"/>
  <c r="K93" i="1"/>
  <c r="D113" i="1"/>
  <c r="K77" i="1"/>
  <c r="D77" i="1" s="1"/>
  <c r="D96" i="1" s="1"/>
  <c r="K76" i="1"/>
  <c r="D76" i="1" s="1"/>
  <c r="D95" i="1" s="1"/>
  <c r="K68" i="1"/>
  <c r="D68" i="1" s="1"/>
  <c r="D92" i="1" s="1"/>
  <c r="K67" i="1"/>
  <c r="D67" i="1" s="1"/>
  <c r="D91" i="1" s="1"/>
  <c r="B61" i="1"/>
  <c r="E8" i="1"/>
  <c r="D7" i="1"/>
  <c r="H5" i="1"/>
  <c r="G5" i="1"/>
  <c r="F5" i="1"/>
  <c r="E5" i="1"/>
  <c r="D4" i="1"/>
  <c r="B22" i="1"/>
  <c r="B58" i="1" s="1"/>
  <c r="I74" i="1" l="1"/>
  <c r="I73" i="1" s="1"/>
  <c r="K101" i="1"/>
  <c r="I64" i="1"/>
  <c r="E7" i="1"/>
  <c r="E101" i="1" s="1"/>
  <c r="D20" i="1"/>
  <c r="K75" i="1"/>
  <c r="D75" i="1" s="1"/>
  <c r="D25" i="1"/>
  <c r="D13" i="1"/>
  <c r="D14" i="1" s="1"/>
  <c r="E14" i="1" s="1"/>
  <c r="F14" i="1" s="1"/>
  <c r="G14" i="1" s="1"/>
  <c r="H14" i="1" s="1"/>
  <c r="D11" i="1"/>
  <c r="E11" i="1" s="1"/>
  <c r="D23" i="1"/>
  <c r="E23" i="1" s="1"/>
  <c r="F23" i="1" s="1"/>
  <c r="G23" i="1" s="1"/>
  <c r="H23" i="1" s="1"/>
  <c r="K124" i="1"/>
  <c r="K132" i="1" s="1"/>
  <c r="J81" i="1"/>
  <c r="K81" i="1" s="1"/>
  <c r="D81" i="1" s="1"/>
  <c r="B47" i="1"/>
  <c r="J80" i="1" s="1"/>
  <c r="B49" i="1"/>
  <c r="B60" i="1" s="1"/>
  <c r="D107" i="1"/>
  <c r="E4" i="1"/>
  <c r="F4" i="1" s="1"/>
  <c r="K65" i="1"/>
  <c r="D65" i="1" s="1"/>
  <c r="D66" i="1"/>
  <c r="F8" i="1"/>
  <c r="D108" i="1"/>
  <c r="D94" i="1"/>
  <c r="D90" i="1"/>
  <c r="D101" i="1"/>
  <c r="D106" i="1" s="1"/>
  <c r="E48" i="1" l="1"/>
  <c r="E120" i="1" s="1"/>
  <c r="F7" i="1"/>
  <c r="F48" i="1" s="1"/>
  <c r="F120" i="1" s="1"/>
  <c r="K92" i="1"/>
  <c r="E59" i="1"/>
  <c r="K137" i="1"/>
  <c r="E41" i="1" s="1"/>
  <c r="K127" i="1"/>
  <c r="K130" i="1"/>
  <c r="E49" i="1"/>
  <c r="D115" i="1"/>
  <c r="D72" i="1"/>
  <c r="D16" i="1"/>
  <c r="D109" i="1"/>
  <c r="E109" i="1" s="1"/>
  <c r="F109" i="1" s="1"/>
  <c r="E10" i="1"/>
  <c r="E102" i="1" s="1"/>
  <c r="F11" i="1"/>
  <c r="B62" i="1"/>
  <c r="K80" i="1"/>
  <c r="D80" i="1" s="1"/>
  <c r="G8" i="1"/>
  <c r="H8" i="1" s="1"/>
  <c r="K111" i="1"/>
  <c r="G4" i="1"/>
  <c r="D98" i="1"/>
  <c r="K114" i="1" l="1"/>
  <c r="K117" i="1"/>
  <c r="E115" i="1"/>
  <c r="F115" i="1" s="1"/>
  <c r="G115" i="1" s="1"/>
  <c r="H115" i="1" s="1"/>
  <c r="E72" i="1"/>
  <c r="D17" i="1"/>
  <c r="E17" i="1" s="1"/>
  <c r="F17" i="1" s="1"/>
  <c r="G17" i="1" s="1"/>
  <c r="H17" i="1" s="1"/>
  <c r="F10" i="1"/>
  <c r="F102" i="1" s="1"/>
  <c r="G11" i="1"/>
  <c r="F49" i="1"/>
  <c r="G109" i="1"/>
  <c r="G7" i="1"/>
  <c r="F101" i="1"/>
  <c r="F96" i="1" s="1"/>
  <c r="F77" i="1" s="1"/>
  <c r="J82" i="1"/>
  <c r="B50" i="1"/>
  <c r="H4" i="1"/>
  <c r="F72" i="1" l="1"/>
  <c r="G72" i="1" s="1"/>
  <c r="H72" i="1" s="1"/>
  <c r="L114" i="1"/>
  <c r="K94" i="1"/>
  <c r="E56" i="1" s="1"/>
  <c r="H109" i="1"/>
  <c r="H11" i="1"/>
  <c r="G10" i="1"/>
  <c r="G102" i="1" s="1"/>
  <c r="G48" i="1"/>
  <c r="G120" i="1" s="1"/>
  <c r="H7" i="1"/>
  <c r="E16" i="1"/>
  <c r="F16" i="1" s="1"/>
  <c r="G16" i="1" s="1"/>
  <c r="H16" i="1" s="1"/>
  <c r="B52" i="1"/>
  <c r="B53" i="1"/>
  <c r="J33" i="1" s="1"/>
  <c r="G101" i="1"/>
  <c r="G96" i="1" s="1"/>
  <c r="G77" i="1" s="1"/>
  <c r="G45" i="1" s="1"/>
  <c r="K82" i="1"/>
  <c r="D82" i="1" s="1"/>
  <c r="J39" i="1" l="1"/>
  <c r="J32" i="1"/>
  <c r="J84" i="1"/>
  <c r="M61" i="1" s="1"/>
  <c r="M114" i="1"/>
  <c r="L94" i="1"/>
  <c r="H48" i="1"/>
  <c r="H120" i="1" s="1"/>
  <c r="G49" i="1"/>
  <c r="H101" i="1"/>
  <c r="H10" i="1"/>
  <c r="H102" i="1" s="1"/>
  <c r="H96" i="1"/>
  <c r="H77" i="1" s="1"/>
  <c r="H45" i="1" s="1"/>
  <c r="K78" i="1"/>
  <c r="B54" i="1"/>
  <c r="J34" i="1" l="1"/>
  <c r="M94" i="1"/>
  <c r="N114" i="1"/>
  <c r="N94" i="1" s="1"/>
  <c r="H13" i="1"/>
  <c r="H19" i="1" s="1"/>
  <c r="J23" i="1" s="1"/>
  <c r="J25" i="1" s="1"/>
  <c r="H49" i="1"/>
  <c r="K84" i="1"/>
  <c r="D84" i="1" s="1"/>
  <c r="D78" i="1"/>
  <c r="K74" i="1"/>
  <c r="J31" i="1" l="1"/>
  <c r="H20" i="1"/>
  <c r="J70" i="1"/>
  <c r="K70" i="1" s="1"/>
  <c r="J71" i="1"/>
  <c r="K71" i="1" s="1"/>
  <c r="D112" i="1"/>
  <c r="D114" i="1" s="1"/>
  <c r="D74" i="1"/>
  <c r="K73" i="1"/>
  <c r="D73" i="1" s="1"/>
  <c r="K33" i="1" l="1"/>
  <c r="K32" i="1"/>
  <c r="K34" i="1"/>
  <c r="E114" i="1"/>
  <c r="D70" i="1"/>
  <c r="E119" i="1" s="1"/>
  <c r="K69" i="1"/>
  <c r="D69" i="1" s="1"/>
  <c r="D71" i="1"/>
  <c r="E71" i="1" s="1"/>
  <c r="F71" i="1" s="1"/>
  <c r="G71" i="1" s="1"/>
  <c r="H71" i="1" s="1"/>
  <c r="K31" i="1" l="1"/>
  <c r="K64" i="1"/>
  <c r="D64" i="1" s="1"/>
  <c r="F114" i="1"/>
  <c r="E122" i="1"/>
  <c r="G114" i="1" l="1"/>
  <c r="F122" i="1"/>
  <c r="H114" i="1" l="1"/>
  <c r="G122" i="1"/>
  <c r="H122" i="1" l="1"/>
  <c r="K128" i="1" l="1"/>
  <c r="E81" i="1" s="1"/>
  <c r="L124" i="1" l="1"/>
  <c r="L132" i="1" s="1"/>
  <c r="L137" i="1" l="1"/>
  <c r="F41" i="1" s="1"/>
  <c r="L127" i="1"/>
  <c r="L128" i="1" s="1"/>
  <c r="F81" i="1" s="1"/>
  <c r="L130" i="1"/>
  <c r="M124" i="1" l="1"/>
  <c r="M132" i="1" s="1"/>
  <c r="M127" i="1" s="1"/>
  <c r="M130" i="1" l="1"/>
  <c r="M128" i="1"/>
  <c r="G81" i="1" s="1"/>
  <c r="M137" i="1"/>
  <c r="G41" i="1" s="1"/>
  <c r="N124" i="1" l="1"/>
  <c r="N132" i="1" s="1"/>
  <c r="N127" i="1" s="1"/>
  <c r="N130" i="1" l="1"/>
  <c r="N128" i="1"/>
  <c r="H81" i="1" s="1"/>
  <c r="N137" i="1"/>
  <c r="H41" i="1" s="1"/>
  <c r="H56" i="1" l="1"/>
  <c r="G56" i="1"/>
  <c r="D26" i="1" l="1"/>
  <c r="D111" i="1" l="1"/>
  <c r="D117" i="1"/>
  <c r="D30" i="1"/>
  <c r="D32" i="1" l="1"/>
  <c r="D34" i="1" s="1"/>
  <c r="F56" i="1" l="1"/>
  <c r="E13" i="1" l="1"/>
  <c r="E19" i="1" s="1"/>
  <c r="E20" i="1" s="1"/>
  <c r="F13" i="1"/>
  <c r="F19" i="1" s="1"/>
  <c r="F20" i="1" s="1"/>
  <c r="G13" i="1"/>
  <c r="G19" i="1" s="1"/>
  <c r="G20" i="1" s="1"/>
  <c r="E96" i="1" l="1"/>
  <c r="E77" i="1" s="1"/>
  <c r="E45" i="1" l="1"/>
  <c r="F45" i="1"/>
  <c r="G25" i="1"/>
  <c r="G26" i="1" s="1"/>
  <c r="G40" i="1"/>
  <c r="H25" i="1" l="1"/>
  <c r="H26" i="1" s="1"/>
  <c r="H40" i="1"/>
  <c r="F25" i="1" l="1"/>
  <c r="F26" i="1" s="1"/>
  <c r="F40" i="1"/>
  <c r="E69" i="1" l="1"/>
  <c r="F69" i="1"/>
  <c r="G69" i="1"/>
  <c r="H69" i="1"/>
  <c r="E25" i="1"/>
  <c r="E26" i="1" s="1"/>
  <c r="E40" i="1"/>
  <c r="J26" i="1"/>
  <c r="J27" i="1"/>
  <c r="E28" i="1"/>
  <c r="F28" i="1"/>
  <c r="G28" i="1"/>
  <c r="H28" i="1"/>
  <c r="J29" i="1"/>
  <c r="E30" i="1"/>
  <c r="F30" i="1"/>
  <c r="G30" i="1"/>
  <c r="H30" i="1"/>
  <c r="L31" i="1"/>
  <c r="E32" i="1"/>
  <c r="F32" i="1"/>
  <c r="G32" i="1"/>
  <c r="H32" i="1"/>
  <c r="L32" i="1"/>
  <c r="L33" i="1"/>
  <c r="E34" i="1"/>
  <c r="F34" i="1"/>
  <c r="G34" i="1"/>
  <c r="H34" i="1"/>
  <c r="L34" i="1"/>
  <c r="E39" i="1"/>
  <c r="F39" i="1"/>
  <c r="G39" i="1"/>
  <c r="H39" i="1"/>
  <c r="N39" i="1"/>
  <c r="J41" i="1"/>
  <c r="E42" i="1"/>
  <c r="F42" i="1"/>
  <c r="G42" i="1"/>
  <c r="H42" i="1"/>
  <c r="J42" i="1"/>
  <c r="E43" i="1"/>
  <c r="F43" i="1"/>
  <c r="G43" i="1"/>
  <c r="H43" i="1"/>
  <c r="E44" i="1"/>
  <c r="F44" i="1"/>
  <c r="G44" i="1"/>
  <c r="H44" i="1"/>
  <c r="E46" i="1"/>
  <c r="F46" i="1"/>
  <c r="G46" i="1"/>
  <c r="H46" i="1"/>
  <c r="E51" i="1"/>
  <c r="F51" i="1"/>
  <c r="G51" i="1"/>
  <c r="H51" i="1"/>
  <c r="E53" i="1"/>
  <c r="F53" i="1"/>
  <c r="G53" i="1"/>
  <c r="H53" i="1"/>
  <c r="E54" i="1"/>
  <c r="F54" i="1"/>
  <c r="G54" i="1"/>
  <c r="H54" i="1"/>
  <c r="E57" i="1"/>
  <c r="F57" i="1"/>
  <c r="G57" i="1"/>
  <c r="H57" i="1"/>
  <c r="E58" i="1"/>
  <c r="F58" i="1"/>
  <c r="G58" i="1"/>
  <c r="H58" i="1"/>
  <c r="F59" i="1"/>
  <c r="G59" i="1"/>
  <c r="H59" i="1"/>
  <c r="E60" i="1"/>
  <c r="F60" i="1"/>
  <c r="G60" i="1"/>
  <c r="H60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8" i="1"/>
  <c r="F78" i="1"/>
  <c r="G78" i="1"/>
  <c r="H78" i="1"/>
  <c r="E80" i="1"/>
  <c r="F80" i="1"/>
  <c r="G80" i="1"/>
  <c r="H80" i="1"/>
  <c r="E82" i="1"/>
  <c r="F82" i="1"/>
  <c r="G82" i="1"/>
  <c r="H82" i="1"/>
  <c r="E84" i="1"/>
  <c r="F84" i="1"/>
  <c r="G84" i="1"/>
  <c r="H84" i="1"/>
  <c r="E90" i="1"/>
  <c r="F90" i="1"/>
  <c r="G90" i="1"/>
  <c r="H90" i="1"/>
  <c r="K90" i="1"/>
  <c r="L90" i="1"/>
  <c r="M90" i="1"/>
  <c r="N90" i="1"/>
  <c r="E91" i="1"/>
  <c r="F91" i="1"/>
  <c r="G91" i="1"/>
  <c r="H91" i="1"/>
  <c r="K91" i="1"/>
  <c r="L91" i="1"/>
  <c r="M91" i="1"/>
  <c r="N91" i="1"/>
  <c r="E92" i="1"/>
  <c r="F92" i="1"/>
  <c r="G92" i="1"/>
  <c r="H92" i="1"/>
  <c r="L92" i="1"/>
  <c r="M92" i="1"/>
  <c r="N92" i="1"/>
  <c r="E94" i="1"/>
  <c r="F94" i="1"/>
  <c r="G94" i="1"/>
  <c r="H94" i="1"/>
  <c r="E95" i="1"/>
  <c r="F95" i="1"/>
  <c r="G95" i="1"/>
  <c r="H95" i="1"/>
  <c r="L96" i="1"/>
  <c r="M96" i="1"/>
  <c r="N96" i="1"/>
  <c r="E98" i="1"/>
  <c r="F98" i="1"/>
  <c r="G98" i="1"/>
  <c r="H98" i="1"/>
  <c r="K98" i="1"/>
  <c r="L98" i="1"/>
  <c r="M98" i="1"/>
  <c r="N98" i="1"/>
  <c r="E99" i="1"/>
  <c r="F99" i="1"/>
  <c r="G99" i="1"/>
  <c r="H99" i="1"/>
  <c r="K99" i="1"/>
  <c r="L99" i="1"/>
  <c r="M99" i="1"/>
  <c r="N99" i="1"/>
  <c r="L101" i="1"/>
  <c r="M101" i="1"/>
  <c r="N101" i="1"/>
  <c r="K103" i="1"/>
  <c r="L103" i="1"/>
  <c r="M103" i="1"/>
  <c r="N103" i="1"/>
  <c r="K104" i="1"/>
  <c r="L104" i="1"/>
  <c r="M104" i="1"/>
  <c r="N104" i="1"/>
  <c r="E106" i="1"/>
  <c r="F106" i="1"/>
  <c r="G106" i="1"/>
  <c r="H106" i="1"/>
  <c r="E107" i="1"/>
  <c r="F107" i="1"/>
  <c r="G107" i="1"/>
  <c r="H107" i="1"/>
  <c r="K107" i="1"/>
  <c r="L107" i="1"/>
  <c r="M107" i="1"/>
  <c r="N107" i="1"/>
  <c r="E108" i="1"/>
  <c r="F108" i="1"/>
  <c r="G108" i="1"/>
  <c r="H108" i="1"/>
  <c r="K108" i="1"/>
  <c r="L108" i="1"/>
  <c r="M108" i="1"/>
  <c r="N108" i="1"/>
  <c r="K109" i="1"/>
  <c r="L109" i="1"/>
  <c r="M109" i="1"/>
  <c r="N109" i="1"/>
  <c r="E110" i="1"/>
  <c r="F110" i="1"/>
  <c r="G110" i="1"/>
  <c r="H110" i="1"/>
  <c r="E111" i="1"/>
  <c r="F111" i="1"/>
  <c r="G111" i="1"/>
  <c r="H111" i="1"/>
  <c r="L111" i="1"/>
  <c r="M111" i="1"/>
  <c r="N111" i="1"/>
  <c r="K113" i="1"/>
  <c r="L113" i="1"/>
  <c r="M113" i="1"/>
  <c r="N113" i="1"/>
  <c r="K115" i="1"/>
  <c r="L115" i="1"/>
  <c r="M115" i="1"/>
  <c r="N115" i="1"/>
  <c r="E117" i="1"/>
  <c r="F117" i="1"/>
  <c r="G117" i="1"/>
  <c r="H117" i="1"/>
  <c r="L117" i="1"/>
  <c r="M117" i="1"/>
  <c r="N117" i="1"/>
  <c r="K120" i="1"/>
  <c r="L120" i="1"/>
  <c r="M120" i="1"/>
  <c r="N120" i="1"/>
  <c r="E121" i="1"/>
  <c r="F121" i="1"/>
  <c r="G121" i="1"/>
  <c r="H121" i="1"/>
  <c r="K121" i="1"/>
  <c r="L121" i="1"/>
  <c r="M121" i="1"/>
  <c r="N121" i="1"/>
  <c r="K122" i="1"/>
  <c r="L122" i="1"/>
  <c r="M122" i="1"/>
  <c r="N122" i="1"/>
  <c r="E123" i="1"/>
  <c r="F123" i="1"/>
  <c r="G123" i="1"/>
  <c r="H12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8" i="1"/>
  <c r="L138" i="1"/>
  <c r="M138" i="1"/>
  <c r="N138" i="1"/>
</calcChain>
</file>

<file path=xl/sharedStrings.xml><?xml version="1.0" encoding="utf-8"?>
<sst xmlns="http://schemas.openxmlformats.org/spreadsheetml/2006/main" count="223" uniqueCount="176">
  <si>
    <t>USD Millions</t>
  </si>
  <si>
    <t>Entry Multiple</t>
  </si>
  <si>
    <t>Exit Multiple</t>
  </si>
  <si>
    <t>Minimum Cash</t>
  </si>
  <si>
    <t>Required IRR</t>
  </si>
  <si>
    <t>Management Incentive</t>
  </si>
  <si>
    <t xml:space="preserve">Sponsor Ownership </t>
  </si>
  <si>
    <t>Existing Debt</t>
  </si>
  <si>
    <t>Interest</t>
  </si>
  <si>
    <t>Entry Debt</t>
  </si>
  <si>
    <t>New debt Rate</t>
  </si>
  <si>
    <t>New debt for M&amp;A post acq</t>
  </si>
  <si>
    <t>Max Debt M&amp;A (Ebitda m.)</t>
  </si>
  <si>
    <t>Mezzanine Debt</t>
  </si>
  <si>
    <t>Mezzanine rate</t>
  </si>
  <si>
    <t>Mezzanine PIK rate</t>
  </si>
  <si>
    <t>Tax Rate</t>
  </si>
  <si>
    <t>LTM EBITDA</t>
  </si>
  <si>
    <t>EV</t>
  </si>
  <si>
    <t>PGR</t>
  </si>
  <si>
    <t>Excess Allocated to PPE</t>
  </si>
  <si>
    <t>Life of incremental D&amp;A</t>
  </si>
  <si>
    <t>FCF % Net income</t>
  </si>
  <si>
    <t>Premium</t>
  </si>
  <si>
    <t>Premium Growth %</t>
  </si>
  <si>
    <t>Revenue</t>
  </si>
  <si>
    <t xml:space="preserve">Capex - % of revenue </t>
  </si>
  <si>
    <t>Revenue % Premiums</t>
  </si>
  <si>
    <t>Revenue increase rate</t>
  </si>
  <si>
    <t>New EBITDA Margin</t>
  </si>
  <si>
    <t>EBITDA increase rate</t>
  </si>
  <si>
    <t>Old EBITDA rate</t>
  </si>
  <si>
    <t xml:space="preserve">Income statement </t>
  </si>
  <si>
    <t>Total Premiums</t>
  </si>
  <si>
    <t xml:space="preserve">Revenue </t>
  </si>
  <si>
    <t>COGS</t>
  </si>
  <si>
    <t>Gross Profit</t>
  </si>
  <si>
    <t>SG&amp;A</t>
  </si>
  <si>
    <t>SG&amp;A % Revenue</t>
  </si>
  <si>
    <t>EBITDA</t>
  </si>
  <si>
    <t>EBITDA Margin %</t>
  </si>
  <si>
    <t xml:space="preserve">D&amp;A </t>
  </si>
  <si>
    <t>D&amp;A % Revenue</t>
  </si>
  <si>
    <t>EBIT</t>
  </si>
  <si>
    <t>EBIT Margin</t>
  </si>
  <si>
    <t>Interest Expense</t>
  </si>
  <si>
    <t>EBT</t>
  </si>
  <si>
    <t>Taxes</t>
  </si>
  <si>
    <t>Net Income</t>
  </si>
  <si>
    <t xml:space="preserve">Cash Flow Statement </t>
  </si>
  <si>
    <t>D&amp;A</t>
  </si>
  <si>
    <t xml:space="preserve">PIK </t>
  </si>
  <si>
    <t>Changes Account Rec.</t>
  </si>
  <si>
    <t>Changes Inventory</t>
  </si>
  <si>
    <t>Changes Account Pay.</t>
  </si>
  <si>
    <t>Changes Accrued Liab.</t>
  </si>
  <si>
    <t>Cash Flow from operations</t>
  </si>
  <si>
    <t>Capex</t>
  </si>
  <si>
    <t>Cash Flow from Investing</t>
  </si>
  <si>
    <t>FCF</t>
  </si>
  <si>
    <t xml:space="preserve">B/ R Mezzanine </t>
  </si>
  <si>
    <t>Amortisation</t>
  </si>
  <si>
    <t>Cash Flow from Financing</t>
  </si>
  <si>
    <t>Intrinsic value</t>
  </si>
  <si>
    <t>Sources and Uses</t>
  </si>
  <si>
    <t>Sources</t>
  </si>
  <si>
    <t>New Debt</t>
  </si>
  <si>
    <t>M&amp;A Debt</t>
  </si>
  <si>
    <t>Amount of equity required</t>
  </si>
  <si>
    <t xml:space="preserve">Sponsor Equity </t>
  </si>
  <si>
    <t xml:space="preserve">Management Incentives </t>
  </si>
  <si>
    <t>Uses</t>
  </si>
  <si>
    <t>Refinance Existing Debt</t>
  </si>
  <si>
    <t>Purchase Price</t>
  </si>
  <si>
    <t>M&amp;A Fee</t>
  </si>
  <si>
    <t>Financing Fees</t>
  </si>
  <si>
    <t>Balance Sheet</t>
  </si>
  <si>
    <t>Assets</t>
  </si>
  <si>
    <t>Current Assets</t>
  </si>
  <si>
    <t>Cash</t>
  </si>
  <si>
    <t xml:space="preserve">Accounts receivable </t>
  </si>
  <si>
    <t>Inventory</t>
  </si>
  <si>
    <t xml:space="preserve">Non Current Assets </t>
  </si>
  <si>
    <t>PP&amp;E</t>
  </si>
  <si>
    <t>Goodwill</t>
  </si>
  <si>
    <t>Liabilities + Shares Equity</t>
  </si>
  <si>
    <t xml:space="preserve">Liabilities </t>
  </si>
  <si>
    <t xml:space="preserve">Current Liabilities </t>
  </si>
  <si>
    <t xml:space="preserve">Accounts Payable </t>
  </si>
  <si>
    <t xml:space="preserve">Accrued Liabilities </t>
  </si>
  <si>
    <t xml:space="preserve">Non Current Liabilities </t>
  </si>
  <si>
    <t xml:space="preserve">Mezzanine </t>
  </si>
  <si>
    <t>Shareholders Equity</t>
  </si>
  <si>
    <t xml:space="preserve">Pre Transaction </t>
  </si>
  <si>
    <t>Adjustments</t>
  </si>
  <si>
    <t xml:space="preserve">Post Transaction </t>
  </si>
  <si>
    <t xml:space="preserve">Excess </t>
  </si>
  <si>
    <t>Balance Sheet Forecasting</t>
  </si>
  <si>
    <t>Accounts Rec.</t>
  </si>
  <si>
    <t>Accounts Pay.</t>
  </si>
  <si>
    <t>Accrued Liab.</t>
  </si>
  <si>
    <t>NWC</t>
  </si>
  <si>
    <t>Changes in NWC</t>
  </si>
  <si>
    <t>Days</t>
  </si>
  <si>
    <t>Days Sales Outstanding</t>
  </si>
  <si>
    <t>Days Inventory Held</t>
  </si>
  <si>
    <t>Days Payable Outstanding</t>
  </si>
  <si>
    <t>D&amp;A - Base</t>
  </si>
  <si>
    <t>Amortization of financing</t>
  </si>
  <si>
    <t>Useful Life</t>
  </si>
  <si>
    <t>D&amp;A Incremental</t>
  </si>
  <si>
    <t>PPE Incremental</t>
  </si>
  <si>
    <t>Useful Life of financing</t>
  </si>
  <si>
    <t>Opening PPE</t>
  </si>
  <si>
    <t>+ Capex</t>
  </si>
  <si>
    <t>- Base D&amp;A</t>
  </si>
  <si>
    <t xml:space="preserve"> - Incremental D&amp;A</t>
  </si>
  <si>
    <t>Ending PPE</t>
  </si>
  <si>
    <t>Harcoded</t>
  </si>
  <si>
    <t>Linked to sheet</t>
  </si>
  <si>
    <t>Debt Schedule</t>
  </si>
  <si>
    <t>Cash Available</t>
  </si>
  <si>
    <t>Opening Cash</t>
  </si>
  <si>
    <t>Minimum Cash Bal.</t>
  </si>
  <si>
    <t>Mandatory Amortization</t>
  </si>
  <si>
    <t>Opening Bal.</t>
  </si>
  <si>
    <t>Borrowings</t>
  </si>
  <si>
    <t>Repayments</t>
  </si>
  <si>
    <t>Ending Bal.</t>
  </si>
  <si>
    <t>Debt for M&amp;A</t>
  </si>
  <si>
    <t>Cash avail for New Debt</t>
  </si>
  <si>
    <t>Borrowings/ (Repayments)</t>
  </si>
  <si>
    <t>New Debt/ Revolver</t>
  </si>
  <si>
    <t>Debt for Mezzanine</t>
  </si>
  <si>
    <t>Cash avail for M&amp;A</t>
  </si>
  <si>
    <t>Cash rate</t>
  </si>
  <si>
    <t>PIK rate</t>
  </si>
  <si>
    <t>PIK accretion</t>
  </si>
  <si>
    <t>Cash Interest Exp.</t>
  </si>
  <si>
    <t>PIK Interest Exp.</t>
  </si>
  <si>
    <t>Cash Interest Rate</t>
  </si>
  <si>
    <t>Total Debt</t>
  </si>
  <si>
    <t>Debt/ EBITDA</t>
  </si>
  <si>
    <t>Interest Exp.</t>
  </si>
  <si>
    <t xml:space="preserve">B/ R M&amp;A </t>
  </si>
  <si>
    <t>Change in Cash</t>
  </si>
  <si>
    <t>Begining Cash</t>
  </si>
  <si>
    <t>Ending Cash</t>
  </si>
  <si>
    <t>M&amp;A</t>
  </si>
  <si>
    <t>Borrowing/ Rep. Debt</t>
  </si>
  <si>
    <t>COGS % Revenue</t>
  </si>
  <si>
    <t>Management Rollover</t>
  </si>
  <si>
    <t>Management Options</t>
  </si>
  <si>
    <t>New Debt Commitment Fee</t>
  </si>
  <si>
    <t>New Debt Commitment</t>
  </si>
  <si>
    <t xml:space="preserve">M&amp;A Amortisation </t>
  </si>
  <si>
    <t>M&amp;A rate</t>
  </si>
  <si>
    <t>Financing M&amp;A, Mez.</t>
  </si>
  <si>
    <t>Gross Margin %</t>
  </si>
  <si>
    <t>Accrued Liab. % revenue</t>
  </si>
  <si>
    <t>Revolver Commit.</t>
  </si>
  <si>
    <t>Revolver Unused</t>
  </si>
  <si>
    <t>Revolver Fee</t>
  </si>
  <si>
    <t>2026 EBITDA</t>
  </si>
  <si>
    <t>+Cash</t>
  </si>
  <si>
    <t>-Debt</t>
  </si>
  <si>
    <t>+Cash Options</t>
  </si>
  <si>
    <t>Equity Value</t>
  </si>
  <si>
    <t>Holdings</t>
  </si>
  <si>
    <t>Sponser</t>
  </si>
  <si>
    <t>Management</t>
  </si>
  <si>
    <t>Proceeds</t>
  </si>
  <si>
    <t>IRR</t>
  </si>
  <si>
    <t>Cash Flow to Sponser</t>
  </si>
  <si>
    <t>Year</t>
  </si>
  <si>
    <t>MoC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</si>
</sst>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rgb="FF000000"/>
      <name val="Helvetica Neue"/>
      <family val="2"/>
    </font>
    <font>
      <sz val="10"/>
      <color theme="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71FDE9"/>
        <bgColor indexed="64"/>
      </patternFill>
    </fill>
    <fill>
      <patternFill patternType="solid">
        <fgColor rgb="FF55C2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FA4D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/>
      <top style="thin">
        <color indexed="9"/>
      </top>
      <bottom style="thin">
        <color indexed="10"/>
      </bottom>
      <diagonal/>
    </border>
    <border>
      <left/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9"/>
      </right>
      <top style="thin">
        <color indexed="10"/>
      </top>
      <bottom/>
      <diagonal/>
    </border>
    <border>
      <left style="thin">
        <color indexed="9"/>
      </left>
      <right style="thin">
        <color indexed="10"/>
      </right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2" fillId="0" borderId="0" applyFont="0" applyFill="0" applyBorder="0" applyAlignment="0" applyProtection="0"/>
  </cellStyleXfs>
  <cellXfs count="130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0" fillId="0" borderId="1" xfId="0" applyNumberFormat="1" applyBorder="1">
      <alignment vertical="top" wrapText="1"/>
    </xf>
    <xf numFmtId="0" fontId="0" fillId="0" borderId="2" xfId="0" applyBorder="1">
      <alignment vertical="top" wrapText="1"/>
    </xf>
    <xf numFmtId="0" fontId="0" fillId="0" borderId="3" xfId="0" applyBorder="1">
      <alignment vertical="top" wrapText="1"/>
    </xf>
    <xf numFmtId="0" fontId="0" fillId="2" borderId="4" xfId="0" applyNumberFormat="1" applyFill="1" applyBorder="1">
      <alignment vertical="top" wrapText="1"/>
    </xf>
    <xf numFmtId="49" fontId="0" fillId="0" borderId="3" xfId="0" applyNumberFormat="1" applyBorder="1">
      <alignment vertical="top" wrapText="1"/>
    </xf>
    <xf numFmtId="0" fontId="0" fillId="3" borderId="4" xfId="0" applyNumberFormat="1" applyFill="1" applyBorder="1">
      <alignment vertical="top" wrapText="1"/>
    </xf>
    <xf numFmtId="9" fontId="0" fillId="3" borderId="4" xfId="0" applyNumberFormat="1" applyFill="1" applyBorder="1">
      <alignment vertical="top" wrapText="1"/>
    </xf>
    <xf numFmtId="164" fontId="0" fillId="3" borderId="4" xfId="0" applyNumberFormat="1" applyFill="1" applyBorder="1">
      <alignment vertical="top" wrapText="1"/>
    </xf>
    <xf numFmtId="0" fontId="0" fillId="4" borderId="4" xfId="0" applyNumberFormat="1" applyFill="1" applyBorder="1">
      <alignment vertical="top" wrapText="1"/>
    </xf>
    <xf numFmtId="49" fontId="0" fillId="0" borderId="5" xfId="0" applyNumberFormat="1" applyBorder="1">
      <alignment vertical="top" wrapText="1"/>
    </xf>
    <xf numFmtId="164" fontId="0" fillId="3" borderId="6" xfId="0" applyNumberFormat="1" applyFill="1" applyBorder="1">
      <alignment vertical="top" wrapText="1"/>
    </xf>
    <xf numFmtId="0" fontId="0" fillId="0" borderId="8" xfId="0" applyBorder="1">
      <alignment vertical="top" wrapText="1"/>
    </xf>
    <xf numFmtId="0" fontId="0" fillId="0" borderId="8" xfId="0" applyNumberFormat="1" applyBorder="1">
      <alignment vertical="top" wrapText="1"/>
    </xf>
    <xf numFmtId="0" fontId="0" fillId="0" borderId="4" xfId="0" applyNumberFormat="1" applyBorder="1">
      <alignment vertical="top" wrapText="1"/>
    </xf>
    <xf numFmtId="0" fontId="0" fillId="2" borderId="8" xfId="0" applyNumberFormat="1" applyFill="1" applyBorder="1">
      <alignment vertical="top" wrapText="1"/>
    </xf>
    <xf numFmtId="1" fontId="0" fillId="0" borderId="8" xfId="0" applyNumberFormat="1" applyBorder="1">
      <alignment vertical="top" wrapText="1"/>
    </xf>
    <xf numFmtId="1" fontId="0" fillId="0" borderId="4" xfId="0" applyNumberFormat="1" applyBorder="1">
      <alignment vertical="top" wrapText="1"/>
    </xf>
    <xf numFmtId="0" fontId="0" fillId="0" borderId="4" xfId="0" applyBorder="1">
      <alignment vertical="top" wrapText="1"/>
    </xf>
    <xf numFmtId="49" fontId="1" fillId="0" borderId="5" xfId="0" applyNumberFormat="1" applyFont="1" applyBorder="1">
      <alignment vertical="top" wrapText="1"/>
    </xf>
    <xf numFmtId="0" fontId="0" fillId="5" borderId="4" xfId="0" applyNumberFormat="1" applyFill="1" applyBorder="1">
      <alignment vertical="top" wrapText="1"/>
    </xf>
    <xf numFmtId="49" fontId="1" fillId="0" borderId="3" xfId="0" applyNumberFormat="1" applyFont="1" applyBorder="1">
      <alignment vertical="top" wrapText="1"/>
    </xf>
    <xf numFmtId="165" fontId="0" fillId="4" borderId="4" xfId="0" applyNumberFormat="1" applyFill="1" applyBorder="1">
      <alignment vertical="top" wrapText="1"/>
    </xf>
    <xf numFmtId="0" fontId="0" fillId="0" borderId="5" xfId="0" applyBorder="1">
      <alignment vertical="top" wrapText="1"/>
    </xf>
    <xf numFmtId="0" fontId="0" fillId="4" borderId="6" xfId="0" applyNumberFormat="1" applyFill="1" applyBorder="1">
      <alignment vertical="top" wrapText="1"/>
    </xf>
    <xf numFmtId="49" fontId="0" fillId="0" borderId="7" xfId="0" applyNumberFormat="1" applyBorder="1">
      <alignment vertical="top" wrapText="1"/>
    </xf>
    <xf numFmtId="49" fontId="0" fillId="0" borderId="2" xfId="0" applyNumberFormat="1" applyBorder="1">
      <alignment vertical="top" wrapText="1"/>
    </xf>
    <xf numFmtId="0" fontId="1" fillId="0" borderId="3" xfId="0" applyFont="1" applyBorder="1">
      <alignment vertical="top" wrapText="1"/>
    </xf>
    <xf numFmtId="49" fontId="0" fillId="0" borderId="10" xfId="0" applyNumberFormat="1" applyBorder="1">
      <alignment vertical="top" wrapText="1"/>
    </xf>
    <xf numFmtId="0" fontId="1" fillId="0" borderId="8" xfId="0" applyFont="1" applyBorder="1">
      <alignment vertical="top" wrapText="1"/>
    </xf>
    <xf numFmtId="1" fontId="1" fillId="0" borderId="4" xfId="0" applyNumberFormat="1" applyFont="1" applyBorder="1">
      <alignment vertical="top" wrapText="1"/>
    </xf>
    <xf numFmtId="1" fontId="0" fillId="5" borderId="8" xfId="0" applyNumberFormat="1" applyFill="1" applyBorder="1">
      <alignment vertical="top" wrapText="1"/>
    </xf>
    <xf numFmtId="1" fontId="0" fillId="5" borderId="4" xfId="0" applyNumberFormat="1" applyFill="1" applyBorder="1">
      <alignment vertical="top" wrapText="1"/>
    </xf>
    <xf numFmtId="1" fontId="0" fillId="3" borderId="8" xfId="0" applyNumberFormat="1" applyFill="1" applyBorder="1">
      <alignment vertical="top" wrapText="1"/>
    </xf>
    <xf numFmtId="1" fontId="0" fillId="3" borderId="4" xfId="0" applyNumberFormat="1" applyFill="1" applyBorder="1">
      <alignment vertical="top" wrapText="1"/>
    </xf>
    <xf numFmtId="1" fontId="1" fillId="0" borderId="9" xfId="0" applyNumberFormat="1" applyFont="1" applyBorder="1">
      <alignment vertical="top" wrapText="1"/>
    </xf>
    <xf numFmtId="1" fontId="1" fillId="0" borderId="8" xfId="0" applyNumberFormat="1" applyFont="1" applyBorder="1">
      <alignment vertical="top" wrapText="1"/>
    </xf>
    <xf numFmtId="1" fontId="0" fillId="0" borderId="9" xfId="0" applyNumberFormat="1" applyBorder="1">
      <alignment vertical="top" wrapText="1"/>
    </xf>
    <xf numFmtId="1" fontId="0" fillId="0" borderId="6" xfId="0" applyNumberFormat="1" applyBorder="1">
      <alignment vertical="top" wrapText="1"/>
    </xf>
    <xf numFmtId="1" fontId="1" fillId="0" borderId="3" xfId="0" applyNumberFormat="1" applyFont="1" applyBorder="1">
      <alignment vertical="top" wrapText="1"/>
    </xf>
    <xf numFmtId="1" fontId="0" fillId="0" borderId="3" xfId="0" applyNumberFormat="1" applyBorder="1">
      <alignment vertical="top" wrapText="1"/>
    </xf>
    <xf numFmtId="1" fontId="0" fillId="0" borderId="11" xfId="0" applyNumberFormat="1" applyBorder="1">
      <alignment vertical="top" wrapText="1"/>
    </xf>
    <xf numFmtId="10" fontId="0" fillId="0" borderId="8" xfId="0" applyNumberFormat="1" applyBorder="1">
      <alignment vertical="top" wrapText="1"/>
    </xf>
    <xf numFmtId="10" fontId="0" fillId="0" borderId="4" xfId="0" applyNumberFormat="1" applyBorder="1">
      <alignment vertical="top" wrapText="1"/>
    </xf>
    <xf numFmtId="10" fontId="0" fillId="5" borderId="8" xfId="0" applyNumberFormat="1" applyFill="1" applyBorder="1">
      <alignment vertical="top" wrapText="1"/>
    </xf>
    <xf numFmtId="10" fontId="0" fillId="5" borderId="4" xfId="0" applyNumberFormat="1" applyFill="1" applyBorder="1">
      <alignment vertical="top" wrapText="1"/>
    </xf>
    <xf numFmtId="1" fontId="0" fillId="6" borderId="8" xfId="0" applyNumberFormat="1" applyFill="1" applyBorder="1">
      <alignment vertical="top" wrapText="1"/>
    </xf>
    <xf numFmtId="0" fontId="0" fillId="0" borderId="3" xfId="0" applyFill="1" applyBorder="1">
      <alignment vertical="top" wrapText="1"/>
    </xf>
    <xf numFmtId="1" fontId="0" fillId="0" borderId="8" xfId="0" applyNumberFormat="1" applyFill="1" applyBorder="1">
      <alignment vertical="top" wrapText="1"/>
    </xf>
    <xf numFmtId="1" fontId="0" fillId="0" borderId="4" xfId="0" applyNumberFormat="1" applyFill="1" applyBorder="1">
      <alignment vertical="top" wrapText="1"/>
    </xf>
    <xf numFmtId="49" fontId="1" fillId="0" borderId="3" xfId="0" applyNumberFormat="1" applyFont="1" applyFill="1" applyBorder="1">
      <alignment vertical="top" wrapText="1"/>
    </xf>
    <xf numFmtId="1" fontId="1" fillId="0" borderId="8" xfId="0" applyNumberFormat="1" applyFont="1" applyFill="1" applyBorder="1">
      <alignment vertical="top" wrapText="1"/>
    </xf>
    <xf numFmtId="49" fontId="0" fillId="0" borderId="3" xfId="0" applyNumberFormat="1" applyFill="1" applyBorder="1">
      <alignment vertical="top" wrapText="1"/>
    </xf>
    <xf numFmtId="0" fontId="1" fillId="0" borderId="3" xfId="0" applyFont="1" applyFill="1" applyBorder="1">
      <alignment vertical="top" wrapText="1"/>
    </xf>
    <xf numFmtId="10" fontId="2" fillId="0" borderId="8" xfId="0" applyNumberFormat="1" applyFont="1" applyFill="1" applyBorder="1">
      <alignment vertical="top" wrapText="1"/>
    </xf>
    <xf numFmtId="49" fontId="2" fillId="0" borderId="3" xfId="0" applyNumberFormat="1" applyFont="1" applyFill="1" applyBorder="1">
      <alignment vertical="top" wrapText="1"/>
    </xf>
    <xf numFmtId="0" fontId="2" fillId="0" borderId="3" xfId="0" applyFont="1" applyFill="1" applyBorder="1">
      <alignment vertical="top" wrapText="1"/>
    </xf>
    <xf numFmtId="1" fontId="2" fillId="0" borderId="8" xfId="0" applyNumberFormat="1" applyFont="1" applyFill="1" applyBorder="1">
      <alignment vertical="top" wrapText="1"/>
    </xf>
    <xf numFmtId="1" fontId="2" fillId="6" borderId="8" xfId="0" applyNumberFormat="1" applyFont="1" applyFill="1" applyBorder="1">
      <alignment vertical="top" wrapText="1"/>
    </xf>
    <xf numFmtId="9" fontId="0" fillId="0" borderId="8" xfId="1" applyFont="1" applyFill="1" applyBorder="1" applyAlignment="1">
      <alignment vertical="top" wrapText="1"/>
    </xf>
    <xf numFmtId="0" fontId="0" fillId="6" borderId="0" xfId="0" applyNumberFormat="1" applyFill="1">
      <alignment vertical="top" wrapText="1"/>
    </xf>
    <xf numFmtId="0" fontId="0" fillId="7" borderId="0" xfId="0" applyNumberFormat="1" applyFill="1">
      <alignment vertical="top" wrapText="1"/>
    </xf>
    <xf numFmtId="49" fontId="2" fillId="0" borderId="5" xfId="0" applyNumberFormat="1" applyFont="1" applyBorder="1">
      <alignment vertical="top" wrapText="1"/>
    </xf>
    <xf numFmtId="0" fontId="0" fillId="3" borderId="6" xfId="0" applyNumberFormat="1" applyFill="1" applyBorder="1">
      <alignment vertical="top" wrapText="1"/>
    </xf>
    <xf numFmtId="1" fontId="2" fillId="7" borderId="8" xfId="0" applyNumberFormat="1" applyFont="1" applyFill="1" applyBorder="1">
      <alignment vertical="top" wrapText="1"/>
    </xf>
    <xf numFmtId="0" fontId="2" fillId="0" borderId="3" xfId="0" quotePrefix="1" applyFont="1" applyFill="1" applyBorder="1">
      <alignment vertical="top" wrapText="1"/>
    </xf>
    <xf numFmtId="0" fontId="0" fillId="0" borderId="8" xfId="1" applyNumberFormat="1" applyFont="1" applyFill="1" applyBorder="1" applyAlignment="1">
      <alignment vertical="top" wrapText="1"/>
    </xf>
    <xf numFmtId="0" fontId="2" fillId="0" borderId="0" xfId="0" applyNumberFormat="1" applyFont="1">
      <alignment vertical="top" wrapText="1"/>
    </xf>
    <xf numFmtId="0" fontId="2" fillId="0" borderId="3" xfId="0" applyFont="1" applyBorder="1">
      <alignment vertical="top" wrapText="1"/>
    </xf>
    <xf numFmtId="1" fontId="1" fillId="6" borderId="8" xfId="0" applyNumberFormat="1" applyFont="1" applyFill="1" applyBorder="1">
      <alignment vertical="top" wrapText="1"/>
    </xf>
    <xf numFmtId="1" fontId="0" fillId="7" borderId="3" xfId="0" applyNumberFormat="1" applyFill="1" applyBorder="1">
      <alignment vertical="top" wrapText="1"/>
    </xf>
    <xf numFmtId="0" fontId="1" fillId="0" borderId="8" xfId="0" applyFont="1" applyFill="1" applyBorder="1">
      <alignment vertical="top" wrapText="1"/>
    </xf>
    <xf numFmtId="0" fontId="0" fillId="0" borderId="8" xfId="0" applyFill="1" applyBorder="1">
      <alignment vertical="top" wrapText="1"/>
    </xf>
    <xf numFmtId="0" fontId="0" fillId="0" borderId="4" xfId="0" applyFill="1" applyBorder="1">
      <alignment vertical="top" wrapText="1"/>
    </xf>
    <xf numFmtId="49" fontId="2" fillId="0" borderId="15" xfId="0" applyNumberFormat="1" applyFont="1" applyBorder="1">
      <alignment vertical="top" wrapText="1"/>
    </xf>
    <xf numFmtId="49" fontId="2" fillId="0" borderId="3" xfId="0" applyNumberFormat="1" applyFont="1" applyBorder="1">
      <alignment vertical="top" wrapText="1"/>
    </xf>
    <xf numFmtId="2" fontId="0" fillId="7" borderId="16" xfId="0" applyNumberFormat="1" applyFill="1" applyBorder="1">
      <alignment vertical="top" wrapText="1"/>
    </xf>
    <xf numFmtId="9" fontId="2" fillId="6" borderId="8" xfId="1" applyFont="1" applyFill="1" applyBorder="1" applyAlignment="1">
      <alignment vertical="top" wrapText="1"/>
    </xf>
    <xf numFmtId="0" fontId="3" fillId="0" borderId="3" xfId="0" applyFont="1" applyFill="1" applyBorder="1">
      <alignment vertical="top" wrapText="1"/>
    </xf>
    <xf numFmtId="9" fontId="2" fillId="0" borderId="8" xfId="1" applyFont="1" applyFill="1" applyBorder="1" applyAlignment="1">
      <alignment vertical="top" wrapText="1"/>
    </xf>
    <xf numFmtId="2" fontId="1" fillId="0" borderId="8" xfId="0" applyNumberFormat="1" applyFont="1" applyFill="1" applyBorder="1">
      <alignment vertical="top" wrapText="1"/>
    </xf>
    <xf numFmtId="1" fontId="0" fillId="0" borderId="0" xfId="0" applyNumberFormat="1">
      <alignment vertical="top" wrapText="1"/>
    </xf>
    <xf numFmtId="1" fontId="0" fillId="6" borderId="0" xfId="0" applyNumberFormat="1" applyFill="1">
      <alignment vertical="top" wrapText="1"/>
    </xf>
    <xf numFmtId="1" fontId="0" fillId="0" borderId="0" xfId="0" applyNumberFormat="1" applyFill="1" applyBorder="1">
      <alignment vertical="top" wrapText="1"/>
    </xf>
    <xf numFmtId="49" fontId="0" fillId="0" borderId="7" xfId="0" applyNumberFormat="1" applyBorder="1" applyAlignment="1">
      <alignment horizontal="center" vertical="top" wrapText="1"/>
    </xf>
    <xf numFmtId="0" fontId="0" fillId="0" borderId="7" xfId="0" applyBorder="1">
      <alignment vertical="top" wrapText="1"/>
    </xf>
    <xf numFmtId="0" fontId="1" fillId="0" borderId="3" xfId="0" applyNumberFormat="1" applyFont="1" applyBorder="1" applyAlignment="1">
      <alignment horizontal="center" vertical="top" wrapText="1"/>
    </xf>
    <xf numFmtId="1" fontId="0" fillId="7" borderId="8" xfId="0" applyNumberFormat="1" applyFill="1" applyBorder="1">
      <alignment vertical="top" wrapText="1"/>
    </xf>
    <xf numFmtId="49" fontId="0" fillId="0" borderId="12" xfId="0" applyNumberFormat="1" applyBorder="1" applyAlignment="1">
      <alignment horizontal="center" vertical="top" wrapText="1"/>
    </xf>
    <xf numFmtId="49" fontId="0" fillId="0" borderId="13" xfId="0" applyNumberFormat="1" applyBorder="1" applyAlignment="1">
      <alignment horizontal="center" vertical="top" wrapText="1"/>
    </xf>
    <xf numFmtId="49" fontId="0" fillId="0" borderId="14" xfId="0" applyNumberFormat="1" applyBorder="1" applyAlignment="1">
      <alignment horizontal="center" vertical="top" wrapText="1"/>
    </xf>
    <xf numFmtId="0" fontId="0" fillId="6" borderId="4" xfId="0" applyNumberFormat="1" applyFill="1" applyBorder="1">
      <alignment vertical="top" wrapText="1"/>
    </xf>
    <xf numFmtId="1" fontId="0" fillId="6" borderId="4" xfId="0" applyNumberFormat="1" applyFill="1" applyBorder="1">
      <alignment vertical="top" wrapText="1"/>
    </xf>
    <xf numFmtId="9" fontId="0" fillId="7" borderId="16" xfId="1" applyFont="1" applyFill="1" applyBorder="1" applyAlignment="1">
      <alignment vertical="top" wrapText="1"/>
    </xf>
    <xf numFmtId="49" fontId="0" fillId="0" borderId="17" xfId="0" applyNumberFormat="1" applyFont="1" applyFill="1" applyBorder="1">
      <alignment vertical="top" wrapText="1"/>
    </xf>
    <xf numFmtId="9" fontId="0" fillId="7" borderId="0" xfId="0" applyNumberFormat="1" applyFill="1">
      <alignment vertical="top" wrapText="1"/>
    </xf>
    <xf numFmtId="9" fontId="2" fillId="3" borderId="4" xfId="0" applyNumberFormat="1" applyFont="1" applyFill="1" applyBorder="1">
      <alignment vertical="top" wrapText="1"/>
    </xf>
    <xf numFmtId="2" fontId="0" fillId="6" borderId="4" xfId="0" applyNumberFormat="1" applyFill="1" applyBorder="1">
      <alignment vertical="top" wrapText="1"/>
    </xf>
    <xf numFmtId="0" fontId="0" fillId="0" borderId="4" xfId="0" applyNumberFormat="1" applyFill="1" applyBorder="1">
      <alignment vertical="top" wrapText="1"/>
    </xf>
    <xf numFmtId="10" fontId="0" fillId="0" borderId="8" xfId="0" applyNumberFormat="1" applyFill="1" applyBorder="1">
      <alignment vertical="top" wrapText="1"/>
    </xf>
    <xf numFmtId="9" fontId="0" fillId="7" borderId="8" xfId="1" applyFont="1" applyFill="1" applyBorder="1" applyAlignment="1">
      <alignment vertical="top" wrapText="1"/>
    </xf>
    <xf numFmtId="10" fontId="0" fillId="7" borderId="8" xfId="0" applyNumberFormat="1" applyFill="1" applyBorder="1">
      <alignment vertical="top" wrapText="1"/>
    </xf>
    <xf numFmtId="1" fontId="2" fillId="0" borderId="3" xfId="0" applyNumberFormat="1" applyFont="1" applyBorder="1">
      <alignment vertical="top" wrapText="1"/>
    </xf>
    <xf numFmtId="1" fontId="2" fillId="7" borderId="5" xfId="0" applyNumberFormat="1" applyFont="1" applyFill="1" applyBorder="1">
      <alignment vertical="top" wrapText="1"/>
    </xf>
    <xf numFmtId="1" fontId="0" fillId="0" borderId="9" xfId="0" applyNumberFormat="1" applyFill="1" applyBorder="1">
      <alignment vertical="top" wrapText="1"/>
    </xf>
    <xf numFmtId="49" fontId="2" fillId="0" borderId="12" xfId="0" applyNumberFormat="1" applyFont="1" applyBorder="1" applyAlignment="1">
      <alignment horizontal="center" vertical="top" wrapText="1"/>
    </xf>
    <xf numFmtId="49" fontId="2" fillId="0" borderId="13" xfId="0" applyNumberFormat="1" applyFont="1" applyBorder="1" applyAlignment="1">
      <alignment horizontal="center" vertical="top" wrapText="1"/>
    </xf>
    <xf numFmtId="49" fontId="2" fillId="0" borderId="14" xfId="0" applyNumberFormat="1" applyFont="1" applyBorder="1" applyAlignment="1">
      <alignment horizontal="center" vertical="top" wrapText="1"/>
    </xf>
    <xf numFmtId="1" fontId="0" fillId="0" borderId="3" xfId="0" applyNumberFormat="1" applyFill="1" applyBorder="1">
      <alignment vertical="top" wrapText="1"/>
    </xf>
    <xf numFmtId="1" fontId="2" fillId="6" borderId="9" xfId="0" applyNumberFormat="1" applyFont="1" applyFill="1" applyBorder="1">
      <alignment vertical="top" wrapText="1"/>
    </xf>
    <xf numFmtId="0" fontId="2" fillId="0" borderId="8" xfId="0" applyNumberFormat="1" applyFont="1" applyBorder="1">
      <alignment vertical="top" wrapText="1"/>
    </xf>
    <xf numFmtId="1" fontId="2" fillId="0" borderId="8" xfId="0" applyNumberFormat="1" applyFont="1" applyBorder="1">
      <alignment vertical="top" wrapText="1"/>
    </xf>
    <xf numFmtId="9" fontId="0" fillId="6" borderId="8" xfId="1" applyFont="1" applyFill="1" applyBorder="1" applyAlignment="1">
      <alignment vertical="top" wrapText="1"/>
    </xf>
    <xf numFmtId="0" fontId="0" fillId="0" borderId="8" xfId="0" applyNumberFormat="1" applyFill="1" applyBorder="1">
      <alignment vertical="top" wrapText="1"/>
    </xf>
    <xf numFmtId="0" fontId="2" fillId="0" borderId="8" xfId="0" applyNumberFormat="1" applyFont="1" applyFill="1" applyBorder="1">
      <alignment vertical="top" wrapText="1"/>
    </xf>
    <xf numFmtId="1" fontId="0" fillId="6" borderId="8" xfId="1" applyNumberFormat="1" applyFont="1" applyFill="1" applyBorder="1" applyAlignment="1">
      <alignment vertical="top" wrapText="1"/>
    </xf>
    <xf numFmtId="1" fontId="0" fillId="8" borderId="8" xfId="0" applyNumberFormat="1" applyFill="1" applyBorder="1">
      <alignment vertical="top" wrapText="1"/>
    </xf>
    <xf numFmtId="1" fontId="1" fillId="0" borderId="4" xfId="0" applyNumberFormat="1" applyFont="1" applyFill="1" applyBorder="1">
      <alignment vertical="top" wrapText="1"/>
    </xf>
    <xf numFmtId="49" fontId="2" fillId="0" borderId="5" xfId="0" applyNumberFormat="1" applyFont="1" applyFill="1" applyBorder="1">
      <alignment vertical="top" wrapText="1"/>
    </xf>
    <xf numFmtId="0" fontId="2" fillId="0" borderId="6" xfId="0" applyNumberFormat="1" applyFont="1" applyFill="1" applyBorder="1">
      <alignment vertical="top" wrapText="1"/>
    </xf>
    <xf numFmtId="0" fontId="0" fillId="6" borderId="8" xfId="0" applyNumberFormat="1" applyFill="1" applyBorder="1">
      <alignment vertical="top" wrapText="1"/>
    </xf>
    <xf numFmtId="9" fontId="0" fillId="0" borderId="9" xfId="1" applyFont="1" applyFill="1" applyBorder="1" applyAlignment="1">
      <alignment vertical="top" wrapText="1"/>
    </xf>
    <xf numFmtId="1" fontId="0" fillId="0" borderId="9" xfId="1" applyNumberFormat="1" applyFont="1" applyFill="1" applyBorder="1" applyAlignment="1">
      <alignment vertical="top" wrapText="1"/>
    </xf>
    <xf numFmtId="49" fontId="1" fillId="0" borderId="5" xfId="0" applyNumberFormat="1" applyFont="1" applyFill="1" applyBorder="1">
      <alignment vertical="top" wrapText="1"/>
    </xf>
    <xf numFmtId="9" fontId="0" fillId="9" borderId="8" xfId="1" applyFont="1" applyFill="1" applyBorder="1" applyAlignment="1">
      <alignment vertical="top" wrapText="1"/>
    </xf>
    <xf numFmtId="1" fontId="0" fillId="9" borderId="8" xfId="0" applyNumberFormat="1" applyFill="1" applyBorder="1">
      <alignment vertical="top" wrapText="1"/>
    </xf>
    <xf numFmtId="165" fontId="0" fillId="0" borderId="0" xfId="0" applyNumberFormat="1" applyFill="1" applyBorder="1">
      <alignment vertical="top" wrapText="1"/>
    </xf>
    <xf numFmtId="165" fontId="0" fillId="0" borderId="0" xfId="0" applyNumberFormat="1">
      <alignment vertical="top" wrapText="1"/>
    </xf>
    <xf numFmtId="9" fontId="4" fillId="0" borderId="0" xfId="0" applyNumberFormat="1" applyFont="1">
      <alignment vertical="top" wrapText="1"/>
    </xf>
  </cellXfs>
  <cellStyles count="2">
    <cellStyle name="Normal" xfId="0" builtinId="0"/>
    <cellStyle name="Per 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DADAD"/>
      <rgbColor rgb="FFE3E3E3"/>
      <rgbColor rgb="FFFFF056"/>
      <rgbColor rgb="FF56C1FE"/>
      <rgbColor rgb="FF88F94E"/>
      <rgbColor rgb="FF72FCE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7FA4D"/>
      <color rgb="FF71FDE9"/>
      <color rgb="FF55C2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3"/>
  <sheetViews>
    <sheetView showGridLines="0" tabSelected="1" topLeftCell="A6" zoomScale="87" zoomScaleNormal="75" workbookViewId="0">
      <selection activeCell="M55" sqref="M55"/>
    </sheetView>
  </sheetViews>
  <sheetFormatPr baseColWidth="10" defaultColWidth="16.33203125" defaultRowHeight="20" customHeight="1" x14ac:dyDescent="0.15"/>
  <cols>
    <col min="1" max="1" width="23" style="1" customWidth="1"/>
    <col min="2" max="2" width="16.33203125" style="1" customWidth="1"/>
    <col min="3" max="3" width="23" style="1" customWidth="1"/>
    <col min="4" max="8" width="16.33203125" style="1" customWidth="1"/>
    <col min="9" max="9" width="23" style="1" customWidth="1"/>
    <col min="10" max="14" width="16.33203125" style="1" customWidth="1"/>
    <col min="15" max="15" width="23" style="1" customWidth="1"/>
    <col min="16" max="20" width="16.33203125" style="1" customWidth="1"/>
    <col min="21" max="21" width="23" style="1" customWidth="1"/>
    <col min="22" max="22" width="16.33203125" style="1" customWidth="1"/>
    <col min="23" max="23" width="23" style="1" customWidth="1"/>
    <col min="24" max="28" width="16.33203125" style="1" customWidth="1"/>
    <col min="29" max="29" width="16" style="1" customWidth="1"/>
    <col min="30" max="31" width="15.83203125" style="1" customWidth="1"/>
    <col min="32" max="32" width="16" style="1" customWidth="1"/>
    <col min="33" max="33" width="15.83203125" style="1" customWidth="1"/>
    <col min="34" max="34" width="23" style="1" customWidth="1"/>
    <col min="35" max="40" width="16.33203125" style="1" customWidth="1"/>
    <col min="41" max="16384" width="16.33203125" style="1"/>
  </cols>
  <sheetData>
    <row r="1" spans="1:11" ht="20.25" customHeight="1" x14ac:dyDescent="0.15">
      <c r="A1" s="2" t="s">
        <v>0</v>
      </c>
      <c r="B1" s="3"/>
      <c r="C1" s="2" t="s">
        <v>0</v>
      </c>
      <c r="D1" s="89" t="s">
        <v>32</v>
      </c>
      <c r="E1" s="90"/>
      <c r="F1" s="90"/>
      <c r="G1" s="90"/>
      <c r="H1" s="91"/>
      <c r="J1" s="61"/>
      <c r="K1" s="68" t="s">
        <v>119</v>
      </c>
    </row>
    <row r="2" spans="1:11" ht="20" customHeight="1" x14ac:dyDescent="0.15">
      <c r="A2" s="4"/>
      <c r="B2" s="5">
        <v>2022</v>
      </c>
      <c r="C2" s="4"/>
      <c r="D2" s="13"/>
      <c r="E2" s="14">
        <v>1</v>
      </c>
      <c r="F2" s="14">
        <v>2</v>
      </c>
      <c r="G2" s="14">
        <v>3</v>
      </c>
      <c r="H2" s="15">
        <v>4</v>
      </c>
      <c r="J2" s="62"/>
      <c r="K2" s="68" t="s">
        <v>118</v>
      </c>
    </row>
    <row r="3" spans="1:11" ht="20" customHeight="1" x14ac:dyDescent="0.15">
      <c r="A3" s="6" t="s">
        <v>1</v>
      </c>
      <c r="B3" s="7">
        <v>9</v>
      </c>
      <c r="C3" s="4"/>
      <c r="D3" s="16">
        <v>2022</v>
      </c>
      <c r="E3" s="16">
        <v>2023</v>
      </c>
      <c r="F3" s="16">
        <v>2024</v>
      </c>
      <c r="G3" s="16">
        <v>2025</v>
      </c>
      <c r="H3" s="5">
        <v>2026</v>
      </c>
    </row>
    <row r="4" spans="1:11" ht="20" customHeight="1" x14ac:dyDescent="0.15">
      <c r="A4" s="6" t="s">
        <v>2</v>
      </c>
      <c r="B4" s="7">
        <v>9</v>
      </c>
      <c r="C4" s="6" t="s">
        <v>33</v>
      </c>
      <c r="D4" s="32">
        <f>B27</f>
        <v>0</v>
      </c>
      <c r="E4" s="17">
        <f>D4+(E5*D4)</f>
        <v>0</v>
      </c>
      <c r="F4" s="17">
        <f>E4+(F5*E4)</f>
        <v>0</v>
      </c>
      <c r="G4" s="17">
        <f>F4+(G5*F4)</f>
        <v>0</v>
      </c>
      <c r="H4" s="18">
        <f>G4+(H5*G4)</f>
        <v>0</v>
      </c>
    </row>
    <row r="5" spans="1:11" ht="20" customHeight="1" x14ac:dyDescent="0.15">
      <c r="A5" s="76" t="s">
        <v>122</v>
      </c>
      <c r="B5" s="7">
        <v>50</v>
      </c>
      <c r="C5" s="6" t="s">
        <v>24</v>
      </c>
      <c r="D5" s="17"/>
      <c r="E5" s="45">
        <f>$B$28</f>
        <v>0</v>
      </c>
      <c r="F5" s="45">
        <f>$B$28</f>
        <v>0</v>
      </c>
      <c r="G5" s="45">
        <f>$B$28</f>
        <v>0</v>
      </c>
      <c r="H5" s="46">
        <f>$B$28</f>
        <v>0</v>
      </c>
    </row>
    <row r="6" spans="1:11" ht="20" customHeight="1" x14ac:dyDescent="0.15">
      <c r="A6" s="6" t="s">
        <v>4</v>
      </c>
      <c r="B6" s="8">
        <v>0.15</v>
      </c>
      <c r="C6" s="4"/>
      <c r="D6" s="17"/>
      <c r="E6" s="17"/>
      <c r="F6" s="17"/>
      <c r="G6" s="17"/>
      <c r="H6" s="18"/>
    </row>
    <row r="7" spans="1:11" ht="20" customHeight="1" x14ac:dyDescent="0.15">
      <c r="A7" s="6" t="s">
        <v>5</v>
      </c>
      <c r="B7" s="9"/>
      <c r="C7" s="6" t="s">
        <v>34</v>
      </c>
      <c r="D7" s="32">
        <f>B29</f>
        <v>1000</v>
      </c>
      <c r="E7" s="17">
        <f>D7+(D7*E8)</f>
        <v>1100</v>
      </c>
      <c r="F7" s="17">
        <f t="shared" ref="F7:G7" si="0">E7+(E7*F8)</f>
        <v>1210</v>
      </c>
      <c r="G7" s="17">
        <f t="shared" si="0"/>
        <v>1331</v>
      </c>
      <c r="H7" s="17">
        <f>G7+(G7*H8)</f>
        <v>1464.1</v>
      </c>
    </row>
    <row r="8" spans="1:11" ht="20" customHeight="1" x14ac:dyDescent="0.15">
      <c r="A8" s="6" t="s">
        <v>6</v>
      </c>
      <c r="B8" s="8">
        <v>0.9</v>
      </c>
      <c r="C8" s="6" t="s">
        <v>27</v>
      </c>
      <c r="D8" s="17"/>
      <c r="E8" s="45">
        <f>$B$31</f>
        <v>0.1</v>
      </c>
      <c r="F8" s="43">
        <f>E8+$B$32</f>
        <v>0.1</v>
      </c>
      <c r="G8" s="43">
        <f>F8+$B$32</f>
        <v>0.1</v>
      </c>
      <c r="H8" s="44">
        <f>G8+$B$32</f>
        <v>0.1</v>
      </c>
    </row>
    <row r="9" spans="1:11" ht="20" customHeight="1" x14ac:dyDescent="0.15">
      <c r="A9" s="6" t="s">
        <v>7</v>
      </c>
      <c r="B9" s="7">
        <v>500</v>
      </c>
      <c r="C9" s="4"/>
      <c r="D9" s="17"/>
      <c r="E9" s="17"/>
      <c r="F9" s="17"/>
      <c r="G9" s="17"/>
      <c r="H9" s="18"/>
    </row>
    <row r="10" spans="1:11" ht="20" customHeight="1" x14ac:dyDescent="0.15">
      <c r="A10" s="6" t="s">
        <v>8</v>
      </c>
      <c r="B10" s="9"/>
      <c r="C10" s="6" t="s">
        <v>35</v>
      </c>
      <c r="D10" s="88">
        <v>-600</v>
      </c>
      <c r="E10" s="17">
        <f>-E11*E7</f>
        <v>-660</v>
      </c>
      <c r="F10" s="17">
        <f t="shared" ref="F10:H10" si="1">-F11*F7</f>
        <v>-726</v>
      </c>
      <c r="G10" s="17">
        <f t="shared" si="1"/>
        <v>-798.6</v>
      </c>
      <c r="H10" s="17">
        <f t="shared" si="1"/>
        <v>-878.45999999999992</v>
      </c>
    </row>
    <row r="11" spans="1:11" ht="20" customHeight="1" x14ac:dyDescent="0.15">
      <c r="A11" s="6" t="s">
        <v>9</v>
      </c>
      <c r="B11" s="7">
        <f>0.5*B21</f>
        <v>150</v>
      </c>
      <c r="C11" s="76" t="s">
        <v>150</v>
      </c>
      <c r="D11" s="60">
        <f>-D10/D7</f>
        <v>0.6</v>
      </c>
      <c r="E11" s="102">
        <f>D11</f>
        <v>0.6</v>
      </c>
      <c r="F11" s="102">
        <f t="shared" ref="F11:H11" si="2">E11</f>
        <v>0.6</v>
      </c>
      <c r="G11" s="102">
        <f t="shared" si="2"/>
        <v>0.6</v>
      </c>
      <c r="H11" s="102">
        <f t="shared" si="2"/>
        <v>0.6</v>
      </c>
    </row>
    <row r="12" spans="1:11" ht="20" customHeight="1" x14ac:dyDescent="0.15">
      <c r="A12" s="6" t="s">
        <v>10</v>
      </c>
      <c r="B12" s="8">
        <v>0.04</v>
      </c>
      <c r="C12" s="4"/>
      <c r="D12" s="17"/>
      <c r="E12" s="17"/>
      <c r="F12" s="17"/>
      <c r="G12" s="17"/>
      <c r="H12" s="18"/>
    </row>
    <row r="13" spans="1:11" ht="20" customHeight="1" x14ac:dyDescent="0.15">
      <c r="A13" s="76" t="s">
        <v>155</v>
      </c>
      <c r="B13" s="9">
        <v>0.01</v>
      </c>
      <c r="C13" s="6" t="s">
        <v>36</v>
      </c>
      <c r="D13" s="17">
        <f>D7+D10</f>
        <v>400</v>
      </c>
      <c r="E13" s="17">
        <f t="shared" ref="E13:H13" si="3">E7+E10</f>
        <v>440</v>
      </c>
      <c r="F13" s="17">
        <f t="shared" si="3"/>
        <v>484</v>
      </c>
      <c r="G13" s="17">
        <f t="shared" si="3"/>
        <v>532.4</v>
      </c>
      <c r="H13" s="17">
        <f t="shared" si="3"/>
        <v>585.64</v>
      </c>
    </row>
    <row r="14" spans="1:11" ht="20" customHeight="1" x14ac:dyDescent="0.15">
      <c r="A14" s="6" t="s">
        <v>11</v>
      </c>
      <c r="B14" s="35">
        <f>B15*B21</f>
        <v>1200</v>
      </c>
      <c r="C14" s="69" t="s">
        <v>158</v>
      </c>
      <c r="D14" s="60">
        <f>D13/D7</f>
        <v>0.4</v>
      </c>
      <c r="E14" s="101">
        <f>D14</f>
        <v>0.4</v>
      </c>
      <c r="F14" s="101">
        <f t="shared" ref="F14:H14" si="4">E14</f>
        <v>0.4</v>
      </c>
      <c r="G14" s="101">
        <f t="shared" si="4"/>
        <v>0.4</v>
      </c>
      <c r="H14" s="101">
        <f t="shared" si="4"/>
        <v>0.4</v>
      </c>
    </row>
    <row r="15" spans="1:11" ht="20" customHeight="1" x14ac:dyDescent="0.15">
      <c r="A15" s="6" t="s">
        <v>12</v>
      </c>
      <c r="B15" s="7">
        <v>4</v>
      </c>
      <c r="C15" s="69"/>
      <c r="D15" s="17"/>
      <c r="E15" s="17"/>
      <c r="F15" s="17"/>
      <c r="G15" s="17"/>
      <c r="H15" s="18"/>
    </row>
    <row r="16" spans="1:11" ht="20" customHeight="1" x14ac:dyDescent="0.15">
      <c r="A16" s="95" t="s">
        <v>156</v>
      </c>
      <c r="B16" s="96">
        <v>7.0000000000000007E-2</v>
      </c>
      <c r="C16" s="6" t="s">
        <v>37</v>
      </c>
      <c r="D16" s="17">
        <f>D19-D13</f>
        <v>-100</v>
      </c>
      <c r="E16" s="17">
        <f>D16+(D17*D16)</f>
        <v>-110</v>
      </c>
      <c r="F16" s="17">
        <f t="shared" ref="F16:H16" si="5">E16+(E17*E16)</f>
        <v>-121</v>
      </c>
      <c r="G16" s="17">
        <f t="shared" si="5"/>
        <v>-133.1</v>
      </c>
      <c r="H16" s="17">
        <f t="shared" si="5"/>
        <v>-146.41</v>
      </c>
    </row>
    <row r="17" spans="1:14" ht="20" customHeight="1" x14ac:dyDescent="0.15">
      <c r="A17" s="6" t="s">
        <v>13</v>
      </c>
      <c r="B17" s="7">
        <f>2*B21</f>
        <v>600</v>
      </c>
      <c r="C17" s="6" t="s">
        <v>38</v>
      </c>
      <c r="D17" s="43">
        <f>-D16/D7</f>
        <v>0.1</v>
      </c>
      <c r="E17" s="102">
        <f>D17</f>
        <v>0.1</v>
      </c>
      <c r="F17" s="102">
        <f t="shared" ref="F17:H17" si="6">E17</f>
        <v>0.1</v>
      </c>
      <c r="G17" s="102">
        <f t="shared" si="6"/>
        <v>0.1</v>
      </c>
      <c r="H17" s="102">
        <f t="shared" si="6"/>
        <v>0.1</v>
      </c>
    </row>
    <row r="18" spans="1:14" ht="20" customHeight="1" x14ac:dyDescent="0.15">
      <c r="A18" s="6" t="s">
        <v>14</v>
      </c>
      <c r="B18" s="8">
        <v>0.1</v>
      </c>
      <c r="C18" s="4"/>
      <c r="D18" s="17"/>
      <c r="E18" s="17"/>
      <c r="F18" s="17"/>
      <c r="G18" s="17"/>
      <c r="H18" s="18"/>
    </row>
    <row r="19" spans="1:14" ht="20" customHeight="1" x14ac:dyDescent="0.15">
      <c r="A19" s="6" t="s">
        <v>15</v>
      </c>
      <c r="B19" s="8">
        <v>0.05</v>
      </c>
      <c r="C19" s="6" t="s">
        <v>39</v>
      </c>
      <c r="D19" s="47">
        <f>B21</f>
        <v>300</v>
      </c>
      <c r="E19" s="17">
        <f>SUM(E13+E16)</f>
        <v>330</v>
      </c>
      <c r="F19" s="17">
        <f t="shared" ref="F19:H19" si="7">SUM(F13+F16)</f>
        <v>363</v>
      </c>
      <c r="G19" s="17">
        <f t="shared" si="7"/>
        <v>399.29999999999995</v>
      </c>
      <c r="H19" s="17">
        <f t="shared" si="7"/>
        <v>439.23</v>
      </c>
    </row>
    <row r="20" spans="1:14" ht="20" customHeight="1" x14ac:dyDescent="0.15">
      <c r="A20" s="6" t="s">
        <v>16</v>
      </c>
      <c r="B20" s="8">
        <v>0.4</v>
      </c>
      <c r="C20" s="6" t="s">
        <v>40</v>
      </c>
      <c r="D20" s="100">
        <f>D19/D7</f>
        <v>0.3</v>
      </c>
      <c r="E20" s="100">
        <f t="shared" ref="E20:H20" si="8">E19/E7</f>
        <v>0.3</v>
      </c>
      <c r="F20" s="100">
        <f t="shared" si="8"/>
        <v>0.3</v>
      </c>
      <c r="G20" s="100">
        <f t="shared" si="8"/>
        <v>0.3</v>
      </c>
      <c r="H20" s="100">
        <f t="shared" si="8"/>
        <v>0.30000000000000004</v>
      </c>
    </row>
    <row r="21" spans="1:14" ht="20" customHeight="1" x14ac:dyDescent="0.15">
      <c r="A21" s="6" t="s">
        <v>17</v>
      </c>
      <c r="B21" s="7">
        <v>300</v>
      </c>
      <c r="C21" s="4"/>
      <c r="D21" s="17"/>
      <c r="E21" s="17"/>
      <c r="F21" s="17"/>
      <c r="G21" s="17"/>
      <c r="H21" s="18"/>
    </row>
    <row r="22" spans="1:14" ht="20" customHeight="1" x14ac:dyDescent="0.15">
      <c r="A22" s="6" t="s">
        <v>18</v>
      </c>
      <c r="B22" s="10">
        <f>B21*B3</f>
        <v>2700</v>
      </c>
      <c r="C22" s="6" t="s">
        <v>41</v>
      </c>
      <c r="D22" s="34">
        <v>-20</v>
      </c>
      <c r="E22" s="88">
        <v>-41</v>
      </c>
      <c r="F22" s="88">
        <v>-43</v>
      </c>
      <c r="G22" s="88">
        <f>-46</f>
        <v>-46</v>
      </c>
      <c r="H22" s="88">
        <v>-48</v>
      </c>
      <c r="I22" s="2" t="s">
        <v>0</v>
      </c>
      <c r="J22" s="89" t="s">
        <v>63</v>
      </c>
      <c r="K22" s="90"/>
      <c r="L22" s="90"/>
      <c r="M22" s="90"/>
      <c r="N22" s="91"/>
    </row>
    <row r="23" spans="1:14" ht="20" customHeight="1" x14ac:dyDescent="0.15">
      <c r="A23" s="6" t="s">
        <v>19</v>
      </c>
      <c r="B23" s="9">
        <v>2.5000000000000001E-2</v>
      </c>
      <c r="C23" s="6" t="s">
        <v>42</v>
      </c>
      <c r="D23" s="43">
        <f>-D22/D7</f>
        <v>0.02</v>
      </c>
      <c r="E23" s="102">
        <f>D23</f>
        <v>0.02</v>
      </c>
      <c r="F23" s="102">
        <f t="shared" ref="F23:H23" si="9">E23</f>
        <v>0.02</v>
      </c>
      <c r="G23" s="102">
        <f t="shared" si="9"/>
        <v>0.02</v>
      </c>
      <c r="H23" s="102">
        <f t="shared" si="9"/>
        <v>0.02</v>
      </c>
      <c r="I23" s="69" t="s">
        <v>163</v>
      </c>
      <c r="J23" s="47">
        <f>H19</f>
        <v>439.23</v>
      </c>
      <c r="K23" s="14"/>
      <c r="L23" s="14"/>
      <c r="M23" s="14"/>
      <c r="N23" s="15"/>
    </row>
    <row r="24" spans="1:14" ht="20" customHeight="1" x14ac:dyDescent="0.15">
      <c r="A24" s="6" t="s">
        <v>20</v>
      </c>
      <c r="B24" s="8">
        <v>0.15</v>
      </c>
      <c r="C24" s="4"/>
      <c r="D24" s="17"/>
      <c r="E24" s="17"/>
      <c r="F24" s="17"/>
      <c r="G24" s="17"/>
      <c r="H24" s="18"/>
      <c r="I24" s="57" t="s">
        <v>2</v>
      </c>
      <c r="J24" s="121">
        <f>B4</f>
        <v>9</v>
      </c>
      <c r="K24" s="114"/>
      <c r="L24" s="114"/>
      <c r="M24" s="114"/>
      <c r="N24" s="99"/>
    </row>
    <row r="25" spans="1:14" ht="20" customHeight="1" x14ac:dyDescent="0.15">
      <c r="A25" s="6" t="s">
        <v>21</v>
      </c>
      <c r="B25" s="7">
        <v>15</v>
      </c>
      <c r="C25" s="6" t="s">
        <v>43</v>
      </c>
      <c r="D25" s="17">
        <f>D19+D22</f>
        <v>280</v>
      </c>
      <c r="E25" s="17">
        <f>E19+E22</f>
        <v>289</v>
      </c>
      <c r="F25" s="17">
        <f>F19+F22</f>
        <v>320</v>
      </c>
      <c r="G25" s="17">
        <f>G19+G22</f>
        <v>353.29999999999995</v>
      </c>
      <c r="H25" s="17">
        <f>H19+H22</f>
        <v>391.23</v>
      </c>
      <c r="I25" s="51" t="s">
        <v>18</v>
      </c>
      <c r="J25" s="52">
        <f>J23*J24</f>
        <v>3953.07</v>
      </c>
      <c r="K25" s="49"/>
      <c r="L25" s="49"/>
      <c r="M25" s="49"/>
      <c r="N25" s="50"/>
    </row>
    <row r="26" spans="1:14" ht="20" customHeight="1" x14ac:dyDescent="0.15">
      <c r="A26" s="6" t="s">
        <v>22</v>
      </c>
      <c r="B26" s="97"/>
      <c r="C26" s="6" t="s">
        <v>44</v>
      </c>
      <c r="D26" s="43">
        <f>D25/D7</f>
        <v>0.28000000000000003</v>
      </c>
      <c r="E26" s="43">
        <f>E25/E7</f>
        <v>0.26272727272727275</v>
      </c>
      <c r="F26" s="43">
        <f>F25/F7</f>
        <v>0.26446280991735538</v>
      </c>
      <c r="G26" s="43">
        <f>G25/G7</f>
        <v>0.26543951915852737</v>
      </c>
      <c r="H26" s="44">
        <f>H25/H7</f>
        <v>0.26721535414247666</v>
      </c>
      <c r="I26" s="56" t="s">
        <v>164</v>
      </c>
      <c r="J26" s="47">
        <f ca="1">H66</f>
        <v>25</v>
      </c>
      <c r="K26" s="52"/>
      <c r="L26" s="52"/>
      <c r="M26" s="52"/>
      <c r="N26" s="118"/>
    </row>
    <row r="27" spans="1:14" ht="20" customHeight="1" x14ac:dyDescent="0.15">
      <c r="A27" s="6" t="s">
        <v>23</v>
      </c>
      <c r="B27" s="7"/>
      <c r="C27" s="4"/>
      <c r="D27" s="17"/>
      <c r="E27" s="17"/>
      <c r="F27" s="17"/>
      <c r="G27" s="17"/>
      <c r="H27" s="18"/>
      <c r="I27" s="56" t="s">
        <v>165</v>
      </c>
      <c r="J27" s="47">
        <f ca="1">H81+H82</f>
        <v>1616.2613542705603</v>
      </c>
      <c r="K27" s="49"/>
      <c r="L27" s="49"/>
      <c r="M27" s="49"/>
      <c r="N27" s="50"/>
    </row>
    <row r="28" spans="1:14" ht="20" customHeight="1" x14ac:dyDescent="0.15">
      <c r="A28" s="6" t="s">
        <v>24</v>
      </c>
      <c r="B28" s="8"/>
      <c r="C28" s="6" t="s">
        <v>45</v>
      </c>
      <c r="D28" s="17"/>
      <c r="E28" s="47">
        <f ca="1">K138</f>
        <v>-180.9395906140789</v>
      </c>
      <c r="F28" s="47">
        <f t="shared" ref="F28:H28" ca="1" si="10">L138</f>
        <v>-181.9411407888168</v>
      </c>
      <c r="G28" s="47">
        <f t="shared" ca="1" si="10"/>
        <v>-181.75899071892161</v>
      </c>
      <c r="H28" s="47">
        <f t="shared" ca="1" si="10"/>
        <v>-178.04586832911633</v>
      </c>
      <c r="I28" s="56" t="s">
        <v>166</v>
      </c>
      <c r="J28" s="49"/>
      <c r="K28" s="49"/>
      <c r="L28" s="49"/>
      <c r="M28" s="49"/>
      <c r="N28" s="50"/>
    </row>
    <row r="29" spans="1:14" ht="20" customHeight="1" x14ac:dyDescent="0.15">
      <c r="A29" s="6" t="s">
        <v>25</v>
      </c>
      <c r="B29" s="7">
        <v>1000</v>
      </c>
      <c r="C29" s="4"/>
      <c r="D29" s="17"/>
      <c r="E29" s="17"/>
      <c r="F29" s="17"/>
      <c r="G29" s="17"/>
      <c r="H29" s="18"/>
      <c r="I29" s="54" t="s">
        <v>167</v>
      </c>
      <c r="J29" s="52">
        <f ca="1">J25+J26-J27</f>
        <v>2361.8086457294398</v>
      </c>
      <c r="K29" s="49"/>
      <c r="L29" s="49"/>
      <c r="M29" s="49"/>
      <c r="N29" s="50"/>
    </row>
    <row r="30" spans="1:14" ht="20" customHeight="1" x14ac:dyDescent="0.15">
      <c r="A30" s="6" t="s">
        <v>26</v>
      </c>
      <c r="B30" s="8">
        <v>0.03</v>
      </c>
      <c r="C30" s="6" t="s">
        <v>46</v>
      </c>
      <c r="D30" s="17">
        <f>D25-D28</f>
        <v>280</v>
      </c>
      <c r="E30" s="17">
        <f ca="1">E25+E28</f>
        <v>108.0604093859211</v>
      </c>
      <c r="F30" s="17">
        <f t="shared" ref="F30:H30" ca="1" si="11">F25+F28</f>
        <v>138.0588592111832</v>
      </c>
      <c r="G30" s="17">
        <f t="shared" ca="1" si="11"/>
        <v>171.54100928107835</v>
      </c>
      <c r="H30" s="17">
        <f t="shared" ca="1" si="11"/>
        <v>213.18413167088369</v>
      </c>
      <c r="I30" s="53"/>
      <c r="J30" s="124" t="s">
        <v>168</v>
      </c>
      <c r="K30" s="49"/>
      <c r="L30" s="52" t="s">
        <v>171</v>
      </c>
      <c r="M30" s="49"/>
      <c r="N30" s="118"/>
    </row>
    <row r="31" spans="1:14" ht="20" customHeight="1" x14ac:dyDescent="0.15">
      <c r="A31" s="6" t="s">
        <v>27</v>
      </c>
      <c r="B31" s="8">
        <v>0.1</v>
      </c>
      <c r="C31" s="4"/>
      <c r="D31" s="17"/>
      <c r="E31" s="17"/>
      <c r="F31" s="17"/>
      <c r="G31" s="17"/>
      <c r="H31" s="18"/>
      <c r="I31" s="119"/>
      <c r="J31" s="105">
        <f>SUM(J32:J34)</f>
        <v>855.75</v>
      </c>
      <c r="K31" s="122">
        <f>SUM(K32:K34)</f>
        <v>1</v>
      </c>
      <c r="L31" s="123">
        <f ca="1">SUM(L32:L34)</f>
        <v>2361.8086457294398</v>
      </c>
      <c r="M31" s="105"/>
      <c r="N31" s="120"/>
    </row>
    <row r="32" spans="1:14" ht="20" customHeight="1" x14ac:dyDescent="0.15">
      <c r="A32" s="6" t="s">
        <v>28</v>
      </c>
      <c r="B32" s="9">
        <v>0</v>
      </c>
      <c r="C32" s="6" t="s">
        <v>47</v>
      </c>
      <c r="D32" s="17">
        <f>-D30*$B$20</f>
        <v>-112</v>
      </c>
      <c r="E32" s="17">
        <f t="shared" ref="E32:H32" ca="1" si="12">-E30*$B$20</f>
        <v>-43.224163754368448</v>
      </c>
      <c r="F32" s="17">
        <f t="shared" ca="1" si="12"/>
        <v>-55.223543684473285</v>
      </c>
      <c r="G32" s="17">
        <f t="shared" ca="1" si="12"/>
        <v>-68.616403712431335</v>
      </c>
      <c r="H32" s="17">
        <f t="shared" ca="1" si="12"/>
        <v>-85.273652668353478</v>
      </c>
      <c r="I32" s="56" t="s">
        <v>169</v>
      </c>
      <c r="J32" s="47">
        <f>B52</f>
        <v>733.5</v>
      </c>
      <c r="K32" s="60">
        <f>J32/$J$31</f>
        <v>0.8571428571428571</v>
      </c>
      <c r="L32" s="49">
        <f ca="1">K32*$J$29</f>
        <v>2024.407410625234</v>
      </c>
      <c r="M32" s="49"/>
      <c r="N32" s="118"/>
    </row>
    <row r="33" spans="1:15" ht="20" customHeight="1" x14ac:dyDescent="0.15">
      <c r="A33" s="6" t="s">
        <v>29</v>
      </c>
      <c r="B33" s="9"/>
      <c r="C33" s="4"/>
      <c r="D33" s="17"/>
      <c r="E33" s="17"/>
      <c r="F33" s="17"/>
      <c r="G33" s="17"/>
      <c r="H33" s="18"/>
      <c r="I33" s="119" t="s">
        <v>170</v>
      </c>
      <c r="J33" s="47">
        <f>B53</f>
        <v>81.5</v>
      </c>
      <c r="K33" s="60">
        <f>J33/$J$31</f>
        <v>9.5238095238095233E-2</v>
      </c>
      <c r="L33" s="49">
        <f t="shared" ref="L33:L34" ca="1" si="13">K33*$J$29</f>
        <v>224.93415673613711</v>
      </c>
      <c r="M33" s="105"/>
      <c r="N33" s="120"/>
    </row>
    <row r="34" spans="1:15" ht="20" customHeight="1" x14ac:dyDescent="0.15">
      <c r="A34" s="76" t="s">
        <v>157</v>
      </c>
      <c r="B34" s="9">
        <v>2.5000000000000001E-2</v>
      </c>
      <c r="C34" s="20" t="s">
        <v>48</v>
      </c>
      <c r="D34" s="36">
        <f>D30+D32</f>
        <v>168</v>
      </c>
      <c r="E34" s="36">
        <f t="shared" ref="E34:H34" ca="1" si="14">E30+E32</f>
        <v>64.836245631552657</v>
      </c>
      <c r="F34" s="36">
        <f t="shared" ca="1" si="14"/>
        <v>82.83531552670992</v>
      </c>
      <c r="G34" s="36">
        <f t="shared" ca="1" si="14"/>
        <v>102.92460556864701</v>
      </c>
      <c r="H34" s="36">
        <f t="shared" ca="1" si="14"/>
        <v>127.91047900253021</v>
      </c>
      <c r="I34" s="56" t="s">
        <v>152</v>
      </c>
      <c r="J34" s="49">
        <f>SUM(J32:J33)*B42</f>
        <v>40.75</v>
      </c>
      <c r="K34" s="60">
        <f>J34/$J$31</f>
        <v>4.7619047619047616E-2</v>
      </c>
      <c r="L34" s="49">
        <f t="shared" ca="1" si="13"/>
        <v>112.46707836806856</v>
      </c>
      <c r="M34" s="49"/>
      <c r="N34" s="118"/>
    </row>
    <row r="35" spans="1:15" ht="20" customHeight="1" x14ac:dyDescent="0.15">
      <c r="A35" s="6" t="s">
        <v>30</v>
      </c>
      <c r="B35" s="9"/>
    </row>
    <row r="36" spans="1:15" ht="20" customHeight="1" x14ac:dyDescent="0.15">
      <c r="A36" s="75" t="s">
        <v>3</v>
      </c>
      <c r="B36" s="77">
        <v>25</v>
      </c>
      <c r="C36" s="2" t="s">
        <v>0</v>
      </c>
      <c r="D36" s="89" t="s">
        <v>49</v>
      </c>
      <c r="E36" s="90"/>
      <c r="F36" s="90"/>
      <c r="G36" s="90"/>
      <c r="H36" s="91"/>
      <c r="I36" s="2" t="s">
        <v>0</v>
      </c>
      <c r="J36" s="89" t="s">
        <v>63</v>
      </c>
      <c r="K36" s="90"/>
      <c r="L36" s="90"/>
      <c r="M36" s="90"/>
      <c r="N36" s="91"/>
    </row>
    <row r="37" spans="1:15" ht="20" customHeight="1" x14ac:dyDescent="0.15">
      <c r="A37" s="75" t="s">
        <v>151</v>
      </c>
      <c r="B37" s="94">
        <v>0.1</v>
      </c>
      <c r="C37" s="4"/>
      <c r="D37" s="13"/>
      <c r="E37" s="14">
        <v>1</v>
      </c>
      <c r="F37" s="14">
        <v>2</v>
      </c>
      <c r="G37" s="14">
        <v>3</v>
      </c>
      <c r="H37" s="15">
        <v>4</v>
      </c>
      <c r="I37" s="57"/>
      <c r="J37" s="49"/>
      <c r="K37" s="114"/>
      <c r="L37" s="114"/>
      <c r="M37" s="114"/>
      <c r="N37" s="99"/>
    </row>
    <row r="38" spans="1:15" ht="20" customHeight="1" x14ac:dyDescent="0.15">
      <c r="A38" s="75" t="s">
        <v>74</v>
      </c>
      <c r="B38" s="77">
        <v>20</v>
      </c>
      <c r="C38" s="4"/>
      <c r="D38" s="16">
        <v>2022</v>
      </c>
      <c r="E38" s="16">
        <v>2023</v>
      </c>
      <c r="F38" s="16">
        <v>2024</v>
      </c>
      <c r="G38" s="16">
        <v>2025</v>
      </c>
      <c r="H38" s="5">
        <v>2026</v>
      </c>
      <c r="I38" s="57" t="s">
        <v>174</v>
      </c>
      <c r="J38" s="114">
        <v>0</v>
      </c>
      <c r="K38" s="114">
        <v>1</v>
      </c>
      <c r="L38" s="114">
        <v>2</v>
      </c>
      <c r="M38" s="114">
        <v>3</v>
      </c>
      <c r="N38" s="99">
        <v>4</v>
      </c>
    </row>
    <row r="39" spans="1:15" ht="20" customHeight="1" x14ac:dyDescent="0.15">
      <c r="A39" s="75" t="s">
        <v>154</v>
      </c>
      <c r="B39" s="77">
        <v>300</v>
      </c>
      <c r="C39" s="6" t="s">
        <v>48</v>
      </c>
      <c r="D39" s="32"/>
      <c r="E39" s="32">
        <f ca="1">E34</f>
        <v>64.836245631552657</v>
      </c>
      <c r="F39" s="32">
        <f ca="1">F34</f>
        <v>82.83531552670992</v>
      </c>
      <c r="G39" s="32">
        <f ca="1">G34</f>
        <v>102.92460556864701</v>
      </c>
      <c r="H39" s="33">
        <f ca="1">H34</f>
        <v>127.91047900253021</v>
      </c>
      <c r="I39" s="56" t="s">
        <v>173</v>
      </c>
      <c r="J39" s="59">
        <f>-B52</f>
        <v>-733.5</v>
      </c>
      <c r="K39" s="49">
        <v>0</v>
      </c>
      <c r="L39" s="49">
        <v>0</v>
      </c>
      <c r="M39" s="49">
        <v>0</v>
      </c>
      <c r="N39" s="93">
        <f ca="1">L32</f>
        <v>2024.407410625234</v>
      </c>
    </row>
    <row r="40" spans="1:15" ht="20.25" customHeight="1" x14ac:dyDescent="0.15">
      <c r="A40" s="75" t="s">
        <v>153</v>
      </c>
      <c r="B40" s="94">
        <v>5.0000000000000001E-3</v>
      </c>
      <c r="C40" s="6" t="s">
        <v>50</v>
      </c>
      <c r="D40" s="32"/>
      <c r="E40" s="32">
        <f>-E22</f>
        <v>41</v>
      </c>
      <c r="F40" s="32">
        <f>-F22</f>
        <v>43</v>
      </c>
      <c r="G40" s="32">
        <f>-G22</f>
        <v>46</v>
      </c>
      <c r="H40" s="32">
        <f>-H22</f>
        <v>48</v>
      </c>
      <c r="I40" s="56"/>
      <c r="J40" s="49"/>
      <c r="K40" s="52"/>
      <c r="L40" s="52"/>
      <c r="M40" s="52"/>
      <c r="N40" s="118"/>
    </row>
    <row r="41" spans="1:15" ht="20.25" customHeight="1" x14ac:dyDescent="0.15">
      <c r="A41" s="11" t="s">
        <v>31</v>
      </c>
      <c r="B41" s="12"/>
      <c r="C41" s="6" t="s">
        <v>51</v>
      </c>
      <c r="D41" s="47"/>
      <c r="E41" s="47">
        <f>-K137</f>
        <v>30</v>
      </c>
      <c r="F41" s="47">
        <f t="shared" ref="F41:H41" si="15">-L137</f>
        <v>31.5</v>
      </c>
      <c r="G41" s="47">
        <f t="shared" si="15"/>
        <v>33.075000000000003</v>
      </c>
      <c r="H41" s="47">
        <f t="shared" si="15"/>
        <v>34.728750000000005</v>
      </c>
      <c r="I41" s="56" t="s">
        <v>172</v>
      </c>
      <c r="J41" s="125">
        <f ca="1">IRR(J39:N39)</f>
        <v>0.28891551093774726</v>
      </c>
      <c r="K41" s="49"/>
      <c r="L41" s="49"/>
      <c r="M41" s="49"/>
      <c r="N41" s="50"/>
    </row>
    <row r="42" spans="1:15" ht="20.25" customHeight="1" x14ac:dyDescent="0.15">
      <c r="A42" s="63" t="s">
        <v>152</v>
      </c>
      <c r="B42" s="12">
        <v>0.05</v>
      </c>
      <c r="C42" s="6" t="s">
        <v>52</v>
      </c>
      <c r="D42" s="117"/>
      <c r="E42" s="49">
        <f ca="1">D67-E67</f>
        <v>-20</v>
      </c>
      <c r="F42" s="49">
        <f t="shared" ref="F42:H43" ca="1" si="16">E67-F67</f>
        <v>-22</v>
      </c>
      <c r="G42" s="49">
        <f t="shared" ca="1" si="16"/>
        <v>-24.199999999999989</v>
      </c>
      <c r="H42" s="49">
        <f t="shared" ca="1" si="16"/>
        <v>-26.620000000000005</v>
      </c>
      <c r="I42" s="56" t="s">
        <v>175</v>
      </c>
      <c r="J42" s="126">
        <f ca="1">-N39/J39</f>
        <v>2.7599283035108848</v>
      </c>
      <c r="K42" s="49"/>
      <c r="L42" s="49"/>
      <c r="M42" s="49"/>
      <c r="N42" s="50"/>
    </row>
    <row r="43" spans="1:15" ht="20" customHeight="1" x14ac:dyDescent="0.15">
      <c r="A43" s="63" t="s">
        <v>112</v>
      </c>
      <c r="B43" s="64">
        <v>10</v>
      </c>
      <c r="C43" s="6" t="s">
        <v>53</v>
      </c>
      <c r="D43" s="117"/>
      <c r="E43" s="49">
        <f ca="1">D68-E68</f>
        <v>-10</v>
      </c>
      <c r="F43" s="49">
        <f t="shared" ca="1" si="16"/>
        <v>-11</v>
      </c>
      <c r="G43" s="49">
        <f t="shared" ca="1" si="16"/>
        <v>-12.099999999999994</v>
      </c>
      <c r="H43" s="49">
        <f t="shared" ca="1" si="16"/>
        <v>-13.310000000000002</v>
      </c>
    </row>
    <row r="44" spans="1:15" ht="20.25" customHeight="1" x14ac:dyDescent="0.15">
      <c r="A44" s="2" t="s">
        <v>0</v>
      </c>
      <c r="B44" s="3"/>
      <c r="C44" s="6" t="s">
        <v>54</v>
      </c>
      <c r="D44" s="117"/>
      <c r="E44" s="49">
        <f ca="1">E76-D76</f>
        <v>10</v>
      </c>
      <c r="F44" s="49">
        <f t="shared" ref="F44:H45" ca="1" si="17">F76-E76</f>
        <v>11</v>
      </c>
      <c r="G44" s="49">
        <f t="shared" ca="1" si="17"/>
        <v>12.099999999999994</v>
      </c>
      <c r="H44" s="49">
        <f t="shared" ca="1" si="17"/>
        <v>13.310000000000002</v>
      </c>
      <c r="M44" s="68"/>
    </row>
    <row r="45" spans="1:15" ht="20" customHeight="1" x14ac:dyDescent="0.15">
      <c r="A45" s="22" t="s">
        <v>64</v>
      </c>
      <c r="B45" s="19"/>
      <c r="C45" s="6" t="s">
        <v>55</v>
      </c>
      <c r="D45" s="117"/>
      <c r="E45" s="49">
        <f>E77-D77</f>
        <v>5</v>
      </c>
      <c r="F45" s="49">
        <f t="shared" si="17"/>
        <v>5.5</v>
      </c>
      <c r="G45" s="49">
        <f t="shared" si="17"/>
        <v>6.0499999999999972</v>
      </c>
      <c r="H45" s="49">
        <f t="shared" si="17"/>
        <v>6.6550000000000011</v>
      </c>
      <c r="J45" s="129"/>
      <c r="K45" s="128"/>
      <c r="L45" s="128"/>
      <c r="M45" s="128"/>
      <c r="N45" s="128"/>
      <c r="O45" s="128"/>
    </row>
    <row r="46" spans="1:15" ht="20" customHeight="1" x14ac:dyDescent="0.15">
      <c r="A46" s="22" t="s">
        <v>65</v>
      </c>
      <c r="B46" s="19"/>
      <c r="C46" s="6" t="s">
        <v>56</v>
      </c>
      <c r="D46" s="17"/>
      <c r="E46" s="17">
        <f ca="1">SUM(E39:E45)</f>
        <v>120.83624563155266</v>
      </c>
      <c r="F46" s="17">
        <f ca="1">SUM(F39:F45)</f>
        <v>140.83531552670991</v>
      </c>
      <c r="G46" s="17">
        <f ca="1">SUM(G39:G45)</f>
        <v>163.84960556864701</v>
      </c>
      <c r="H46" s="18">
        <f ca="1">SUM(H39:H45)</f>
        <v>190.67422900253021</v>
      </c>
      <c r="J46" s="127"/>
    </row>
    <row r="47" spans="1:15" ht="20" customHeight="1" x14ac:dyDescent="0.15">
      <c r="A47" s="6" t="s">
        <v>66</v>
      </c>
      <c r="B47" s="92">
        <f>B11</f>
        <v>150</v>
      </c>
      <c r="C47" s="4"/>
      <c r="D47" s="17"/>
      <c r="E47" s="17"/>
      <c r="F47" s="17"/>
      <c r="G47" s="17"/>
      <c r="H47" s="18"/>
      <c r="J47" s="127"/>
    </row>
    <row r="48" spans="1:15" ht="20" customHeight="1" x14ac:dyDescent="0.15">
      <c r="A48" s="6" t="s">
        <v>13</v>
      </c>
      <c r="B48" s="92">
        <f>B17</f>
        <v>600</v>
      </c>
      <c r="C48" s="6" t="s">
        <v>57</v>
      </c>
      <c r="D48" s="49"/>
      <c r="E48" s="49">
        <f t="shared" ref="E48:H48" si="18">-E7*$B$30</f>
        <v>-33</v>
      </c>
      <c r="F48" s="49">
        <f t="shared" si="18"/>
        <v>-36.299999999999997</v>
      </c>
      <c r="G48" s="49">
        <f t="shared" si="18"/>
        <v>-39.93</v>
      </c>
      <c r="H48" s="49">
        <f t="shared" si="18"/>
        <v>-43.922999999999995</v>
      </c>
      <c r="I48" s="68"/>
      <c r="J48" s="128"/>
    </row>
    <row r="49" spans="1:13" ht="20" customHeight="1" x14ac:dyDescent="0.15">
      <c r="A49" s="6" t="s">
        <v>67</v>
      </c>
      <c r="B49" s="93">
        <f>B14</f>
        <v>1200</v>
      </c>
      <c r="C49" s="6" t="s">
        <v>58</v>
      </c>
      <c r="D49" s="17"/>
      <c r="E49" s="17">
        <f>SUM(E48)</f>
        <v>-33</v>
      </c>
      <c r="F49" s="17">
        <f>SUM(F48)</f>
        <v>-36.299999999999997</v>
      </c>
      <c r="G49" s="17">
        <f>SUM(G48)</f>
        <v>-39.93</v>
      </c>
      <c r="H49" s="18">
        <f>SUM(H48)</f>
        <v>-43.922999999999995</v>
      </c>
      <c r="J49" s="128"/>
    </row>
    <row r="50" spans="1:13" ht="20" customHeight="1" x14ac:dyDescent="0.15">
      <c r="A50" s="6" t="s">
        <v>68</v>
      </c>
      <c r="B50" s="18">
        <f>B62-(B47+B48+B49)</f>
        <v>815</v>
      </c>
      <c r="C50" s="4"/>
      <c r="D50" s="17"/>
      <c r="E50" s="17"/>
      <c r="F50" s="17"/>
      <c r="G50" s="17"/>
      <c r="H50" s="18"/>
      <c r="J50" s="128"/>
    </row>
    <row r="51" spans="1:13" ht="20" customHeight="1" x14ac:dyDescent="0.15">
      <c r="A51" s="4"/>
      <c r="B51" s="19"/>
      <c r="C51" s="22" t="s">
        <v>59</v>
      </c>
      <c r="D51" s="37"/>
      <c r="E51" s="37">
        <f t="shared" ref="E51:H51" ca="1" si="19">E46+E49</f>
        <v>87.836245631552657</v>
      </c>
      <c r="F51" s="37">
        <f t="shared" ca="1" si="19"/>
        <v>104.53531552670991</v>
      </c>
      <c r="G51" s="37">
        <f t="shared" ca="1" si="19"/>
        <v>123.919605568647</v>
      </c>
      <c r="H51" s="37">
        <f t="shared" ca="1" si="19"/>
        <v>146.75122900253021</v>
      </c>
    </row>
    <row r="52" spans="1:13" ht="20" customHeight="1" x14ac:dyDescent="0.15">
      <c r="A52" s="6" t="s">
        <v>69</v>
      </c>
      <c r="B52" s="18">
        <f>B50*(1-B37)</f>
        <v>733.5</v>
      </c>
      <c r="C52" s="4"/>
      <c r="D52" s="17"/>
      <c r="E52" s="17"/>
      <c r="F52" s="17"/>
      <c r="G52" s="17"/>
      <c r="H52" s="18"/>
    </row>
    <row r="53" spans="1:13" ht="20" customHeight="1" x14ac:dyDescent="0.15">
      <c r="A53" s="76" t="s">
        <v>151</v>
      </c>
      <c r="B53" s="18">
        <f>B50*B37</f>
        <v>81.5</v>
      </c>
      <c r="C53" s="76" t="s">
        <v>149</v>
      </c>
      <c r="E53" s="47">
        <f ca="1">SUM(K97:K98)</f>
        <v>-75.836245631552657</v>
      </c>
      <c r="F53" s="47">
        <f t="shared" ref="F53:H53" ca="1" si="20">SUM(L97:L98)</f>
        <v>-74.163754368447343</v>
      </c>
      <c r="G53" s="47">
        <f t="shared" ca="1" si="20"/>
        <v>0</v>
      </c>
      <c r="H53" s="47">
        <f t="shared" ca="1" si="20"/>
        <v>0</v>
      </c>
    </row>
    <row r="54" spans="1:13" ht="20" customHeight="1" x14ac:dyDescent="0.15">
      <c r="A54" s="4"/>
      <c r="B54" s="23">
        <f>SUM(B47+B48+B52+B53+B49)</f>
        <v>2765</v>
      </c>
      <c r="C54" s="76" t="s">
        <v>144</v>
      </c>
      <c r="D54" s="17"/>
      <c r="E54" s="47">
        <f ca="1">SUM(K112:K113)</f>
        <v>0</v>
      </c>
      <c r="F54" s="47">
        <f t="shared" ref="F54:H54" ca="1" si="21">SUM(L112:L113)</f>
        <v>-18.371561158262551</v>
      </c>
      <c r="G54" s="47">
        <f t="shared" ca="1" si="21"/>
        <v>-111.919605568647</v>
      </c>
      <c r="H54" s="47">
        <f t="shared" ca="1" si="21"/>
        <v>-134.75122900253021</v>
      </c>
    </row>
    <row r="55" spans="1:13" ht="20" customHeight="1" x14ac:dyDescent="0.15">
      <c r="A55" s="4"/>
      <c r="B55" s="19"/>
      <c r="C55" s="6" t="s">
        <v>60</v>
      </c>
      <c r="D55" s="17"/>
      <c r="E55" s="47">
        <f>SUM(K125:K126)</f>
        <v>0</v>
      </c>
      <c r="F55" s="47">
        <f t="shared" ref="F55:H55" si="22">SUM(L125:L126)</f>
        <v>0</v>
      </c>
      <c r="G55" s="47">
        <f t="shared" si="22"/>
        <v>0</v>
      </c>
      <c r="H55" s="47">
        <f t="shared" si="22"/>
        <v>0</v>
      </c>
    </row>
    <row r="56" spans="1:13" ht="20" customHeight="1" x14ac:dyDescent="0.15">
      <c r="A56" s="22" t="s">
        <v>71</v>
      </c>
      <c r="B56" s="19"/>
      <c r="C56" s="6" t="s">
        <v>61</v>
      </c>
      <c r="D56" s="17"/>
      <c r="E56" s="47">
        <f>K94</f>
        <v>-12</v>
      </c>
      <c r="F56" s="47">
        <f>L94</f>
        <v>-12</v>
      </c>
      <c r="G56" s="47">
        <f>M94</f>
        <v>-12</v>
      </c>
      <c r="H56" s="47">
        <f>N94</f>
        <v>-12</v>
      </c>
    </row>
    <row r="57" spans="1:13" ht="20" customHeight="1" x14ac:dyDescent="0.15">
      <c r="A57" s="6" t="s">
        <v>72</v>
      </c>
      <c r="B57" s="21">
        <f>B9</f>
        <v>500</v>
      </c>
      <c r="C57" s="11" t="s">
        <v>62</v>
      </c>
      <c r="D57" s="38"/>
      <c r="E57" s="38">
        <f ca="1">SUM(E53:E56)</f>
        <v>-87.836245631552657</v>
      </c>
      <c r="F57" s="38">
        <f ca="1">SUM(F53:F56)</f>
        <v>-104.53531552670989</v>
      </c>
      <c r="G57" s="38">
        <f ca="1">SUM(G53:G56)</f>
        <v>-123.919605568647</v>
      </c>
      <c r="H57" s="39">
        <f ca="1">SUM(H53:H56)</f>
        <v>-146.75122900253021</v>
      </c>
    </row>
    <row r="58" spans="1:13" ht="20" customHeight="1" x14ac:dyDescent="0.15">
      <c r="A58" s="6" t="s">
        <v>73</v>
      </c>
      <c r="B58" s="15">
        <f>B22-B9</f>
        <v>2200</v>
      </c>
      <c r="C58" s="69" t="s">
        <v>145</v>
      </c>
      <c r="D58" s="17"/>
      <c r="E58" s="17">
        <f ca="1">E51+E57</f>
        <v>0</v>
      </c>
      <c r="F58" s="17">
        <f t="shared" ref="F58:H58" ca="1" si="23">F51+F57</f>
        <v>0</v>
      </c>
      <c r="G58" s="17">
        <f t="shared" ca="1" si="23"/>
        <v>0</v>
      </c>
      <c r="H58" s="17">
        <f t="shared" ca="1" si="23"/>
        <v>0</v>
      </c>
    </row>
    <row r="59" spans="1:13" ht="20" customHeight="1" x14ac:dyDescent="0.15">
      <c r="A59" s="6" t="s">
        <v>74</v>
      </c>
      <c r="B59" s="98">
        <f>B38</f>
        <v>20</v>
      </c>
      <c r="C59" s="69" t="s">
        <v>146</v>
      </c>
      <c r="D59" s="49"/>
      <c r="E59" s="47">
        <f>D66</f>
        <v>25</v>
      </c>
      <c r="F59" s="17">
        <f ca="1">E60</f>
        <v>25</v>
      </c>
      <c r="G59" s="17">
        <f t="shared" ref="G59:H59" ca="1" si="24">F60</f>
        <v>25</v>
      </c>
      <c r="H59" s="17">
        <f t="shared" ca="1" si="24"/>
        <v>25</v>
      </c>
    </row>
    <row r="60" spans="1:13" ht="20" customHeight="1" x14ac:dyDescent="0.15">
      <c r="A60" s="6" t="s">
        <v>75</v>
      </c>
      <c r="B60" s="99">
        <f>B34*(B48+B49)</f>
        <v>45</v>
      </c>
      <c r="C60" s="69" t="s">
        <v>147</v>
      </c>
      <c r="D60" s="17"/>
      <c r="E60" s="17">
        <f ca="1">SUM(E58:E59)</f>
        <v>25</v>
      </c>
      <c r="F60" s="17">
        <f t="shared" ref="F60:H60" ca="1" si="25">SUM(F58:F59)</f>
        <v>25</v>
      </c>
      <c r="G60" s="17">
        <f t="shared" ca="1" si="25"/>
        <v>25</v>
      </c>
      <c r="H60" s="17">
        <f t="shared" ca="1" si="25"/>
        <v>25</v>
      </c>
    </row>
    <row r="61" spans="1:13" ht="20" customHeight="1" x14ac:dyDescent="0.15">
      <c r="A61" s="76" t="s">
        <v>70</v>
      </c>
      <c r="B61" s="92">
        <f>B7*B29</f>
        <v>0</v>
      </c>
      <c r="C61" s="2" t="s">
        <v>0</v>
      </c>
      <c r="D61" s="85" t="s">
        <v>76</v>
      </c>
      <c r="E61" s="86"/>
      <c r="F61" s="86"/>
      <c r="G61" s="86"/>
      <c r="H61" s="3"/>
      <c r="I61" s="2" t="s">
        <v>93</v>
      </c>
      <c r="J61" s="26" t="s">
        <v>94</v>
      </c>
      <c r="K61" s="27" t="s">
        <v>95</v>
      </c>
      <c r="L61" s="29" t="s">
        <v>96</v>
      </c>
      <c r="M61" s="42">
        <f>(J79+J80+J81+J82+J84)-(J66+J72)</f>
        <v>1445</v>
      </c>
    </row>
    <row r="62" spans="1:13" ht="20" customHeight="1" x14ac:dyDescent="0.15">
      <c r="A62" s="24"/>
      <c r="B62" s="25">
        <f>SUM(B57:B61)</f>
        <v>2765</v>
      </c>
      <c r="C62" s="4"/>
      <c r="D62" s="13"/>
      <c r="E62" s="14">
        <v>1</v>
      </c>
      <c r="F62" s="14">
        <v>2</v>
      </c>
      <c r="G62" s="14">
        <v>3</v>
      </c>
      <c r="H62" s="15">
        <v>4</v>
      </c>
      <c r="I62" s="87">
        <v>2022</v>
      </c>
      <c r="J62" s="13"/>
      <c r="K62" s="19"/>
    </row>
    <row r="63" spans="1:13" ht="20" customHeight="1" x14ac:dyDescent="0.15">
      <c r="C63" s="4"/>
      <c r="D63" s="16">
        <v>2022</v>
      </c>
      <c r="E63" s="16">
        <v>2023</v>
      </c>
      <c r="F63" s="16">
        <v>2024</v>
      </c>
      <c r="G63" s="16">
        <v>2025</v>
      </c>
      <c r="H63" s="5">
        <v>2026</v>
      </c>
      <c r="I63" s="28"/>
      <c r="J63" s="13"/>
      <c r="K63" s="19"/>
    </row>
    <row r="64" spans="1:13" ht="20" customHeight="1" x14ac:dyDescent="0.15">
      <c r="C64" s="22" t="s">
        <v>77</v>
      </c>
      <c r="D64" s="70">
        <f t="shared" ref="D64:D71" si="26">K64</f>
        <v>2915</v>
      </c>
      <c r="E64" s="37">
        <f ca="1">E65+E69</f>
        <v>2936.75</v>
      </c>
      <c r="F64" s="37">
        <f ca="1">F65+F69</f>
        <v>2963.25</v>
      </c>
      <c r="G64" s="37">
        <f ca="1">G65+G69</f>
        <v>2994.05</v>
      </c>
      <c r="H64" s="31">
        <f ca="1">H65+H69</f>
        <v>3029.48</v>
      </c>
      <c r="I64" s="40">
        <f>I65+I69</f>
        <v>1450</v>
      </c>
      <c r="J64" s="17"/>
      <c r="K64" s="31">
        <f>K65+K69</f>
        <v>2915</v>
      </c>
    </row>
    <row r="65" spans="3:30" ht="20" customHeight="1" x14ac:dyDescent="0.15">
      <c r="C65" s="22" t="s">
        <v>78</v>
      </c>
      <c r="D65" s="59">
        <f t="shared" si="26"/>
        <v>325</v>
      </c>
      <c r="E65" s="17">
        <f ca="1">SUM(E66:E68)</f>
        <v>355</v>
      </c>
      <c r="F65" s="17">
        <f ca="1">SUM(F66:F68)</f>
        <v>388</v>
      </c>
      <c r="G65" s="17">
        <f ca="1">SUM(G66:G68)</f>
        <v>424.29999999999995</v>
      </c>
      <c r="H65" s="18">
        <f ca="1">SUM(H66:H68)</f>
        <v>464.23</v>
      </c>
      <c r="I65" s="103">
        <f>SUM(I66:I68)</f>
        <v>350</v>
      </c>
      <c r="J65" s="17"/>
      <c r="K65" s="18">
        <f>SUM(K66:K68)</f>
        <v>325</v>
      </c>
      <c r="L65" s="82"/>
      <c r="M65" s="82"/>
      <c r="N65" s="82"/>
    </row>
    <row r="66" spans="3:30" ht="20" customHeight="1" x14ac:dyDescent="0.15">
      <c r="C66" s="6" t="s">
        <v>79</v>
      </c>
      <c r="D66" s="47">
        <f t="shared" si="26"/>
        <v>25</v>
      </c>
      <c r="E66" s="47">
        <f ca="1">E60</f>
        <v>25</v>
      </c>
      <c r="F66" s="47">
        <f t="shared" ref="F66:H66" ca="1" si="27">F60</f>
        <v>25</v>
      </c>
      <c r="G66" s="47">
        <f t="shared" ca="1" si="27"/>
        <v>25</v>
      </c>
      <c r="H66" s="47">
        <f t="shared" ca="1" si="27"/>
        <v>25</v>
      </c>
      <c r="I66" s="71">
        <v>50</v>
      </c>
      <c r="J66" s="17">
        <f>-I66+B36</f>
        <v>-25</v>
      </c>
      <c r="K66" s="18">
        <f>I66+J66</f>
        <v>25</v>
      </c>
    </row>
    <row r="67" spans="3:30" ht="20" customHeight="1" x14ac:dyDescent="0.15">
      <c r="C67" s="6" t="s">
        <v>80</v>
      </c>
      <c r="D67" s="47">
        <f t="shared" si="26"/>
        <v>200</v>
      </c>
      <c r="E67" s="47">
        <f ca="1">E91</f>
        <v>220</v>
      </c>
      <c r="F67" s="47">
        <f t="shared" ref="F67:H68" ca="1" si="28">F91</f>
        <v>242</v>
      </c>
      <c r="G67" s="47">
        <f t="shared" ca="1" si="28"/>
        <v>266.2</v>
      </c>
      <c r="H67" s="47">
        <f t="shared" ca="1" si="28"/>
        <v>292.82</v>
      </c>
      <c r="I67" s="71">
        <v>200</v>
      </c>
      <c r="J67" s="17"/>
      <c r="K67" s="18">
        <f>SUM(I67:J67)</f>
        <v>200</v>
      </c>
    </row>
    <row r="68" spans="3:30" ht="20" customHeight="1" x14ac:dyDescent="0.15">
      <c r="C68" s="6" t="s">
        <v>81</v>
      </c>
      <c r="D68" s="47">
        <f t="shared" si="26"/>
        <v>100</v>
      </c>
      <c r="E68" s="47">
        <f ca="1">E92</f>
        <v>110</v>
      </c>
      <c r="F68" s="47">
        <f t="shared" ca="1" si="28"/>
        <v>121</v>
      </c>
      <c r="G68" s="47">
        <f t="shared" ca="1" si="28"/>
        <v>133.1</v>
      </c>
      <c r="H68" s="47">
        <f t="shared" ca="1" si="28"/>
        <v>146.41</v>
      </c>
      <c r="I68" s="71">
        <v>100</v>
      </c>
      <c r="J68" s="17"/>
      <c r="K68" s="18">
        <f>SUM(I68:J68)</f>
        <v>100</v>
      </c>
      <c r="L68" s="82"/>
      <c r="M68" s="82"/>
    </row>
    <row r="69" spans="3:30" ht="20" customHeight="1" x14ac:dyDescent="0.15">
      <c r="C69" s="22" t="s">
        <v>82</v>
      </c>
      <c r="D69" s="59">
        <f t="shared" si="26"/>
        <v>2590</v>
      </c>
      <c r="E69" s="17">
        <f>SUM(E70:E72)</f>
        <v>2581.75</v>
      </c>
      <c r="F69" s="17">
        <f t="shared" ref="F69:H69" si="29">SUM(F70:F72)</f>
        <v>2575.25</v>
      </c>
      <c r="G69" s="17">
        <f t="shared" si="29"/>
        <v>2569.75</v>
      </c>
      <c r="H69" s="17">
        <f t="shared" si="29"/>
        <v>2565.25</v>
      </c>
      <c r="I69" s="103">
        <f>SUM(I70:I72)</f>
        <v>1100</v>
      </c>
      <c r="J69" s="17"/>
      <c r="K69" s="18">
        <f>SUM(K70:K72)</f>
        <v>2590</v>
      </c>
      <c r="L69" s="82"/>
      <c r="M69" s="82"/>
      <c r="N69" s="82"/>
    </row>
    <row r="70" spans="3:30" ht="20" customHeight="1" x14ac:dyDescent="0.15">
      <c r="C70" s="6" t="s">
        <v>83</v>
      </c>
      <c r="D70" s="47">
        <f t="shared" si="26"/>
        <v>1216.75</v>
      </c>
      <c r="E70" s="88">
        <f>F119</f>
        <v>1213</v>
      </c>
      <c r="F70" s="88">
        <f t="shared" ref="F70:H70" si="30">G119</f>
        <v>1211</v>
      </c>
      <c r="G70" s="88">
        <f t="shared" si="30"/>
        <v>1210</v>
      </c>
      <c r="H70" s="88">
        <v>1210</v>
      </c>
      <c r="I70" s="71">
        <v>1000</v>
      </c>
      <c r="J70" s="17">
        <f>M61*B24</f>
        <v>216.75</v>
      </c>
      <c r="K70" s="18">
        <f>SUM(I70:J70)</f>
        <v>1216.75</v>
      </c>
    </row>
    <row r="71" spans="3:30" ht="20" customHeight="1" x14ac:dyDescent="0.15">
      <c r="C71" s="6" t="s">
        <v>84</v>
      </c>
      <c r="D71" s="47">
        <f t="shared" si="26"/>
        <v>1328.25</v>
      </c>
      <c r="E71" s="17">
        <f>D71</f>
        <v>1328.25</v>
      </c>
      <c r="F71" s="17">
        <f t="shared" ref="F71:H71" si="31">E71</f>
        <v>1328.25</v>
      </c>
      <c r="G71" s="17">
        <f t="shared" si="31"/>
        <v>1328.25</v>
      </c>
      <c r="H71" s="17">
        <f t="shared" si="31"/>
        <v>1328.25</v>
      </c>
      <c r="I71" s="71">
        <v>100</v>
      </c>
      <c r="J71" s="17">
        <f>M61*(1-B24)</f>
        <v>1228.25</v>
      </c>
      <c r="K71" s="18">
        <f>SUM(I71:J71)</f>
        <v>1328.25</v>
      </c>
    </row>
    <row r="72" spans="3:30" ht="20" customHeight="1" x14ac:dyDescent="0.15">
      <c r="C72" s="69" t="s">
        <v>75</v>
      </c>
      <c r="D72" s="47">
        <f>B60</f>
        <v>45</v>
      </c>
      <c r="E72" s="17">
        <f>D72+E115</f>
        <v>40.5</v>
      </c>
      <c r="F72" s="17">
        <f t="shared" ref="F72:H72" si="32">E72+F115</f>
        <v>36</v>
      </c>
      <c r="G72" s="17">
        <f t="shared" si="32"/>
        <v>31.5</v>
      </c>
      <c r="H72" s="17">
        <f t="shared" si="32"/>
        <v>27</v>
      </c>
      <c r="I72" s="109">
        <v>0</v>
      </c>
      <c r="J72" s="88">
        <v>45</v>
      </c>
      <c r="K72" s="18">
        <f>SUM(I72:J72)</f>
        <v>45</v>
      </c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</row>
    <row r="73" spans="3:30" ht="20" customHeight="1" x14ac:dyDescent="0.15">
      <c r="C73" s="22" t="s">
        <v>85</v>
      </c>
      <c r="D73" s="70">
        <f t="shared" ref="D73:D82" si="33">K73</f>
        <v>2915</v>
      </c>
      <c r="E73" s="37">
        <f ca="1">E74+E84</f>
        <v>2937</v>
      </c>
      <c r="F73" s="37">
        <f ca="1">F74+F84</f>
        <v>2963.3</v>
      </c>
      <c r="G73" s="37">
        <f ca="1">G74+G84</f>
        <v>2993.5299999999997</v>
      </c>
      <c r="H73" s="31">
        <f ca="1">H74+H84</f>
        <v>3029.3829999999998</v>
      </c>
      <c r="I73" s="40">
        <f>I74+I84</f>
        <v>1450</v>
      </c>
      <c r="J73" s="17"/>
      <c r="K73" s="31">
        <f>K74+K84</f>
        <v>2915</v>
      </c>
      <c r="L73" s="82"/>
      <c r="M73" s="82"/>
      <c r="N73" s="82"/>
    </row>
    <row r="74" spans="3:30" ht="20" customHeight="1" x14ac:dyDescent="0.15">
      <c r="C74" s="22" t="s">
        <v>86</v>
      </c>
      <c r="D74" s="47">
        <f t="shared" si="33"/>
        <v>2100</v>
      </c>
      <c r="E74" s="17">
        <f ca="1">E75+E78</f>
        <v>2057.1637543684474</v>
      </c>
      <c r="F74" s="17">
        <f ca="1">F75+F78</f>
        <v>2000.6284388417375</v>
      </c>
      <c r="G74" s="17">
        <f ca="1">G75+G78</f>
        <v>1927.9338332730904</v>
      </c>
      <c r="H74" s="18">
        <f ca="1">H75+H78</f>
        <v>1835.8763542705603</v>
      </c>
      <c r="I74" s="103">
        <f>I75+I78</f>
        <v>650</v>
      </c>
      <c r="J74" s="17"/>
      <c r="K74" s="18">
        <f>K75+K78</f>
        <v>2100</v>
      </c>
      <c r="L74" s="84"/>
      <c r="M74" s="84"/>
      <c r="N74" s="84"/>
    </row>
    <row r="75" spans="3:30" ht="20" customHeight="1" x14ac:dyDescent="0.15">
      <c r="C75" s="22" t="s">
        <v>87</v>
      </c>
      <c r="D75" s="47">
        <f t="shared" si="33"/>
        <v>150</v>
      </c>
      <c r="E75" s="17">
        <f ca="1">SUM(E76:E77)</f>
        <v>165</v>
      </c>
      <c r="F75" s="17">
        <f ca="1">SUM(F76:F77)</f>
        <v>181.5</v>
      </c>
      <c r="G75" s="17">
        <f ca="1">SUM(G76:G77)</f>
        <v>199.64999999999998</v>
      </c>
      <c r="H75" s="18">
        <f ca="1">SUM(H76:H77)</f>
        <v>219.61500000000001</v>
      </c>
      <c r="I75" s="103">
        <f>SUM(I76:I77)</f>
        <v>150</v>
      </c>
      <c r="J75" s="17"/>
      <c r="K75" s="18">
        <f>SUM(I75:J75)</f>
        <v>150</v>
      </c>
    </row>
    <row r="76" spans="3:30" ht="20" customHeight="1" x14ac:dyDescent="0.15">
      <c r="C76" s="6" t="s">
        <v>88</v>
      </c>
      <c r="D76" s="47">
        <f t="shared" si="33"/>
        <v>100</v>
      </c>
      <c r="E76" s="47">
        <f ca="1">E95</f>
        <v>110</v>
      </c>
      <c r="F76" s="47">
        <f t="shared" ref="F76:H76" ca="1" si="34">F95</f>
        <v>121</v>
      </c>
      <c r="G76" s="47">
        <f t="shared" ca="1" si="34"/>
        <v>133.1</v>
      </c>
      <c r="H76" s="47">
        <f t="shared" ca="1" si="34"/>
        <v>146.41</v>
      </c>
      <c r="I76" s="71">
        <v>100</v>
      </c>
      <c r="J76" s="17"/>
      <c r="K76" s="18">
        <f>SUM(I76:J76)</f>
        <v>100</v>
      </c>
      <c r="O76" s="82"/>
    </row>
    <row r="77" spans="3:30" ht="20" customHeight="1" x14ac:dyDescent="0.15">
      <c r="C77" s="6" t="s">
        <v>89</v>
      </c>
      <c r="D77" s="47">
        <f t="shared" si="33"/>
        <v>50</v>
      </c>
      <c r="E77" s="47">
        <f>E96</f>
        <v>55</v>
      </c>
      <c r="F77" s="47">
        <f t="shared" ref="F77:H77" si="35">F96</f>
        <v>60.5</v>
      </c>
      <c r="G77" s="47">
        <f t="shared" si="35"/>
        <v>66.55</v>
      </c>
      <c r="H77" s="47">
        <f t="shared" si="35"/>
        <v>73.204999999999998</v>
      </c>
      <c r="I77" s="71">
        <v>50</v>
      </c>
      <c r="J77" s="17"/>
      <c r="K77" s="18">
        <f>SUM(I77:J77)</f>
        <v>50</v>
      </c>
    </row>
    <row r="78" spans="3:30" ht="20" customHeight="1" x14ac:dyDescent="0.15">
      <c r="C78" s="22" t="s">
        <v>90</v>
      </c>
      <c r="D78" s="59">
        <f t="shared" si="33"/>
        <v>1950</v>
      </c>
      <c r="E78" s="17">
        <f ca="1">SUM(E79:E82)</f>
        <v>1892.1637543684474</v>
      </c>
      <c r="F78" s="17">
        <f ca="1">SUM(F79:F82)</f>
        <v>1819.1284388417375</v>
      </c>
      <c r="G78" s="17">
        <f ca="1">SUM(G79:G82)</f>
        <v>1728.2838332730905</v>
      </c>
      <c r="H78" s="18">
        <f ca="1">SUM(H79:H82)</f>
        <v>1616.2613542705603</v>
      </c>
      <c r="I78" s="103">
        <f>SUM(I79:I82)</f>
        <v>500</v>
      </c>
      <c r="J78" s="17"/>
      <c r="K78" s="18">
        <f>SUM(K79:K82)</f>
        <v>1950</v>
      </c>
      <c r="L78" s="82"/>
      <c r="M78" s="82"/>
      <c r="N78" s="82"/>
    </row>
    <row r="79" spans="3:30" ht="20.25" customHeight="1" x14ac:dyDescent="0.15">
      <c r="C79" s="6" t="s">
        <v>7</v>
      </c>
      <c r="D79" s="47">
        <f t="shared" si="33"/>
        <v>0</v>
      </c>
      <c r="E79" s="17">
        <f>D79</f>
        <v>0</v>
      </c>
      <c r="F79" s="17">
        <f t="shared" ref="F79:H79" si="36">E79</f>
        <v>0</v>
      </c>
      <c r="G79" s="17">
        <f t="shared" si="36"/>
        <v>0</v>
      </c>
      <c r="H79" s="17">
        <f t="shared" si="36"/>
        <v>0</v>
      </c>
      <c r="I79" s="71">
        <v>500</v>
      </c>
      <c r="J79" s="47">
        <f>-I79</f>
        <v>-500</v>
      </c>
      <c r="K79" s="18">
        <f>SUM(I79:J79)</f>
        <v>0</v>
      </c>
      <c r="L79" s="82"/>
      <c r="M79" s="82"/>
      <c r="N79" s="82"/>
    </row>
    <row r="80" spans="3:30" ht="20" customHeight="1" x14ac:dyDescent="0.15">
      <c r="C80" s="6" t="s">
        <v>66</v>
      </c>
      <c r="D80" s="47">
        <f t="shared" si="33"/>
        <v>150</v>
      </c>
      <c r="E80" s="47">
        <f ca="1">K99</f>
        <v>74.163754368447343</v>
      </c>
      <c r="F80" s="47">
        <f ca="1">L99</f>
        <v>0</v>
      </c>
      <c r="G80" s="47">
        <f ca="1">M99</f>
        <v>0</v>
      </c>
      <c r="H80" s="47">
        <f ca="1">N99</f>
        <v>0</v>
      </c>
      <c r="I80" s="109">
        <v>0</v>
      </c>
      <c r="J80" s="32">
        <f>B47</f>
        <v>150</v>
      </c>
      <c r="K80" s="18">
        <f>SUM(I80:J80)</f>
        <v>150</v>
      </c>
      <c r="O80" s="82"/>
    </row>
    <row r="81" spans="3:15" ht="20.25" customHeight="1" x14ac:dyDescent="0.15">
      <c r="C81" s="76" t="s">
        <v>91</v>
      </c>
      <c r="D81" s="47">
        <f t="shared" si="33"/>
        <v>600</v>
      </c>
      <c r="E81" s="83">
        <f>K128</f>
        <v>630</v>
      </c>
      <c r="F81" s="83">
        <f>L128</f>
        <v>661.5</v>
      </c>
      <c r="G81" s="83">
        <f>M128</f>
        <v>694.57500000000005</v>
      </c>
      <c r="H81" s="83">
        <f>N128</f>
        <v>729.30375000000004</v>
      </c>
      <c r="I81" s="109">
        <v>0</v>
      </c>
      <c r="J81" s="32">
        <f>B48</f>
        <v>600</v>
      </c>
      <c r="K81" s="18">
        <f>SUM(I81:J81)</f>
        <v>600</v>
      </c>
      <c r="O81" s="84"/>
    </row>
    <row r="82" spans="3:15" ht="20" customHeight="1" x14ac:dyDescent="0.15">
      <c r="C82" s="76" t="s">
        <v>148</v>
      </c>
      <c r="D82" s="47">
        <f t="shared" si="33"/>
        <v>1200</v>
      </c>
      <c r="E82" s="47">
        <f ca="1">K115</f>
        <v>1188</v>
      </c>
      <c r="F82" s="47">
        <f ca="1">L115</f>
        <v>1157.6284388417375</v>
      </c>
      <c r="G82" s="47">
        <f ca="1">M115</f>
        <v>1033.7088332730905</v>
      </c>
      <c r="H82" s="47">
        <f ca="1">N115</f>
        <v>886.9576042705603</v>
      </c>
      <c r="I82" s="109">
        <v>0</v>
      </c>
      <c r="J82" s="32">
        <f>B49</f>
        <v>1200</v>
      </c>
      <c r="K82" s="18">
        <f>SUM(I82:J82)</f>
        <v>1200</v>
      </c>
    </row>
    <row r="83" spans="3:15" ht="20" customHeight="1" x14ac:dyDescent="0.15">
      <c r="C83" s="4"/>
      <c r="D83" s="17"/>
      <c r="E83" s="17"/>
      <c r="F83" s="17"/>
      <c r="G83" s="17"/>
      <c r="H83" s="18"/>
      <c r="I83" s="41"/>
      <c r="J83" s="17"/>
      <c r="K83" s="18"/>
    </row>
    <row r="84" spans="3:15" ht="20" customHeight="1" x14ac:dyDescent="0.15">
      <c r="C84" s="20" t="s">
        <v>92</v>
      </c>
      <c r="D84" s="110">
        <f>K84</f>
        <v>815</v>
      </c>
      <c r="E84" s="38">
        <f ca="1">D84+E34</f>
        <v>879.83624563155263</v>
      </c>
      <c r="F84" s="38">
        <f ca="1">E84+F34</f>
        <v>962.67156115826253</v>
      </c>
      <c r="G84" s="38">
        <f ca="1">F84+G34</f>
        <v>1065.5961667269096</v>
      </c>
      <c r="H84" s="38">
        <f ca="1">G84+H34</f>
        <v>1193.5066457294397</v>
      </c>
      <c r="I84" s="104">
        <v>800</v>
      </c>
      <c r="J84" s="105">
        <f>-I84+B52+B53</f>
        <v>15</v>
      </c>
      <c r="K84" s="39">
        <f>SUM(I84:J84)</f>
        <v>815</v>
      </c>
    </row>
    <row r="85" spans="3:15" ht="20" customHeight="1" x14ac:dyDescent="0.15">
      <c r="O85" s="82"/>
    </row>
    <row r="86" spans="3:15" ht="20" customHeight="1" x14ac:dyDescent="0.15">
      <c r="C86" s="2" t="s">
        <v>0</v>
      </c>
      <c r="D86" s="89" t="s">
        <v>97</v>
      </c>
      <c r="E86" s="90"/>
      <c r="F86" s="90"/>
      <c r="G86" s="90"/>
      <c r="H86" s="91"/>
      <c r="I86" s="2" t="s">
        <v>0</v>
      </c>
      <c r="J86" s="106" t="s">
        <v>120</v>
      </c>
      <c r="K86" s="107"/>
      <c r="L86" s="107"/>
      <c r="M86" s="107"/>
      <c r="N86" s="108"/>
      <c r="O86" s="82"/>
    </row>
    <row r="87" spans="3:15" ht="20" customHeight="1" x14ac:dyDescent="0.15">
      <c r="C87" s="4"/>
      <c r="D87" s="13"/>
      <c r="E87" s="14">
        <v>1</v>
      </c>
      <c r="F87" s="14">
        <v>2</v>
      </c>
      <c r="G87" s="14">
        <v>3</v>
      </c>
      <c r="H87" s="15">
        <v>4</v>
      </c>
      <c r="I87" s="4"/>
      <c r="J87" s="13"/>
      <c r="K87" s="14">
        <v>1</v>
      </c>
      <c r="L87" s="14">
        <v>2</v>
      </c>
      <c r="M87" s="14">
        <v>3</v>
      </c>
      <c r="N87" s="15">
        <v>4</v>
      </c>
    </row>
    <row r="88" spans="3:15" ht="20" customHeight="1" x14ac:dyDescent="0.15">
      <c r="C88" s="4"/>
      <c r="D88" s="16">
        <v>2022</v>
      </c>
      <c r="E88" s="16">
        <v>2023</v>
      </c>
      <c r="F88" s="16">
        <v>2024</v>
      </c>
      <c r="G88" s="16">
        <v>2025</v>
      </c>
      <c r="H88" s="5">
        <v>2026</v>
      </c>
      <c r="I88" s="4"/>
      <c r="J88" s="16">
        <v>2022</v>
      </c>
      <c r="K88" s="16">
        <v>2023</v>
      </c>
      <c r="L88" s="16">
        <v>2024</v>
      </c>
      <c r="M88" s="16">
        <v>2025</v>
      </c>
      <c r="N88" s="5">
        <v>2026</v>
      </c>
    </row>
    <row r="89" spans="3:15" ht="20" customHeight="1" x14ac:dyDescent="0.15">
      <c r="C89" s="22" t="s">
        <v>77</v>
      </c>
      <c r="D89" s="30"/>
      <c r="E89" s="13"/>
      <c r="F89" s="13"/>
      <c r="G89" s="13"/>
      <c r="H89" s="19"/>
      <c r="I89" s="51" t="s">
        <v>132</v>
      </c>
      <c r="J89" s="72"/>
      <c r="K89" s="73"/>
      <c r="L89" s="73"/>
      <c r="M89" s="73"/>
      <c r="N89" s="74"/>
    </row>
    <row r="90" spans="3:15" ht="20" customHeight="1" x14ac:dyDescent="0.15">
      <c r="C90" s="22" t="s">
        <v>78</v>
      </c>
      <c r="D90" s="37">
        <f>SUM(D91:D92)</f>
        <v>300</v>
      </c>
      <c r="E90" s="37">
        <f ca="1">SUM(E91:E92)</f>
        <v>330</v>
      </c>
      <c r="F90" s="37">
        <f ca="1">SUM(F91:F92)</f>
        <v>363</v>
      </c>
      <c r="G90" s="37">
        <f ca="1">SUM(G91:G92)</f>
        <v>399.29999999999995</v>
      </c>
      <c r="H90" s="31">
        <f ca="1">SUM(H91:H92)</f>
        <v>439.23</v>
      </c>
      <c r="I90" s="51" t="s">
        <v>121</v>
      </c>
      <c r="J90" s="52"/>
      <c r="K90" s="52">
        <f ca="1">SUM(K91:K94)</f>
        <v>75.836245631552657</v>
      </c>
      <c r="L90" s="52">
        <f ca="1">SUM(L91:L94)</f>
        <v>92.535315526709894</v>
      </c>
      <c r="M90" s="52">
        <f ca="1">SUM(M91:M94)</f>
        <v>111.919605568647</v>
      </c>
      <c r="N90" s="52">
        <f ca="1">SUM(N91:N94)</f>
        <v>134.75122900253021</v>
      </c>
    </row>
    <row r="91" spans="3:15" ht="20" customHeight="1" x14ac:dyDescent="0.15">
      <c r="C91" s="6" t="s">
        <v>98</v>
      </c>
      <c r="D91" s="32">
        <f>D67</f>
        <v>200</v>
      </c>
      <c r="E91" s="17">
        <f ca="1">E101*E106/E104</f>
        <v>220</v>
      </c>
      <c r="F91" s="17">
        <f t="shared" ref="F91:H91" ca="1" si="37">F101*F106/F104</f>
        <v>242</v>
      </c>
      <c r="G91" s="17">
        <f t="shared" ca="1" si="37"/>
        <v>266.2</v>
      </c>
      <c r="H91" s="17">
        <f t="shared" ca="1" si="37"/>
        <v>292.82</v>
      </c>
      <c r="I91" s="56" t="s">
        <v>59</v>
      </c>
      <c r="J91" s="49"/>
      <c r="K91" s="47">
        <f ca="1">E51+D5</f>
        <v>87.836245631552657</v>
      </c>
      <c r="L91" s="47">
        <f ca="1">F51</f>
        <v>104.53531552670991</v>
      </c>
      <c r="M91" s="47">
        <f ca="1">G51</f>
        <v>123.919605568647</v>
      </c>
      <c r="N91" s="47">
        <f ca="1">H51</f>
        <v>146.75122900253021</v>
      </c>
    </row>
    <row r="92" spans="3:15" ht="20" customHeight="1" x14ac:dyDescent="0.15">
      <c r="C92" s="6" t="s">
        <v>81</v>
      </c>
      <c r="D92" s="32">
        <f>D68</f>
        <v>100</v>
      </c>
      <c r="E92" s="17">
        <f ca="1">E102*E107/E104</f>
        <v>110</v>
      </c>
      <c r="F92" s="17">
        <f t="shared" ref="F92:H92" ca="1" si="38">F102*F107/F104</f>
        <v>121</v>
      </c>
      <c r="G92" s="17">
        <f t="shared" ca="1" si="38"/>
        <v>133.1</v>
      </c>
      <c r="H92" s="17">
        <f t="shared" ca="1" si="38"/>
        <v>146.41</v>
      </c>
      <c r="I92" s="56" t="s">
        <v>122</v>
      </c>
      <c r="J92" s="49"/>
      <c r="K92" s="47">
        <f>D66</f>
        <v>25</v>
      </c>
      <c r="L92" s="47">
        <f ca="1">E66</f>
        <v>25</v>
      </c>
      <c r="M92" s="47">
        <f t="shared" ref="M92:N92" ca="1" si="39">F66</f>
        <v>25</v>
      </c>
      <c r="N92" s="47">
        <f t="shared" ca="1" si="39"/>
        <v>25</v>
      </c>
    </row>
    <row r="93" spans="3:15" ht="20" customHeight="1" x14ac:dyDescent="0.15">
      <c r="C93" s="4"/>
      <c r="D93" s="17"/>
      <c r="E93" s="17"/>
      <c r="F93" s="17"/>
      <c r="G93" s="17"/>
      <c r="H93" s="18"/>
      <c r="I93" s="57" t="s">
        <v>123</v>
      </c>
      <c r="J93" s="49"/>
      <c r="K93" s="47">
        <f>-$B$36</f>
        <v>-25</v>
      </c>
      <c r="L93" s="47">
        <f>-$B$36</f>
        <v>-25</v>
      </c>
      <c r="M93" s="47">
        <f>-$B$36</f>
        <v>-25</v>
      </c>
      <c r="N93" s="47">
        <f>-$B$36</f>
        <v>-25</v>
      </c>
    </row>
    <row r="94" spans="3:15" ht="20" customHeight="1" x14ac:dyDescent="0.15">
      <c r="C94" s="22" t="s">
        <v>87</v>
      </c>
      <c r="D94" s="37">
        <f>SUM(D95:D96)</f>
        <v>150</v>
      </c>
      <c r="E94" s="37">
        <f ca="1">SUM(E95:E96)</f>
        <v>165</v>
      </c>
      <c r="F94" s="37">
        <f ca="1">SUM(F95:F96)</f>
        <v>181.5</v>
      </c>
      <c r="G94" s="37">
        <f ca="1">SUM(G95:G96)</f>
        <v>199.64999999999998</v>
      </c>
      <c r="H94" s="31">
        <f ca="1">SUM(H95:H96)</f>
        <v>219.61500000000001</v>
      </c>
      <c r="I94" s="56" t="s">
        <v>124</v>
      </c>
      <c r="J94" s="52"/>
      <c r="K94" s="58">
        <f>K114</f>
        <v>-12</v>
      </c>
      <c r="L94" s="58">
        <f>L114</f>
        <v>-12</v>
      </c>
      <c r="M94" s="58">
        <f>M114</f>
        <v>-12</v>
      </c>
      <c r="N94" s="58">
        <f>N114</f>
        <v>-12</v>
      </c>
    </row>
    <row r="95" spans="3:15" ht="20" customHeight="1" x14ac:dyDescent="0.15">
      <c r="C95" s="6" t="s">
        <v>99</v>
      </c>
      <c r="D95" s="32">
        <f>D76</f>
        <v>100</v>
      </c>
      <c r="E95" s="17">
        <f ca="1">E108*E102/E104</f>
        <v>110</v>
      </c>
      <c r="F95" s="17">
        <f t="shared" ref="F95:H95" ca="1" si="40">F108*F102/F104</f>
        <v>121</v>
      </c>
      <c r="G95" s="17">
        <f t="shared" ca="1" si="40"/>
        <v>133.1</v>
      </c>
      <c r="H95" s="17">
        <f t="shared" ca="1" si="40"/>
        <v>146.41</v>
      </c>
      <c r="I95" s="56"/>
      <c r="J95" s="49"/>
      <c r="K95" s="49"/>
      <c r="L95" s="49"/>
      <c r="M95" s="49"/>
      <c r="N95" s="49"/>
    </row>
    <row r="96" spans="3:15" ht="20" customHeight="1" x14ac:dyDescent="0.15">
      <c r="C96" s="6" t="s">
        <v>100</v>
      </c>
      <c r="D96" s="32">
        <f>D77</f>
        <v>50</v>
      </c>
      <c r="E96" s="17">
        <f>E109*E101</f>
        <v>55</v>
      </c>
      <c r="F96" s="17">
        <f t="shared" ref="F96:H96" si="41">F109*F101</f>
        <v>60.5</v>
      </c>
      <c r="G96" s="17">
        <f t="shared" si="41"/>
        <v>66.55</v>
      </c>
      <c r="H96" s="17">
        <f t="shared" si="41"/>
        <v>73.204999999999998</v>
      </c>
      <c r="I96" s="56" t="s">
        <v>125</v>
      </c>
      <c r="J96" s="49"/>
      <c r="K96" s="47">
        <f>B11</f>
        <v>150</v>
      </c>
      <c r="L96" s="49">
        <f ca="1">K99</f>
        <v>74.163754368447343</v>
      </c>
      <c r="M96" s="49">
        <f ca="1">L99</f>
        <v>0</v>
      </c>
      <c r="N96" s="49">
        <f ca="1">M99</f>
        <v>0</v>
      </c>
    </row>
    <row r="97" spans="3:14" ht="20" customHeight="1" x14ac:dyDescent="0.15">
      <c r="C97" s="4"/>
      <c r="D97" s="17"/>
      <c r="E97" s="17"/>
      <c r="F97" s="17"/>
      <c r="G97" s="17"/>
      <c r="H97" s="18"/>
      <c r="I97" s="57" t="s">
        <v>126</v>
      </c>
      <c r="J97" s="49"/>
      <c r="K97" s="49">
        <v>0</v>
      </c>
      <c r="L97" s="49">
        <v>0</v>
      </c>
      <c r="M97" s="49">
        <v>0</v>
      </c>
      <c r="N97" s="49">
        <v>0</v>
      </c>
    </row>
    <row r="98" spans="3:14" ht="20" customHeight="1" x14ac:dyDescent="0.15">
      <c r="C98" s="22" t="s">
        <v>101</v>
      </c>
      <c r="D98" s="37">
        <f>D90-D94</f>
        <v>150</v>
      </c>
      <c r="E98" s="37">
        <f ca="1">E90-E94</f>
        <v>165</v>
      </c>
      <c r="F98" s="37">
        <f ca="1">F90-F94</f>
        <v>181.5</v>
      </c>
      <c r="G98" s="37">
        <f ca="1">G90-G94</f>
        <v>199.64999999999998</v>
      </c>
      <c r="H98" s="31">
        <f ca="1">H90-H94</f>
        <v>219.61500000000001</v>
      </c>
      <c r="I98" s="56" t="s">
        <v>127</v>
      </c>
      <c r="J98" s="52"/>
      <c r="K98" s="58">
        <f ca="1">-MAX(MIN(K96,K90),0)</f>
        <v>-75.836245631552657</v>
      </c>
      <c r="L98" s="58">
        <f ca="1">-MAX(MIN(L96,L90),0)</f>
        <v>-74.163754368447343</v>
      </c>
      <c r="M98" s="58">
        <f ca="1">-MAX(MIN(M96,M90),0)</f>
        <v>0</v>
      </c>
      <c r="N98" s="58">
        <f ca="1">-MAX(MIN(N96,N90),0)</f>
        <v>0</v>
      </c>
    </row>
    <row r="99" spans="3:14" ht="20" customHeight="1" x14ac:dyDescent="0.15">
      <c r="C99" s="6" t="s">
        <v>102</v>
      </c>
      <c r="D99" s="17"/>
      <c r="E99" s="17">
        <f ca="1">D98-E98</f>
        <v>-15</v>
      </c>
      <c r="F99" s="17">
        <f ca="1">E98-F98</f>
        <v>-16.5</v>
      </c>
      <c r="G99" s="17">
        <f ca="1">F98-G98</f>
        <v>-18.149999999999977</v>
      </c>
      <c r="H99" s="18">
        <f ca="1">G98-H98</f>
        <v>-19.965000000000032</v>
      </c>
      <c r="I99" s="56" t="s">
        <v>128</v>
      </c>
      <c r="J99" s="49"/>
      <c r="K99" s="49">
        <f ca="1">SUM(K96:K98)</f>
        <v>74.163754368447343</v>
      </c>
      <c r="L99" s="49">
        <f ca="1">SUM(L96:L98)</f>
        <v>0</v>
      </c>
      <c r="M99" s="49">
        <f ca="1">SUM(M96:M98)</f>
        <v>0</v>
      </c>
      <c r="N99" s="49">
        <f ca="1">SUM(N96:N98)</f>
        <v>0</v>
      </c>
    </row>
    <row r="100" spans="3:14" ht="20" customHeight="1" x14ac:dyDescent="0.15">
      <c r="C100" s="28"/>
      <c r="D100" s="17"/>
      <c r="E100" s="17"/>
      <c r="F100" s="17"/>
      <c r="G100" s="17"/>
      <c r="H100" s="18"/>
      <c r="I100" s="57" t="s">
        <v>140</v>
      </c>
      <c r="J100" s="60"/>
      <c r="K100" s="113">
        <f t="shared" ref="K100:N100" si="42">$B$12</f>
        <v>0.04</v>
      </c>
      <c r="L100" s="113">
        <f t="shared" si="42"/>
        <v>0.04</v>
      </c>
      <c r="M100" s="113">
        <f t="shared" si="42"/>
        <v>0.04</v>
      </c>
      <c r="N100" s="113">
        <f t="shared" si="42"/>
        <v>0.04</v>
      </c>
    </row>
    <row r="101" spans="3:14" ht="20.25" customHeight="1" x14ac:dyDescent="0.15">
      <c r="C101" s="6" t="s">
        <v>25</v>
      </c>
      <c r="D101" s="32">
        <f>D7</f>
        <v>1000</v>
      </c>
      <c r="E101" s="32">
        <f>E7</f>
        <v>1100</v>
      </c>
      <c r="F101" s="32">
        <f>F7</f>
        <v>1210</v>
      </c>
      <c r="G101" s="32">
        <f>G7</f>
        <v>1331</v>
      </c>
      <c r="H101" s="33">
        <f>H7</f>
        <v>1464.1</v>
      </c>
      <c r="I101" s="79" t="s">
        <v>138</v>
      </c>
      <c r="J101" s="49"/>
      <c r="K101" s="49">
        <f>-K100*K96</f>
        <v>-6</v>
      </c>
      <c r="L101" s="49">
        <f t="shared" ref="L101:N101" ca="1" si="43">-L100*L96</f>
        <v>-2.9665501747378937</v>
      </c>
      <c r="M101" s="49">
        <f t="shared" ca="1" si="43"/>
        <v>0</v>
      </c>
      <c r="N101" s="49">
        <f t="shared" ca="1" si="43"/>
        <v>0</v>
      </c>
    </row>
    <row r="102" spans="3:14" ht="20" customHeight="1" x14ac:dyDescent="0.15">
      <c r="C102" s="6" t="s">
        <v>35</v>
      </c>
      <c r="D102" s="32">
        <f>-D10</f>
        <v>600</v>
      </c>
      <c r="E102" s="32">
        <f t="shared" ref="E102:H102" si="44">-E10</f>
        <v>660</v>
      </c>
      <c r="F102" s="32">
        <f>-F10</f>
        <v>726</v>
      </c>
      <c r="G102" s="32">
        <f t="shared" si="44"/>
        <v>798.6</v>
      </c>
      <c r="H102" s="32">
        <f t="shared" si="44"/>
        <v>878.45999999999992</v>
      </c>
      <c r="I102" s="57" t="s">
        <v>160</v>
      </c>
      <c r="J102" s="49"/>
      <c r="K102" s="47">
        <f>$B$39</f>
        <v>300</v>
      </c>
      <c r="L102" s="47">
        <f t="shared" ref="L102:N102" si="45">$B$39</f>
        <v>300</v>
      </c>
      <c r="M102" s="47">
        <f t="shared" si="45"/>
        <v>300</v>
      </c>
      <c r="N102" s="47">
        <f t="shared" si="45"/>
        <v>300</v>
      </c>
    </row>
    <row r="103" spans="3:14" ht="20.25" customHeight="1" x14ac:dyDescent="0.15">
      <c r="C103" s="28"/>
      <c r="D103" s="37"/>
      <c r="E103" s="17"/>
      <c r="F103" s="17"/>
      <c r="G103" s="17"/>
      <c r="H103" s="18"/>
      <c r="I103" s="57" t="s">
        <v>161</v>
      </c>
      <c r="J103" s="49"/>
      <c r="K103" s="49">
        <f ca="1">K102-AVERAGE(K96,K99)</f>
        <v>187.91812281577631</v>
      </c>
      <c r="L103" s="49">
        <f t="shared" ref="L103:N103" ca="1" si="46">L102-AVERAGE(L96,L99)</f>
        <v>262.91812281577631</v>
      </c>
      <c r="M103" s="49">
        <f t="shared" ca="1" si="46"/>
        <v>300</v>
      </c>
      <c r="N103" s="49">
        <f t="shared" ca="1" si="46"/>
        <v>300</v>
      </c>
    </row>
    <row r="104" spans="3:14" ht="20" customHeight="1" x14ac:dyDescent="0.15">
      <c r="C104" s="6" t="s">
        <v>103</v>
      </c>
      <c r="D104" s="17">
        <v>365</v>
      </c>
      <c r="E104" s="17">
        <v>365</v>
      </c>
      <c r="F104" s="17">
        <v>365</v>
      </c>
      <c r="G104" s="17">
        <v>365</v>
      </c>
      <c r="H104" s="18">
        <v>365</v>
      </c>
      <c r="I104" s="57" t="s">
        <v>162</v>
      </c>
      <c r="J104" s="49"/>
      <c r="K104" s="49">
        <f ca="1">-K103*$B$40</f>
        <v>-0.93959061407888156</v>
      </c>
      <c r="L104" s="49">
        <f t="shared" ref="L104:N104" ca="1" si="47">-L103*$B$40</f>
        <v>-1.3145906140788817</v>
      </c>
      <c r="M104" s="49">
        <f t="shared" ca="1" si="47"/>
        <v>-1.5</v>
      </c>
      <c r="N104" s="49">
        <f t="shared" ca="1" si="47"/>
        <v>-1.5</v>
      </c>
    </row>
    <row r="105" spans="3:14" ht="20" customHeight="1" x14ac:dyDescent="0.15">
      <c r="C105" s="4"/>
      <c r="D105" s="17"/>
      <c r="E105" s="17"/>
      <c r="F105" s="17"/>
      <c r="G105" s="17"/>
      <c r="H105" s="18"/>
      <c r="I105" s="57"/>
      <c r="J105" s="49"/>
      <c r="K105" s="49"/>
      <c r="L105" s="49"/>
      <c r="M105" s="49"/>
      <c r="N105" s="49"/>
    </row>
    <row r="106" spans="3:14" ht="20" customHeight="1" x14ac:dyDescent="0.15">
      <c r="C106" s="6" t="s">
        <v>104</v>
      </c>
      <c r="D106" s="111">
        <f>(D91/D101)*D104</f>
        <v>73</v>
      </c>
      <c r="E106" s="111">
        <f t="shared" ref="E106:H106" ca="1" si="48">(E91/E101)*E104</f>
        <v>73</v>
      </c>
      <c r="F106" s="111">
        <f t="shared" ca="1" si="48"/>
        <v>73</v>
      </c>
      <c r="G106" s="111">
        <f t="shared" ca="1" si="48"/>
        <v>73</v>
      </c>
      <c r="H106" s="111">
        <f t="shared" ca="1" si="48"/>
        <v>73</v>
      </c>
      <c r="I106" s="51" t="s">
        <v>129</v>
      </c>
      <c r="J106" s="49"/>
      <c r="K106" s="49"/>
      <c r="L106" s="49"/>
      <c r="M106" s="49"/>
      <c r="N106" s="50"/>
    </row>
    <row r="107" spans="3:14" ht="20" customHeight="1" x14ac:dyDescent="0.15">
      <c r="C107" s="6" t="s">
        <v>105</v>
      </c>
      <c r="D107" s="112">
        <f>D92/D102*D104</f>
        <v>60.833333333333329</v>
      </c>
      <c r="E107" s="112">
        <f t="shared" ref="E107" ca="1" si="49">E92/E102*E104</f>
        <v>60.833333333333329</v>
      </c>
      <c r="F107" s="59">
        <f ca="1">E107</f>
        <v>60.833333333333329</v>
      </c>
      <c r="G107" s="59">
        <f t="shared" ref="G107:H107" ca="1" si="50">F107</f>
        <v>60.833333333333329</v>
      </c>
      <c r="H107" s="59">
        <f t="shared" ca="1" si="50"/>
        <v>60.833333333333329</v>
      </c>
      <c r="I107" s="51" t="s">
        <v>121</v>
      </c>
      <c r="J107" s="49"/>
      <c r="K107" s="52">
        <f ca="1">SUM(K108:K109)</f>
        <v>0</v>
      </c>
      <c r="L107" s="52">
        <f t="shared" ref="L107:M107" ca="1" si="51">SUM(L108:L109)</f>
        <v>18.371561158262551</v>
      </c>
      <c r="M107" s="52">
        <f t="shared" ca="1" si="51"/>
        <v>111.919605568647</v>
      </c>
      <c r="N107" s="52">
        <f ca="1">SUM(N108:N109)</f>
        <v>134.75122900253021</v>
      </c>
    </row>
    <row r="108" spans="3:14" ht="20" customHeight="1" x14ac:dyDescent="0.15">
      <c r="C108" s="6" t="s">
        <v>106</v>
      </c>
      <c r="D108" s="112">
        <f>D95/D102*D104</f>
        <v>60.833333333333329</v>
      </c>
      <c r="E108" s="112">
        <f t="shared" ref="E108:H108" ca="1" si="52">E95/E102*E104</f>
        <v>60.833333333333329</v>
      </c>
      <c r="F108" s="112">
        <f t="shared" ca="1" si="52"/>
        <v>60.833333333333329</v>
      </c>
      <c r="G108" s="112">
        <f t="shared" ca="1" si="52"/>
        <v>60.833333333333329</v>
      </c>
      <c r="H108" s="112">
        <f t="shared" ca="1" si="52"/>
        <v>60.833333333333343</v>
      </c>
      <c r="I108" s="57" t="s">
        <v>130</v>
      </c>
      <c r="J108" s="52"/>
      <c r="K108" s="47">
        <f ca="1">K90</f>
        <v>75.836245631552657</v>
      </c>
      <c r="L108" s="47">
        <f ca="1">L90</f>
        <v>92.535315526709894</v>
      </c>
      <c r="M108" s="47">
        <f ca="1">M90</f>
        <v>111.919605568647</v>
      </c>
      <c r="N108" s="47">
        <f ca="1">N90</f>
        <v>134.75122900253021</v>
      </c>
    </row>
    <row r="109" spans="3:14" ht="20" customHeight="1" x14ac:dyDescent="0.15">
      <c r="C109" s="57" t="s">
        <v>159</v>
      </c>
      <c r="D109" s="60">
        <f>D96/D101</f>
        <v>0.05</v>
      </c>
      <c r="E109" s="113">
        <f>D109</f>
        <v>0.05</v>
      </c>
      <c r="F109" s="113">
        <f t="shared" ref="F109:H109" si="53">E109</f>
        <v>0.05</v>
      </c>
      <c r="G109" s="113">
        <f t="shared" si="53"/>
        <v>0.05</v>
      </c>
      <c r="H109" s="113">
        <f t="shared" si="53"/>
        <v>0.05</v>
      </c>
      <c r="I109" s="56" t="s">
        <v>131</v>
      </c>
      <c r="J109" s="49"/>
      <c r="K109" s="49">
        <f ca="1">SUM(K97:K98)</f>
        <v>-75.836245631552657</v>
      </c>
      <c r="L109" s="49">
        <f ca="1">SUM(L97:L98)</f>
        <v>-74.163754368447343</v>
      </c>
      <c r="M109" s="49">
        <f ca="1">SUM(M97:M98)</f>
        <v>0</v>
      </c>
      <c r="N109" s="49">
        <f ca="1">SUM(N97:N98)</f>
        <v>0</v>
      </c>
    </row>
    <row r="110" spans="3:14" ht="20" customHeight="1" x14ac:dyDescent="0.15">
      <c r="C110" s="56" t="s">
        <v>107</v>
      </c>
      <c r="D110" s="65">
        <f>D22</f>
        <v>-20</v>
      </c>
      <c r="E110" s="58">
        <f ca="1">E111*E101</f>
        <v>-22</v>
      </c>
      <c r="F110" s="58">
        <f t="shared" ref="F110:H110" ca="1" si="54">F111*F101</f>
        <v>-24.2</v>
      </c>
      <c r="G110" s="58">
        <f t="shared" ca="1" si="54"/>
        <v>-26.62</v>
      </c>
      <c r="H110" s="58">
        <f t="shared" ca="1" si="54"/>
        <v>-29.282</v>
      </c>
      <c r="I110" s="48"/>
      <c r="J110" s="49"/>
      <c r="K110" s="49"/>
      <c r="L110" s="49"/>
      <c r="M110" s="49"/>
      <c r="N110" s="50"/>
    </row>
    <row r="111" spans="3:14" ht="20" customHeight="1" x14ac:dyDescent="0.15">
      <c r="C111" s="56" t="s">
        <v>42</v>
      </c>
      <c r="D111" s="60">
        <f>-D110/D101</f>
        <v>0.02</v>
      </c>
      <c r="E111" s="60">
        <f t="shared" ref="E111:H111" ca="1" si="55">-E110/E101</f>
        <v>0.02</v>
      </c>
      <c r="F111" s="60">
        <f t="shared" ca="1" si="55"/>
        <v>0.02</v>
      </c>
      <c r="G111" s="60">
        <f t="shared" ca="1" si="55"/>
        <v>0.02</v>
      </c>
      <c r="H111" s="60">
        <f t="shared" ca="1" si="55"/>
        <v>0.02</v>
      </c>
      <c r="I111" s="56" t="s">
        <v>125</v>
      </c>
      <c r="J111" s="55"/>
      <c r="K111" s="59">
        <f>B49</f>
        <v>1200</v>
      </c>
      <c r="L111" s="58">
        <f ca="1">K115</f>
        <v>1188</v>
      </c>
      <c r="M111" s="58">
        <f ca="1">L115</f>
        <v>1157.6284388417375</v>
      </c>
      <c r="N111" s="58">
        <f ca="1">M115</f>
        <v>1033.7088332730905</v>
      </c>
    </row>
    <row r="112" spans="3:14" ht="20" customHeight="1" x14ac:dyDescent="0.15">
      <c r="C112" s="57" t="s">
        <v>111</v>
      </c>
      <c r="D112" s="49">
        <f>M61*B24</f>
        <v>216.75</v>
      </c>
      <c r="E112" s="49"/>
      <c r="F112" s="49"/>
      <c r="G112" s="49"/>
      <c r="H112" s="50"/>
      <c r="I112" s="57" t="s">
        <v>126</v>
      </c>
      <c r="J112" s="55"/>
      <c r="K112" s="65">
        <v>0</v>
      </c>
      <c r="L112" s="65">
        <v>0</v>
      </c>
      <c r="M112" s="65">
        <v>0</v>
      </c>
      <c r="N112" s="65">
        <v>0</v>
      </c>
    </row>
    <row r="113" spans="3:14" ht="20" customHeight="1" x14ac:dyDescent="0.15">
      <c r="C113" s="56" t="s">
        <v>109</v>
      </c>
      <c r="D113" s="47">
        <f>B25</f>
        <v>15</v>
      </c>
      <c r="E113" s="49"/>
      <c r="F113" s="49"/>
      <c r="G113" s="49"/>
      <c r="H113" s="50"/>
      <c r="I113" s="56" t="s">
        <v>127</v>
      </c>
      <c r="J113" s="55"/>
      <c r="K113" s="58">
        <f ca="1">-MAX(MIN(K111,K107),0)</f>
        <v>0</v>
      </c>
      <c r="L113" s="58">
        <f t="shared" ref="L113:N114" ca="1" si="56">-MAX(MIN(L111,L107),0)</f>
        <v>-18.371561158262551</v>
      </c>
      <c r="M113" s="58">
        <f t="shared" ca="1" si="56"/>
        <v>-111.919605568647</v>
      </c>
      <c r="N113" s="58">
        <f t="shared" ca="1" si="56"/>
        <v>-134.75122900253021</v>
      </c>
    </row>
    <row r="114" spans="3:14" ht="20" customHeight="1" x14ac:dyDescent="0.15">
      <c r="C114" s="56" t="s">
        <v>110</v>
      </c>
      <c r="D114" s="49">
        <f>-D112/D113</f>
        <v>-14.45</v>
      </c>
      <c r="E114" s="47">
        <f>D114</f>
        <v>-14.45</v>
      </c>
      <c r="F114" s="47">
        <f t="shared" ref="F114:H114" si="57">E114</f>
        <v>-14.45</v>
      </c>
      <c r="G114" s="47">
        <f t="shared" si="57"/>
        <v>-14.45</v>
      </c>
      <c r="H114" s="47">
        <f t="shared" si="57"/>
        <v>-14.45</v>
      </c>
      <c r="I114" s="56" t="s">
        <v>124</v>
      </c>
      <c r="J114" s="52"/>
      <c r="K114" s="58">
        <f>-K111*$B$13</f>
        <v>-12</v>
      </c>
      <c r="L114" s="58">
        <f>K114</f>
        <v>-12</v>
      </c>
      <c r="M114" s="58">
        <f t="shared" ref="M114:N114" si="58">L114</f>
        <v>-12</v>
      </c>
      <c r="N114" s="58">
        <f t="shared" si="58"/>
        <v>-12</v>
      </c>
    </row>
    <row r="115" spans="3:14" ht="20.25" customHeight="1" x14ac:dyDescent="0.15">
      <c r="C115" s="53" t="s">
        <v>108</v>
      </c>
      <c r="D115" s="58">
        <f>-B60/B43</f>
        <v>-4.5</v>
      </c>
      <c r="E115" s="47">
        <f>D115</f>
        <v>-4.5</v>
      </c>
      <c r="F115" s="47">
        <f t="shared" ref="F115:H115" si="59">E115</f>
        <v>-4.5</v>
      </c>
      <c r="G115" s="47">
        <f t="shared" si="59"/>
        <v>-4.5</v>
      </c>
      <c r="H115" s="47">
        <f t="shared" si="59"/>
        <v>-4.5</v>
      </c>
      <c r="I115" s="56" t="s">
        <v>128</v>
      </c>
      <c r="J115" s="49"/>
      <c r="K115" s="49">
        <f ca="1">SUM(K111:K114)</f>
        <v>1188</v>
      </c>
      <c r="L115" s="49">
        <f t="shared" ref="L115:N115" ca="1" si="60">SUM(L111:L114)</f>
        <v>1157.6284388417375</v>
      </c>
      <c r="M115" s="49">
        <f t="shared" ca="1" si="60"/>
        <v>1033.7088332730905</v>
      </c>
      <c r="N115" s="49">
        <f t="shared" ca="1" si="60"/>
        <v>886.9576042705603</v>
      </c>
    </row>
    <row r="116" spans="3:14" ht="20" customHeight="1" x14ac:dyDescent="0.15">
      <c r="C116" s="53"/>
      <c r="D116" s="49"/>
      <c r="E116" s="49"/>
      <c r="F116" s="49"/>
      <c r="G116" s="49"/>
      <c r="H116" s="50"/>
      <c r="I116" s="57" t="s">
        <v>140</v>
      </c>
      <c r="J116" s="58"/>
      <c r="K116" s="80">
        <f>$B$16</f>
        <v>7.0000000000000007E-2</v>
      </c>
      <c r="L116" s="80">
        <f t="shared" ref="L116:N116" si="61">$B$16</f>
        <v>7.0000000000000007E-2</v>
      </c>
      <c r="M116" s="80">
        <f t="shared" si="61"/>
        <v>7.0000000000000007E-2</v>
      </c>
      <c r="N116" s="80">
        <f t="shared" si="61"/>
        <v>7.0000000000000007E-2</v>
      </c>
    </row>
    <row r="117" spans="3:14" ht="20.25" customHeight="1" x14ac:dyDescent="0.15">
      <c r="C117" s="57" t="s">
        <v>50</v>
      </c>
      <c r="D117" s="49">
        <f>D114+D115+D110</f>
        <v>-38.950000000000003</v>
      </c>
      <c r="E117" s="49">
        <f t="shared" ref="E117:H117" ca="1" si="62">E114+E115+E110</f>
        <v>-40.950000000000003</v>
      </c>
      <c r="F117" s="49">
        <f t="shared" ca="1" si="62"/>
        <v>-43.15</v>
      </c>
      <c r="G117" s="49">
        <f t="shared" ca="1" si="62"/>
        <v>-45.57</v>
      </c>
      <c r="H117" s="49">
        <f t="shared" ca="1" si="62"/>
        <v>-48.231999999999999</v>
      </c>
      <c r="I117" s="79" t="s">
        <v>138</v>
      </c>
      <c r="J117" s="58"/>
      <c r="K117" s="58">
        <f>-K116*K111</f>
        <v>-84.000000000000014</v>
      </c>
      <c r="L117" s="58">
        <f ca="1">-L116*L111</f>
        <v>-83.160000000000011</v>
      </c>
      <c r="M117" s="58">
        <f t="shared" ref="M117:N117" ca="1" si="63">-M116*M111</f>
        <v>-81.033990718921629</v>
      </c>
      <c r="N117" s="58">
        <f t="shared" ca="1" si="63"/>
        <v>-72.359618329116344</v>
      </c>
    </row>
    <row r="118" spans="3:14" ht="20" customHeight="1" x14ac:dyDescent="0.15">
      <c r="C118" s="53"/>
      <c r="D118" s="55"/>
      <c r="E118" s="115"/>
      <c r="F118" s="115"/>
      <c r="G118" s="115"/>
      <c r="H118" s="115"/>
      <c r="I118" s="79"/>
      <c r="J118" s="58"/>
      <c r="K118" s="58"/>
      <c r="L118" s="58"/>
      <c r="M118" s="58"/>
      <c r="N118" s="58"/>
    </row>
    <row r="119" spans="3:14" ht="20" customHeight="1" x14ac:dyDescent="0.15">
      <c r="C119" s="57" t="s">
        <v>113</v>
      </c>
      <c r="D119" s="49"/>
      <c r="E119" s="47">
        <f>D70</f>
        <v>1216.75</v>
      </c>
      <c r="F119" s="88">
        <v>1213</v>
      </c>
      <c r="G119" s="88">
        <v>1211</v>
      </c>
      <c r="H119" s="88">
        <v>1210</v>
      </c>
      <c r="I119" s="51" t="s">
        <v>133</v>
      </c>
      <c r="J119" s="60"/>
      <c r="K119" s="60"/>
      <c r="L119" s="60"/>
      <c r="M119" s="60"/>
      <c r="N119" s="60"/>
    </row>
    <row r="120" spans="3:14" ht="20" customHeight="1" x14ac:dyDescent="0.15">
      <c r="C120" s="56" t="s">
        <v>114</v>
      </c>
      <c r="D120" s="58"/>
      <c r="E120" s="59">
        <f>-E48</f>
        <v>33</v>
      </c>
      <c r="F120" s="59">
        <f t="shared" ref="F120:H120" si="64">-F48</f>
        <v>36.299999999999997</v>
      </c>
      <c r="G120" s="59">
        <f t="shared" si="64"/>
        <v>39.93</v>
      </c>
      <c r="H120" s="59">
        <f t="shared" si="64"/>
        <v>43.922999999999995</v>
      </c>
      <c r="I120" s="51" t="s">
        <v>121</v>
      </c>
      <c r="J120" s="49"/>
      <c r="K120" s="52">
        <f ca="1">SUM(K121:K122)</f>
        <v>0</v>
      </c>
      <c r="L120" s="52">
        <f t="shared" ref="L120:N120" ca="1" si="65">SUM(L121:L122)</f>
        <v>0</v>
      </c>
      <c r="M120" s="52">
        <f t="shared" ca="1" si="65"/>
        <v>0</v>
      </c>
      <c r="N120" s="52">
        <f t="shared" ca="1" si="65"/>
        <v>0</v>
      </c>
    </row>
    <row r="121" spans="3:14" ht="20" customHeight="1" x14ac:dyDescent="0.15">
      <c r="C121" s="56" t="s">
        <v>115</v>
      </c>
      <c r="D121" s="67"/>
      <c r="E121" s="116">
        <f t="shared" ref="E121:H121" ca="1" si="66">E110</f>
        <v>-22</v>
      </c>
      <c r="F121" s="116">
        <f t="shared" ca="1" si="66"/>
        <v>-24.2</v>
      </c>
      <c r="G121" s="116">
        <f t="shared" ca="1" si="66"/>
        <v>-26.62</v>
      </c>
      <c r="H121" s="116">
        <f t="shared" ca="1" si="66"/>
        <v>-29.282</v>
      </c>
      <c r="I121" s="57" t="s">
        <v>134</v>
      </c>
      <c r="J121" s="49"/>
      <c r="K121" s="47">
        <f ca="1">K107</f>
        <v>0</v>
      </c>
      <c r="L121" s="47">
        <f ca="1">L107</f>
        <v>18.371561158262551</v>
      </c>
      <c r="M121" s="47">
        <f ca="1">M107</f>
        <v>111.919605568647</v>
      </c>
      <c r="N121" s="47">
        <f ca="1">N107</f>
        <v>134.75122900253021</v>
      </c>
    </row>
    <row r="122" spans="3:14" ht="20" customHeight="1" x14ac:dyDescent="0.15">
      <c r="C122" s="66" t="s">
        <v>116</v>
      </c>
      <c r="D122" s="49"/>
      <c r="E122" s="47">
        <f t="shared" ref="E122:H122" si="67">E114</f>
        <v>-14.45</v>
      </c>
      <c r="F122" s="47">
        <f t="shared" si="67"/>
        <v>-14.45</v>
      </c>
      <c r="G122" s="47">
        <f t="shared" si="67"/>
        <v>-14.45</v>
      </c>
      <c r="H122" s="47">
        <f t="shared" si="67"/>
        <v>-14.45</v>
      </c>
      <c r="I122" s="56" t="s">
        <v>131</v>
      </c>
      <c r="J122" s="49"/>
      <c r="K122" s="49">
        <f ca="1">SUM(K112:K113)</f>
        <v>0</v>
      </c>
      <c r="L122" s="49">
        <f ca="1">SUM(L112:L113)</f>
        <v>-18.371561158262551</v>
      </c>
      <c r="M122" s="49">
        <f ca="1">SUM(M112:M113)</f>
        <v>-111.919605568647</v>
      </c>
      <c r="N122" s="49">
        <f ca="1">SUM(N112:N113)</f>
        <v>-134.75122900253021</v>
      </c>
    </row>
    <row r="123" spans="3:14" ht="20" customHeight="1" x14ac:dyDescent="0.15">
      <c r="C123" s="56" t="s">
        <v>117</v>
      </c>
      <c r="D123" s="49"/>
      <c r="E123" s="49">
        <f t="shared" ref="E123:H123" ca="1" si="68">E119+E120+E121+E122</f>
        <v>1213.3</v>
      </c>
      <c r="F123" s="49">
        <f t="shared" ca="1" si="68"/>
        <v>1210.6499999999999</v>
      </c>
      <c r="G123" s="49">
        <f t="shared" ca="1" si="68"/>
        <v>1209.8600000000001</v>
      </c>
      <c r="H123" s="49">
        <f t="shared" ca="1" si="68"/>
        <v>1210.191</v>
      </c>
      <c r="I123" s="48"/>
      <c r="J123" s="58"/>
      <c r="K123" s="49"/>
      <c r="L123" s="49"/>
      <c r="M123" s="49"/>
      <c r="N123" s="49"/>
    </row>
    <row r="124" spans="3:14" ht="20" customHeight="1" x14ac:dyDescent="0.15">
      <c r="I124" s="56" t="s">
        <v>125</v>
      </c>
      <c r="J124" s="49"/>
      <c r="K124" s="47">
        <f>B48</f>
        <v>600</v>
      </c>
      <c r="L124" s="49">
        <f>K128</f>
        <v>630</v>
      </c>
      <c r="M124" s="49">
        <f t="shared" ref="M124:N124" si="69">L128</f>
        <v>661.5</v>
      </c>
      <c r="N124" s="49">
        <f t="shared" si="69"/>
        <v>694.57500000000005</v>
      </c>
    </row>
    <row r="125" spans="3:14" ht="20" customHeight="1" x14ac:dyDescent="0.15">
      <c r="I125" s="57" t="s">
        <v>126</v>
      </c>
      <c r="J125" s="49"/>
      <c r="K125" s="49">
        <v>0</v>
      </c>
      <c r="L125" s="49">
        <v>0</v>
      </c>
      <c r="M125" s="49">
        <v>0</v>
      </c>
      <c r="N125" s="49">
        <v>0</v>
      </c>
    </row>
    <row r="126" spans="3:14" ht="20" customHeight="1" x14ac:dyDescent="0.15">
      <c r="I126" s="56" t="s">
        <v>127</v>
      </c>
      <c r="J126" s="55"/>
      <c r="K126" s="58">
        <v>0</v>
      </c>
      <c r="L126" s="58">
        <v>0</v>
      </c>
      <c r="M126" s="58">
        <v>0</v>
      </c>
      <c r="N126" s="58">
        <v>0</v>
      </c>
    </row>
    <row r="127" spans="3:14" ht="20" customHeight="1" x14ac:dyDescent="0.15">
      <c r="I127" s="56" t="s">
        <v>137</v>
      </c>
      <c r="J127" s="49"/>
      <c r="K127" s="47">
        <f>-K132</f>
        <v>30</v>
      </c>
      <c r="L127" s="47">
        <f t="shared" ref="L127:N127" si="70">-L132</f>
        <v>31.5</v>
      </c>
      <c r="M127" s="47">
        <f t="shared" si="70"/>
        <v>33.075000000000003</v>
      </c>
      <c r="N127" s="47">
        <f t="shared" si="70"/>
        <v>34.728750000000005</v>
      </c>
    </row>
    <row r="128" spans="3:14" ht="20" customHeight="1" x14ac:dyDescent="0.15">
      <c r="I128" s="56" t="s">
        <v>128</v>
      </c>
      <c r="J128" s="49"/>
      <c r="K128" s="49">
        <f>SUM(K124:K127)</f>
        <v>630</v>
      </c>
      <c r="L128" s="49">
        <f t="shared" ref="L128:N128" si="71">SUM(L124:L127)</f>
        <v>661.5</v>
      </c>
      <c r="M128" s="49">
        <f t="shared" si="71"/>
        <v>694.57500000000005</v>
      </c>
      <c r="N128" s="49">
        <f t="shared" si="71"/>
        <v>729.30375000000004</v>
      </c>
    </row>
    <row r="129" spans="9:14" ht="20" customHeight="1" x14ac:dyDescent="0.15">
      <c r="I129" s="56" t="s">
        <v>135</v>
      </c>
      <c r="J129" s="58"/>
      <c r="K129" s="78">
        <f>$B$18</f>
        <v>0.1</v>
      </c>
      <c r="L129" s="78">
        <f>$B$18</f>
        <v>0.1</v>
      </c>
      <c r="M129" s="78">
        <f>$B$18</f>
        <v>0.1</v>
      </c>
      <c r="N129" s="78">
        <f>$B$18</f>
        <v>0.1</v>
      </c>
    </row>
    <row r="130" spans="9:14" ht="20" customHeight="1" x14ac:dyDescent="0.15">
      <c r="I130" s="56" t="s">
        <v>138</v>
      </c>
      <c r="J130" s="58"/>
      <c r="K130" s="58">
        <f>-K124*K129</f>
        <v>-60</v>
      </c>
      <c r="L130" s="58">
        <f t="shared" ref="L130:N130" si="72">-L124*L129</f>
        <v>-63</v>
      </c>
      <c r="M130" s="58">
        <f t="shared" si="72"/>
        <v>-66.150000000000006</v>
      </c>
      <c r="N130" s="58">
        <f t="shared" si="72"/>
        <v>-69.45750000000001</v>
      </c>
    </row>
    <row r="131" spans="9:14" ht="20.25" customHeight="1" x14ac:dyDescent="0.15">
      <c r="I131" s="56" t="s">
        <v>136</v>
      </c>
      <c r="J131" s="67"/>
      <c r="K131" s="78">
        <f>$B$19</f>
        <v>0.05</v>
      </c>
      <c r="L131" s="78">
        <f>$B$19</f>
        <v>0.05</v>
      </c>
      <c r="M131" s="78">
        <f>$B$19</f>
        <v>0.05</v>
      </c>
      <c r="N131" s="78">
        <f>$B$19</f>
        <v>0.05</v>
      </c>
    </row>
    <row r="132" spans="9:14" ht="20" customHeight="1" x14ac:dyDescent="0.15">
      <c r="I132" s="56" t="s">
        <v>139</v>
      </c>
      <c r="J132" s="55"/>
      <c r="K132" s="58">
        <f>-K124*K131</f>
        <v>-30</v>
      </c>
      <c r="L132" s="58">
        <f t="shared" ref="L132:N132" si="73">-L124*L131</f>
        <v>-31.5</v>
      </c>
      <c r="M132" s="58">
        <f t="shared" si="73"/>
        <v>-33.075000000000003</v>
      </c>
      <c r="N132" s="58">
        <f t="shared" si="73"/>
        <v>-34.728750000000005</v>
      </c>
    </row>
    <row r="133" spans="9:14" ht="20.25" customHeight="1" x14ac:dyDescent="0.15">
      <c r="I133" s="51"/>
      <c r="J133" s="60"/>
      <c r="K133" s="60"/>
      <c r="L133" s="60"/>
      <c r="M133" s="60"/>
      <c r="N133" s="60"/>
    </row>
    <row r="134" spans="9:14" ht="20" customHeight="1" x14ac:dyDescent="0.15">
      <c r="I134" s="51" t="s">
        <v>141</v>
      </c>
      <c r="J134" s="49"/>
      <c r="K134" s="52">
        <f ca="1">K99+K115+K128</f>
        <v>1892.1637543684474</v>
      </c>
      <c r="L134" s="52">
        <f ca="1">L99+L115+L128</f>
        <v>1819.1284388417375</v>
      </c>
      <c r="M134" s="52">
        <f ca="1">M99+M115+M128</f>
        <v>1728.2838332730905</v>
      </c>
      <c r="N134" s="52">
        <f ca="1">N99+N115+N128</f>
        <v>1616.2613542705603</v>
      </c>
    </row>
    <row r="135" spans="9:14" ht="20" customHeight="1" x14ac:dyDescent="0.15">
      <c r="I135" s="54" t="s">
        <v>142</v>
      </c>
      <c r="J135" s="49"/>
      <c r="K135" s="81">
        <f ca="1">K134/E19</f>
        <v>5.733829558692265</v>
      </c>
      <c r="L135" s="81">
        <f ca="1">L134/F19</f>
        <v>5.0113731097568524</v>
      </c>
      <c r="M135" s="81">
        <f ca="1">M134/G19</f>
        <v>4.3282840803232929</v>
      </c>
      <c r="N135" s="81">
        <f ca="1">N134/H19</f>
        <v>3.6797608411778802</v>
      </c>
    </row>
    <row r="136" spans="9:14" ht="20" customHeight="1" x14ac:dyDescent="0.15">
      <c r="I136" s="56" t="s">
        <v>143</v>
      </c>
      <c r="J136" s="49"/>
      <c r="K136" s="49">
        <f ca="1">SUM(K117,K101,K130,K104)</f>
        <v>-150.9395906140789</v>
      </c>
      <c r="L136" s="49">
        <f t="shared" ref="L136:N136" ca="1" si="74">SUM(L117,L101,L130,L104)</f>
        <v>-150.4411407888168</v>
      </c>
      <c r="M136" s="49">
        <f t="shared" ca="1" si="74"/>
        <v>-148.68399071892162</v>
      </c>
      <c r="N136" s="49">
        <f t="shared" ca="1" si="74"/>
        <v>-143.31711832911634</v>
      </c>
    </row>
    <row r="137" spans="9:14" ht="20" customHeight="1" x14ac:dyDescent="0.15">
      <c r="I137" s="57" t="s">
        <v>139</v>
      </c>
      <c r="J137" s="58"/>
      <c r="K137" s="47">
        <f>K132</f>
        <v>-30</v>
      </c>
      <c r="L137" s="47">
        <f t="shared" ref="L137:N137" si="75">L132</f>
        <v>-31.5</v>
      </c>
      <c r="M137" s="47">
        <f t="shared" si="75"/>
        <v>-33.075000000000003</v>
      </c>
      <c r="N137" s="47">
        <f t="shared" si="75"/>
        <v>-34.728750000000005</v>
      </c>
    </row>
    <row r="138" spans="9:14" ht="20" customHeight="1" x14ac:dyDescent="0.15">
      <c r="K138" s="82">
        <f ca="1">SUM(K136:K137)</f>
        <v>-180.9395906140789</v>
      </c>
      <c r="L138" s="82">
        <f t="shared" ref="L138:M138" ca="1" si="76">SUM(L136:L137)</f>
        <v>-181.9411407888168</v>
      </c>
      <c r="M138" s="82">
        <f t="shared" ca="1" si="76"/>
        <v>-181.75899071892161</v>
      </c>
      <c r="N138" s="82">
        <f ca="1">SUM(N136:N137)</f>
        <v>-178.04586832911633</v>
      </c>
    </row>
    <row r="151" ht="20.25" customHeight="1" x14ac:dyDescent="0.15"/>
    <row r="153" ht="20.25" customHeight="1" x14ac:dyDescent="0.15"/>
    <row r="176" ht="20.25" customHeight="1" x14ac:dyDescent="0.15"/>
    <row r="178" ht="20.5" customHeight="1" x14ac:dyDescent="0.15"/>
    <row r="180" ht="20.25" customHeight="1" x14ac:dyDescent="0.15"/>
    <row r="203" ht="20.25" customHeight="1" x14ac:dyDescent="0.15"/>
  </sheetData>
  <mergeCells count="6">
    <mergeCell ref="D1:H1"/>
    <mergeCell ref="D36:H36"/>
    <mergeCell ref="D86:H86"/>
    <mergeCell ref="J86:N86"/>
    <mergeCell ref="J36:N36"/>
    <mergeCell ref="J22:N22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2023-01-08T21:59:15Z</dcterms:modified>
</cp:coreProperties>
</file>