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NotQuiteParadise\reference\"/>
    </mc:Choice>
  </mc:AlternateContent>
  <xr:revisionPtr revIDLastSave="0" documentId="13_ncr:1_{9ED43347-BEAA-45B6-AD77-A822C9A898D7}" xr6:coauthVersionLast="43" xr6:coauthVersionMax="43" xr10:uidLastSave="{00000000-0000-0000-0000-000000000000}"/>
  <bookViews>
    <workbookView xWindow="36450" yWindow="0" windowWidth="15150" windowHeight="21000" activeTab="4" xr2:uid="{B61F704B-B289-4DB0-8A42-128F7E4E2B4C}"/>
  </bookViews>
  <sheets>
    <sheet name="Reference_Data" sheetId="5" r:id="rId1"/>
    <sheet name="Lists" sheetId="2" r:id="rId2"/>
    <sheet name="Stats" sheetId="1" r:id="rId3"/>
    <sheet name="Attacks" sheetId="4" r:id="rId4"/>
    <sheet name="Testing" sheetId="3" r:id="rId5"/>
  </sheets>
  <definedNames>
    <definedName name="accuracy_types">Lists!$J$2:$J$4</definedName>
    <definedName name="adult_options">Lists!$F$2:$F$3</definedName>
    <definedName name="attacks">Lists!$H$2:$H$3</definedName>
    <definedName name="crit_modifier">Reference_Data!$D$6</definedName>
    <definedName name="crit_score">Reference_Data!$C$6</definedName>
    <definedName name="damage_types">Lists!$L$2:$L$4</definedName>
    <definedName name="graze_modifier">Reference_Data!$D$4</definedName>
    <definedName name="graze_score">Reference_Data!$C$4</definedName>
    <definedName name="hit_modifier">Reference_Data!$D$5</definedName>
    <definedName name="hit_score">Reference_Data!$C$5</definedName>
    <definedName name="hit_types">Lists!$N$2:$N$4</definedName>
    <definedName name="primary_names">Lists!$B$2:$B$6</definedName>
    <definedName name="youth_options">Lists!$D$2:$D$3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3" l="1"/>
  <c r="B6" i="1" l="1"/>
  <c r="B7" i="1"/>
  <c r="B8" i="1"/>
  <c r="B9" i="1"/>
  <c r="B5" i="1"/>
  <c r="B15" i="5" l="1"/>
  <c r="O8" i="3"/>
  <c r="O7" i="3"/>
  <c r="O6" i="3"/>
  <c r="Q9" i="3"/>
  <c r="Q10" i="3"/>
  <c r="Q8" i="3"/>
  <c r="O12" i="3"/>
  <c r="O13" i="3"/>
  <c r="B11" i="5"/>
  <c r="B12" i="5"/>
  <c r="B10" i="5"/>
  <c r="B5" i="5"/>
  <c r="B6" i="5"/>
  <c r="B4" i="5"/>
  <c r="O10" i="3"/>
  <c r="O9" i="3"/>
  <c r="B5" i="4"/>
  <c r="B4" i="4"/>
  <c r="I24" i="3"/>
  <c r="I23" i="3"/>
  <c r="I22" i="3"/>
  <c r="I21" i="3"/>
  <c r="I20" i="3"/>
  <c r="K21" i="3"/>
  <c r="K22" i="3"/>
  <c r="K23" i="3"/>
  <c r="K24" i="3"/>
  <c r="K25" i="3"/>
  <c r="K26" i="3"/>
  <c r="K27" i="3"/>
  <c r="K28" i="3"/>
  <c r="K29" i="3"/>
  <c r="K30" i="3"/>
  <c r="K20" i="3"/>
  <c r="K4" i="3"/>
  <c r="H24" i="3"/>
  <c r="B24" i="3"/>
  <c r="H23" i="3"/>
  <c r="B23" i="3"/>
  <c r="H22" i="3"/>
  <c r="B22" i="3"/>
  <c r="H21" i="3"/>
  <c r="B21" i="3"/>
  <c r="H20" i="3"/>
  <c r="B20" i="3"/>
  <c r="I8" i="3"/>
  <c r="L12" i="3" s="1"/>
  <c r="I7" i="3"/>
  <c r="L14" i="3" s="1"/>
  <c r="I6" i="3"/>
  <c r="I5" i="3"/>
  <c r="H8" i="3"/>
  <c r="H7" i="3"/>
  <c r="H6" i="3"/>
  <c r="H5" i="3"/>
  <c r="H4" i="3"/>
  <c r="B8" i="3"/>
  <c r="B7" i="3"/>
  <c r="B6" i="3"/>
  <c r="B5" i="3"/>
  <c r="B4" i="3"/>
  <c r="P20" i="1"/>
  <c r="P19" i="1"/>
  <c r="H20" i="1"/>
  <c r="H19" i="1"/>
  <c r="B19" i="1"/>
  <c r="I4" i="3" s="1"/>
  <c r="F6" i="1"/>
  <c r="F7" i="1"/>
  <c r="F8" i="1"/>
  <c r="F9" i="1"/>
  <c r="F5" i="1"/>
  <c r="K13" i="3"/>
  <c r="K14" i="3"/>
  <c r="K12" i="3"/>
  <c r="K5" i="3"/>
  <c r="K6" i="3"/>
  <c r="K7" i="3"/>
  <c r="K8" i="3"/>
  <c r="K9" i="3"/>
  <c r="K10" i="3"/>
  <c r="K11" i="3"/>
  <c r="D5" i="1"/>
  <c r="E5" i="1" s="1"/>
  <c r="D6" i="1"/>
  <c r="E6" i="1" s="1"/>
  <c r="D7" i="1"/>
  <c r="E7" i="1" s="1"/>
  <c r="D8" i="1"/>
  <c r="E8" i="1" s="1"/>
  <c r="D9" i="1"/>
  <c r="E9" i="1" s="1"/>
  <c r="D13" i="1"/>
  <c r="D14" i="1"/>
  <c r="D15" i="1"/>
  <c r="L29" i="3" l="1"/>
  <c r="L25" i="3"/>
  <c r="L28" i="3"/>
  <c r="X4" i="3" s="1"/>
  <c r="L13" i="3"/>
  <c r="X11" i="3" s="1"/>
  <c r="L27" i="3"/>
  <c r="L26" i="3"/>
  <c r="L7" i="3"/>
  <c r="L5" i="3"/>
  <c r="L6" i="3"/>
  <c r="L9" i="3"/>
  <c r="L8" i="3"/>
  <c r="L4" i="3"/>
  <c r="L10" i="3"/>
  <c r="L11" i="3"/>
  <c r="U4" i="3" s="1"/>
  <c r="L24" i="3"/>
  <c r="L23" i="3"/>
  <c r="L22" i="3"/>
  <c r="L21" i="3"/>
  <c r="L20" i="3"/>
  <c r="L30" i="3"/>
  <c r="U11" i="3"/>
  <c r="U12" i="3" s="1"/>
  <c r="R10" i="3" l="1"/>
  <c r="R9" i="3" s="1"/>
  <c r="R8" i="3" s="1"/>
  <c r="R13" i="3"/>
  <c r="R15" i="3" s="1"/>
  <c r="U5" i="3" s="1"/>
  <c r="U6" i="3" s="1"/>
  <c r="U9" i="3" l="1"/>
  <c r="U8" i="3"/>
  <c r="X5" i="3" s="1"/>
  <c r="X8" i="3" s="1"/>
  <c r="X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Q12" authorId="0" shapeId="0" xr:uid="{05CD2C12-02AE-45B9-BD02-5841DE84AB4A}">
      <text>
        <r>
          <rPr>
            <b/>
            <sz val="9"/>
            <color indexed="81"/>
            <rFont val="Tahoma"/>
            <family val="2"/>
          </rPr>
          <t>Gabriel:</t>
        </r>
        <r>
          <rPr>
            <sz val="9"/>
            <color indexed="81"/>
            <rFont val="Tahoma"/>
            <family val="2"/>
          </rPr>
          <t xml:space="preserve">
to hit + accuracy</t>
        </r>
      </text>
    </comment>
    <comment ref="R12" authorId="0" shapeId="0" xr:uid="{D7502834-EC93-438D-BDA4-26DB1E64E180}">
      <text>
        <r>
          <rPr>
            <b/>
            <sz val="9"/>
            <color indexed="81"/>
            <rFont val="Tahoma"/>
            <family val="2"/>
          </rPr>
          <t>Gabriel:</t>
        </r>
        <r>
          <rPr>
            <sz val="9"/>
            <color indexed="81"/>
            <rFont val="Tahoma"/>
            <family val="2"/>
          </rPr>
          <t xml:space="preserve">
score - dodge</t>
        </r>
      </text>
    </comment>
  </commentList>
</comments>
</file>

<file path=xl/sharedStrings.xml><?xml version="1.0" encoding="utf-8"?>
<sst xmlns="http://schemas.openxmlformats.org/spreadsheetml/2006/main" count="187" uniqueCount="121">
  <si>
    <t>Name</t>
  </si>
  <si>
    <t>Purpose</t>
  </si>
  <si>
    <t>Damage</t>
  </si>
  <si>
    <t>Accuracy</t>
  </si>
  <si>
    <t>Speed</t>
  </si>
  <si>
    <t>Health</t>
  </si>
  <si>
    <t>Influences</t>
  </si>
  <si>
    <t>dodge with speed</t>
  </si>
  <si>
    <t>dodge with toughness</t>
  </si>
  <si>
    <t>dodge with intelligence</t>
  </si>
  <si>
    <t>Category</t>
  </si>
  <si>
    <t>Defence</t>
  </si>
  <si>
    <t>dodge_speed</t>
  </si>
  <si>
    <t>Status</t>
  </si>
  <si>
    <t>Statuses</t>
  </si>
  <si>
    <t>resist_blunt</t>
  </si>
  <si>
    <t>resist_pierce</t>
  </si>
  <si>
    <t>resist_elemental</t>
  </si>
  <si>
    <t>reduce damage from blunt</t>
  </si>
  <si>
    <t>reduce damage from piercing</t>
  </si>
  <si>
    <t>reduce damage from elemental</t>
  </si>
  <si>
    <t>chance_to_hit</t>
  </si>
  <si>
    <t>hit chance and crit chance</t>
  </si>
  <si>
    <t>base_damage</t>
  </si>
  <si>
    <t>damage</t>
  </si>
  <si>
    <t>health</t>
  </si>
  <si>
    <t>action_cost_change</t>
  </si>
  <si>
    <t>alter action cost</t>
  </si>
  <si>
    <t>status_length</t>
  </si>
  <si>
    <t>alter length of status</t>
  </si>
  <si>
    <t xml:space="preserve">min # </t>
  </si>
  <si>
    <t>max #</t>
  </si>
  <si>
    <t>Utility</t>
  </si>
  <si>
    <t>Offence</t>
  </si>
  <si>
    <t># influenced stats</t>
  </si>
  <si>
    <t>primary_names</t>
  </si>
  <si>
    <t>Derived from (1)</t>
  </si>
  <si>
    <t>Amount Derived (1)</t>
  </si>
  <si>
    <t>Derived from (2)</t>
  </si>
  <si>
    <t>Amount Derived (2)</t>
  </si>
  <si>
    <t>Derived from (3)</t>
  </si>
  <si>
    <t>Amount Derived (3)</t>
  </si>
  <si>
    <t>Entity Primary Stats</t>
  </si>
  <si>
    <t>Entity Derived/Secondary Stats</t>
  </si>
  <si>
    <t>Stat value</t>
  </si>
  <si>
    <t>Entity Base Stats</t>
  </si>
  <si>
    <t>Selections</t>
  </si>
  <si>
    <t>Beggar</t>
  </si>
  <si>
    <t>Total value</t>
  </si>
  <si>
    <t>hit points</t>
  </si>
  <si>
    <t>Entity Combined Stats</t>
  </si>
  <si>
    <t>Base</t>
  </si>
  <si>
    <t>Attacking Entity</t>
  </si>
  <si>
    <t>Defending Entity</t>
  </si>
  <si>
    <t>Derived Stats</t>
  </si>
  <si>
    <t>Combat Simulation</t>
  </si>
  <si>
    <t>To hit Roll</t>
  </si>
  <si>
    <t>To Hit Roll min</t>
  </si>
  <si>
    <t>To Hit Roll max</t>
  </si>
  <si>
    <t>Hitting</t>
  </si>
  <si>
    <t>Attack Selection</t>
  </si>
  <si>
    <t>Attack</t>
  </si>
  <si>
    <t>Base accuracy</t>
  </si>
  <si>
    <t>Accuracy type</t>
  </si>
  <si>
    <t>Base damage</t>
  </si>
  <si>
    <t>Damage type</t>
  </si>
  <si>
    <t>Cost</t>
  </si>
  <si>
    <t>Status Length</t>
  </si>
  <si>
    <t>Attacks</t>
  </si>
  <si>
    <t>Status Applied</t>
  </si>
  <si>
    <t>Basic</t>
  </si>
  <si>
    <t>attacks</t>
  </si>
  <si>
    <t>Other</t>
  </si>
  <si>
    <t>accuracy_types</t>
  </si>
  <si>
    <t>Toughness</t>
  </si>
  <si>
    <t>Intelligence</t>
  </si>
  <si>
    <t>damage_types</t>
  </si>
  <si>
    <t>Blunt</t>
  </si>
  <si>
    <t>Pierce</t>
  </si>
  <si>
    <t>Elemental</t>
  </si>
  <si>
    <t>None</t>
  </si>
  <si>
    <t>N/A</t>
  </si>
  <si>
    <t>dodge_toughness</t>
  </si>
  <si>
    <t>dodge_intelligence</t>
  </si>
  <si>
    <t>Result</t>
  </si>
  <si>
    <t>Graze</t>
  </si>
  <si>
    <t>Hit</t>
  </si>
  <si>
    <t>Crit</t>
  </si>
  <si>
    <t>To hit roll</t>
  </si>
  <si>
    <t>Damage modifier</t>
  </si>
  <si>
    <t>hit_types</t>
  </si>
  <si>
    <t>Score (&gt;=)</t>
  </si>
  <si>
    <t>Raw Damage</t>
  </si>
  <si>
    <t>To hit modifier</t>
  </si>
  <si>
    <t>Modified damage</t>
  </si>
  <si>
    <t>Mitigated damage</t>
  </si>
  <si>
    <t>Status applied</t>
  </si>
  <si>
    <t>Status length</t>
  </si>
  <si>
    <t>Status length modifier</t>
  </si>
  <si>
    <t>Occurrence change</t>
  </si>
  <si>
    <t>Starting hp</t>
  </si>
  <si>
    <t>Ending hp</t>
  </si>
  <si>
    <t>% reduction</t>
  </si>
  <si>
    <t>Turns to kill</t>
  </si>
  <si>
    <t>Modified To hit</t>
  </si>
  <si>
    <t>Mitigated to hit</t>
  </si>
  <si>
    <t>Action cost</t>
  </si>
  <si>
    <t>Action cost modifier</t>
  </si>
  <si>
    <t>1% cost reduction</t>
  </si>
  <si>
    <t>Trade</t>
  </si>
  <si>
    <t>Scandal</t>
  </si>
  <si>
    <t>Greed</t>
  </si>
  <si>
    <t>Hustler</t>
  </si>
  <si>
    <t>trade_options</t>
  </si>
  <si>
    <t>motive_options</t>
  </si>
  <si>
    <t>Motive</t>
  </si>
  <si>
    <t>Subtelty</t>
  </si>
  <si>
    <t>Clout</t>
  </si>
  <si>
    <t>Vigour</t>
  </si>
  <si>
    <t>Exactitude</t>
  </si>
  <si>
    <t>Bustle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</si>
</sst>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Bahnschrift Light Semi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7" borderId="6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4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989283-C892-4BE8-A2D6-08670D366655}" name="entity_derived_stats" displayName="entity_derived_stats" ref="J4:S15" totalsRowShown="0" headerRowDxfId="46" dataDxfId="45">
  <tableColumns count="10">
    <tableColumn id="1" xr3:uid="{1B12CC0D-6C49-44B7-B5B8-59E6F5B875D8}" name="Category" dataDxfId="44"/>
    <tableColumn id="2" xr3:uid="{67245A39-D1B1-464D-A913-AACC5C225666}" name="Name" dataDxfId="43"/>
    <tableColumn id="3" xr3:uid="{3A7154BA-3B59-48CE-9716-00AC21282410}" name="Purpose" dataDxfId="42"/>
    <tableColumn id="10" xr3:uid="{6D2A7CE3-B084-4703-A01C-FA4044FCBADD}" name="Base" dataDxfId="41"/>
    <tableColumn id="4" xr3:uid="{97AEDF29-8600-4A46-A1EB-7E68F214C354}" name="Derived from (1)" dataDxfId="40"/>
    <tableColumn id="5" xr3:uid="{B3FC682D-7D86-4737-A46A-7969BA2F92F7}" name="Amount Derived (1)" dataDxfId="39"/>
    <tableColumn id="6" xr3:uid="{92DE413B-A86B-41EC-A2DC-FCAC6A8B4E7B}" name="Derived from (2)" dataDxfId="38"/>
    <tableColumn id="7" xr3:uid="{2225EBCC-5260-46EC-9E65-4F659540D173}" name="Amount Derived (2)" dataDxfId="37"/>
    <tableColumn id="8" xr3:uid="{5000356C-8F12-4F1A-A10D-94D5F00229C6}" name="Derived from (3)" dataDxfId="36"/>
    <tableColumn id="9" xr3:uid="{86A10BCB-9872-4CF6-9EC5-235C5316E5AB}" name="Amount Derived (3)" dataDxfId="3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842182-A38F-472C-8F28-74F940CA139A}" name="entity_primary_stats" displayName="entity_primary_stats" ref="B4:H9" totalsRowShown="0" headerRowDxfId="34" dataDxfId="33">
  <tableColumns count="7">
    <tableColumn id="1" xr3:uid="{00F24B6A-A907-4E37-8082-FC7DA03CD0E4}" name="Name" dataDxfId="32">
      <calculatedColumnFormula>Lists!B2</calculatedColumnFormula>
    </tableColumn>
    <tableColumn id="2" xr3:uid="{B612A34B-677F-4CF3-9DB1-A4DEF7A0ECC0}" name="Purpose" dataDxfId="31"/>
    <tableColumn id="3" xr3:uid="{D00B2AAA-E32A-4AED-B6E4-C6D71C6713CC}" name="Influences" dataDxfId="30">
      <calculatedColumnFormula>IF(OR($N$5=C5,$P$5=C5,$R$5=C5),$K$5 &amp; ", ","") &amp;
IF(OR($N$6=C5,$P$6=C5,$R$6=C5),$K$6 &amp; ", ","") &amp;
IF(OR($N$7=C5,$P$7=C5,$R$7=C5),$K$7 &amp; ", ","") &amp;
IF(OR($N$8=C5,$P$8=C5,$R$8=C5),$K$8 &amp; ", ","") &amp;
IF(OR($N$9=C5,$P$9=C5,$R$9=C5),$K$9 &amp; ", ","") &amp;
IF(OR($N$10=C5,$P$10=C5,$R$10=C5),$K$10 &amp; ", ","") &amp;
IF(OR($N$11=C5,$P$11=C5,$R$11=C5),$K$11 &amp; ", ","") &amp;
IF(OR($N$12=C5,$P$12=C5,$R$12=C5),$K$12 &amp; ", ","") &amp;
IF(OR($N$13=C5,$P$13=C5,$R$13=C5),$K$13 &amp; ", ","") &amp;
IF(OR($N$14=C5,$P$14=C5,$R$14=C5),$K$14 &amp; ", ","") &amp;
IF(OR($N$15=C5,$P$15=C5,$R$15=C5),$K$15 &amp; ", ","")</calculatedColumnFormula>
    </tableColumn>
    <tableColumn id="4" xr3:uid="{E4038DD6-1CD5-43C6-9217-100476CEC204}" name="# influenced stats" dataDxfId="29">
      <calculatedColumnFormula>LEN(D5)-LEN(SUBSTITUTE(D5,",",""))</calculatedColumnFormula>
    </tableColumn>
    <tableColumn id="7" xr3:uid="{175CFB49-E265-4916-B0C4-D5DEA5BEBF51}" name="Stat value" dataDxfId="28">
      <calculatedColumnFormula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calculatedColumnFormula>
    </tableColumn>
    <tableColumn id="5" xr3:uid="{C9B7ABCA-BC18-4059-B614-A6254871E453}" name="min # " dataDxfId="27"/>
    <tableColumn id="6" xr3:uid="{77EC5584-7C71-434B-8C87-E752B3CA1F16}" name="max #" dataDxfId="2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B1EC6D-90B4-4431-8769-8725ACDB1262}" name="adult" displayName="adult" ref="J18:P20" totalsRowShown="0" headerRowDxfId="25" dataDxfId="24">
  <tableColumns count="7">
    <tableColumn id="1" xr3:uid="{C498C6EC-EDCF-46B5-AC54-19697D44ACEE}" name="Name" dataDxfId="23">
      <calculatedColumnFormula>Lists!F2</calculatedColumnFormula>
    </tableColumn>
    <tableColumn id="2" xr3:uid="{173660BE-87D9-47FB-AA17-824F2720DA45}" name="Damage" dataDxfId="22"/>
    <tableColumn id="3" xr3:uid="{14AD948D-BA0F-46D8-90E7-33C50DEE188A}" name="Accuracy" dataDxfId="21"/>
    <tableColumn id="4" xr3:uid="{665079BF-14DC-4613-BA06-762971C6C47E}" name="Speed" dataDxfId="20"/>
    <tableColumn id="5" xr3:uid="{47CFB954-5875-48DC-A786-5961B7D5B694}" name="Statuses" dataDxfId="19"/>
    <tableColumn id="6" xr3:uid="{A39EAF1B-106D-4B64-9FE8-19283A107000}" name="Health" dataDxfId="18"/>
    <tableColumn id="7" xr3:uid="{CC6A1BE2-5E8D-44B4-B68F-A740FC943358}" name="Total value" dataDxfId="17">
      <calculatedColumnFormula>SUM(K19:O19)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B3CFA5-EDF9-4FEE-AC07-3B1486B62A80}" name="youth" displayName="youth" ref="B18:H20" totalsRowShown="0" headerRowDxfId="16" dataDxfId="15">
  <tableColumns count="7">
    <tableColumn id="1" xr3:uid="{D75C2AFC-B2E2-4AD9-8D70-0092B38CAEBC}" name="Name" dataDxfId="14">
      <calculatedColumnFormula>Lists!D2</calculatedColumnFormula>
    </tableColumn>
    <tableColumn id="2" xr3:uid="{3DFCE0EF-9561-447F-98CC-14C2AE7D7D94}" name="Damage" dataDxfId="13"/>
    <tableColumn id="3" xr3:uid="{FE008038-ABB8-485E-9AB4-637C767011CA}" name="Accuracy" dataDxfId="12"/>
    <tableColumn id="4" xr3:uid="{B48D67B2-B0DA-4E10-A588-E0E1BF2C9EE6}" name="Speed" dataDxfId="11"/>
    <tableColumn id="5" xr3:uid="{45850A44-F014-4245-A354-C10DBFFC05EC}" name="Statuses" dataDxfId="10"/>
    <tableColumn id="6" xr3:uid="{8D878A50-BA27-475A-BB61-3A54095090E4}" name="Health" dataDxfId="9"/>
    <tableColumn id="7" xr3:uid="{CF1F4B93-9B1A-4429-AF43-D4CC73A31715}" name="Total value" dataDxfId="8">
      <calculatedColumnFormula>SUM(C19:G19)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A7BA62-89F1-47C8-BA1A-ACF34F294D38}" name="attack_skills" displayName="attack_skills" ref="B3:I5" totalsRowShown="0" headerRowDxfId="7">
  <tableColumns count="8">
    <tableColumn id="1" xr3:uid="{EB8E6709-1E4E-4270-AE23-0136B1CFFBB6}" name="Name">
      <calculatedColumnFormula>Lists!H2</calculatedColumnFormula>
    </tableColumn>
    <tableColumn id="2" xr3:uid="{6CA35C9E-7272-4A55-A800-22AC2D20488E}" name="Base accuracy" dataDxfId="6"/>
    <tableColumn id="3" xr3:uid="{AE37A56D-22F9-44A2-881D-6FEBE14B6684}" name="Accuracy type" dataDxfId="5"/>
    <tableColumn id="4" xr3:uid="{79B30171-9C13-48D7-AEBC-E01824C15451}" name="Base damage" dataDxfId="4"/>
    <tableColumn id="5" xr3:uid="{4AAF5594-E1B5-43C2-B0A6-BFE29D5199AE}" name="Damage type" dataDxfId="3"/>
    <tableColumn id="6" xr3:uid="{F5C0387D-6960-4820-B8CE-85043E6F937C}" name="Cost" dataDxfId="2"/>
    <tableColumn id="7" xr3:uid="{12DC5BF9-4E77-4D3F-A624-A73E0DADEF28}" name="Status Applied" dataDxfId="1"/>
    <tableColumn id="8" xr3:uid="{92E43F99-EA94-459D-9EC5-23B0223BE593}" name="Status Length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C672-EF6A-48D5-A741-29695D9133C3}">
  <dimension ref="B2:D15"/>
  <sheetViews>
    <sheetView workbookViewId="0">
      <selection activeCell="C55" sqref="C55"/>
    </sheetView>
  </sheetViews>
  <sheetFormatPr defaultRowHeight="15" x14ac:dyDescent="0.25"/>
  <cols>
    <col min="2" max="2" width="18.5703125" bestFit="1" customWidth="1"/>
    <col min="4" max="4" width="16.42578125" bestFit="1" customWidth="1"/>
  </cols>
  <sheetData>
    <row r="2" spans="2:4" x14ac:dyDescent="0.25">
      <c r="C2" t="s">
        <v>88</v>
      </c>
    </row>
    <row r="3" spans="2:4" x14ac:dyDescent="0.25">
      <c r="C3" t="s">
        <v>91</v>
      </c>
      <c r="D3" t="s">
        <v>89</v>
      </c>
    </row>
    <row r="4" spans="2:4" x14ac:dyDescent="0.25">
      <c r="B4" t="str">
        <f>Lists!N2</f>
        <v>Graze</v>
      </c>
      <c r="C4">
        <v>0</v>
      </c>
      <c r="D4">
        <v>0.5</v>
      </c>
    </row>
    <row r="5" spans="2:4" x14ac:dyDescent="0.25">
      <c r="B5" t="str">
        <f>Lists!N3</f>
        <v>Hit</v>
      </c>
      <c r="C5">
        <v>80</v>
      </c>
      <c r="D5">
        <v>1</v>
      </c>
    </row>
    <row r="6" spans="2:4" x14ac:dyDescent="0.25">
      <c r="B6" t="str">
        <f>Lists!N4</f>
        <v>Crit</v>
      </c>
      <c r="C6">
        <v>120</v>
      </c>
      <c r="D6">
        <v>1.3</v>
      </c>
    </row>
    <row r="8" spans="2:4" x14ac:dyDescent="0.25">
      <c r="C8" t="s">
        <v>98</v>
      </c>
    </row>
    <row r="9" spans="2:4" x14ac:dyDescent="0.25">
      <c r="C9" t="s">
        <v>99</v>
      </c>
    </row>
    <row r="10" spans="2:4" x14ac:dyDescent="0.25">
      <c r="B10" t="str">
        <f>Lists!N2</f>
        <v>Graze</v>
      </c>
      <c r="C10">
        <v>-1</v>
      </c>
    </row>
    <row r="11" spans="2:4" x14ac:dyDescent="0.25">
      <c r="B11" t="str">
        <f>Lists!N3</f>
        <v>Hit</v>
      </c>
      <c r="C11">
        <v>0</v>
      </c>
    </row>
    <row r="12" spans="2:4" x14ac:dyDescent="0.25">
      <c r="B12" t="str">
        <f>Lists!N4</f>
        <v>Crit</v>
      </c>
      <c r="C12">
        <v>1</v>
      </c>
    </row>
    <row r="14" spans="2:4" x14ac:dyDescent="0.25">
      <c r="C14" t="s">
        <v>107</v>
      </c>
    </row>
    <row r="15" spans="2:4" x14ac:dyDescent="0.25">
      <c r="B15" t="str">
        <f>Stats!K14</f>
        <v>action_cost_change</v>
      </c>
      <c r="C15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E13D-2CF7-4118-B88D-524CC47B3D0E}">
  <dimension ref="B1:N6"/>
  <sheetViews>
    <sheetView workbookViewId="0">
      <selection activeCell="B11" sqref="B11"/>
    </sheetView>
  </sheetViews>
  <sheetFormatPr defaultRowHeight="15" x14ac:dyDescent="0.25"/>
  <cols>
    <col min="1" max="1" width="4.85546875" customWidth="1"/>
    <col min="2" max="2" width="14.85546875" bestFit="1" customWidth="1"/>
    <col min="3" max="3" width="3.28515625" customWidth="1"/>
    <col min="4" max="4" width="14" bestFit="1" customWidth="1"/>
    <col min="5" max="5" width="3.28515625" customWidth="1"/>
    <col min="6" max="6" width="15.140625" bestFit="1" customWidth="1"/>
    <col min="7" max="7" width="3.28515625" customWidth="1"/>
    <col min="9" max="9" width="3.28515625" customWidth="1"/>
    <col min="10" max="10" width="14.42578125" bestFit="1" customWidth="1"/>
    <col min="11" max="11" width="3.28515625" customWidth="1"/>
    <col min="12" max="12" width="14" bestFit="1" customWidth="1"/>
  </cols>
  <sheetData>
    <row r="1" spans="2:14" x14ac:dyDescent="0.25">
      <c r="B1" t="s">
        <v>35</v>
      </c>
      <c r="D1" t="s">
        <v>113</v>
      </c>
      <c r="F1" t="s">
        <v>114</v>
      </c>
      <c r="H1" t="s">
        <v>71</v>
      </c>
      <c r="J1" t="s">
        <v>73</v>
      </c>
      <c r="L1" t="s">
        <v>76</v>
      </c>
      <c r="N1" t="s">
        <v>90</v>
      </c>
    </row>
    <row r="2" spans="2:14" x14ac:dyDescent="0.25">
      <c r="B2" t="s">
        <v>117</v>
      </c>
      <c r="D2" t="s">
        <v>47</v>
      </c>
      <c r="F2" t="s">
        <v>110</v>
      </c>
      <c r="H2" t="s">
        <v>70</v>
      </c>
      <c r="J2" t="s">
        <v>4</v>
      </c>
      <c r="L2" t="s">
        <v>77</v>
      </c>
      <c r="N2" t="s">
        <v>85</v>
      </c>
    </row>
    <row r="3" spans="2:14" x14ac:dyDescent="0.25">
      <c r="B3" t="s">
        <v>119</v>
      </c>
      <c r="D3" t="s">
        <v>112</v>
      </c>
      <c r="F3" t="s">
        <v>111</v>
      </c>
      <c r="H3" t="s">
        <v>72</v>
      </c>
      <c r="J3" t="s">
        <v>74</v>
      </c>
      <c r="L3" t="s">
        <v>78</v>
      </c>
      <c r="N3" t="s">
        <v>86</v>
      </c>
    </row>
    <row r="4" spans="2:14" x14ac:dyDescent="0.25">
      <c r="B4" t="s">
        <v>120</v>
      </c>
      <c r="J4" t="s">
        <v>75</v>
      </c>
      <c r="L4" t="s">
        <v>79</v>
      </c>
      <c r="N4" t="s">
        <v>87</v>
      </c>
    </row>
    <row r="5" spans="2:14" x14ac:dyDescent="0.25">
      <c r="B5" t="s">
        <v>116</v>
      </c>
    </row>
    <row r="6" spans="2:14" x14ac:dyDescent="0.25">
      <c r="B6" t="s">
        <v>118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03A5-DDF5-4590-8C79-0FDF3BA926D3}">
  <dimension ref="B2:S25"/>
  <sheetViews>
    <sheetView showGridLines="0" workbookViewId="0">
      <selection activeCell="L12" sqref="L12"/>
    </sheetView>
  </sheetViews>
  <sheetFormatPr defaultRowHeight="15" x14ac:dyDescent="0.25"/>
  <cols>
    <col min="1" max="1" width="3.28515625" customWidth="1"/>
    <col min="2" max="2" width="11.42578125" bestFit="1" customWidth="1"/>
    <col min="3" max="3" width="10.42578125" customWidth="1"/>
    <col min="4" max="4" width="51.28515625" bestFit="1" customWidth="1"/>
    <col min="5" max="5" width="12.42578125" customWidth="1"/>
    <col min="6" max="6" width="12.140625" customWidth="1"/>
    <col min="7" max="7" width="8.42578125" customWidth="1"/>
    <col min="8" max="8" width="12" customWidth="1"/>
    <col min="9" max="9" width="3.28515625" customWidth="1"/>
    <col min="10" max="10" width="13.140625" bestFit="1" customWidth="1"/>
    <col min="11" max="11" width="22.85546875" bestFit="1" customWidth="1"/>
    <col min="12" max="12" width="29.42578125" bestFit="1" customWidth="1"/>
    <col min="13" max="13" width="9.28515625" customWidth="1"/>
    <col min="14" max="14" width="10.42578125" customWidth="1"/>
    <col min="15" max="15" width="9.28515625" customWidth="1"/>
    <col min="16" max="16" width="12" customWidth="1"/>
    <col min="17" max="18" width="9.28515625" customWidth="1"/>
    <col min="19" max="19" width="16.42578125" customWidth="1"/>
  </cols>
  <sheetData>
    <row r="2" spans="2:19" ht="15.75" thickBot="1" x14ac:dyDescent="0.3"/>
    <row r="3" spans="2:19" ht="18.75" x14ac:dyDescent="0.3">
      <c r="B3" s="18" t="s">
        <v>42</v>
      </c>
      <c r="C3" s="19"/>
      <c r="D3" s="19"/>
      <c r="E3" s="19"/>
      <c r="F3" s="19"/>
      <c r="G3" s="19"/>
      <c r="H3" s="20"/>
      <c r="J3" s="21" t="s">
        <v>43</v>
      </c>
      <c r="K3" s="22"/>
      <c r="L3" s="22"/>
      <c r="M3" s="22"/>
      <c r="N3" s="22"/>
      <c r="O3" s="22"/>
      <c r="P3" s="22"/>
      <c r="Q3" s="22"/>
      <c r="R3" s="23"/>
    </row>
    <row r="4" spans="2:19" ht="45" x14ac:dyDescent="0.25">
      <c r="B4" s="1" t="s">
        <v>0</v>
      </c>
      <c r="C4" s="1" t="s">
        <v>1</v>
      </c>
      <c r="D4" s="1" t="s">
        <v>6</v>
      </c>
      <c r="E4" s="1" t="s">
        <v>34</v>
      </c>
      <c r="F4" s="1" t="s">
        <v>44</v>
      </c>
      <c r="G4" s="1" t="s">
        <v>30</v>
      </c>
      <c r="H4" s="1" t="s">
        <v>31</v>
      </c>
      <c r="I4" s="1"/>
      <c r="J4" s="1" t="s">
        <v>10</v>
      </c>
      <c r="K4" s="1" t="s">
        <v>0</v>
      </c>
      <c r="L4" s="1" t="s">
        <v>1</v>
      </c>
      <c r="M4" s="1" t="s">
        <v>51</v>
      </c>
      <c r="N4" s="1" t="s">
        <v>36</v>
      </c>
      <c r="O4" s="1" t="s">
        <v>37</v>
      </c>
      <c r="P4" s="1" t="s">
        <v>38</v>
      </c>
      <c r="Q4" s="1" t="s">
        <v>39</v>
      </c>
      <c r="R4" s="1" t="s">
        <v>40</v>
      </c>
      <c r="S4" s="1" t="s">
        <v>41</v>
      </c>
    </row>
    <row r="5" spans="2:19" x14ac:dyDescent="0.25">
      <c r="B5" s="3" t="str">
        <f>Lists!B2</f>
        <v>Clout</v>
      </c>
      <c r="C5" s="3" t="s">
        <v>2</v>
      </c>
      <c r="D5" s="4" t="str">
        <f>IF(OR($N$5=C5,$P$5=C5,$R$5=C5),$K$5 &amp; ", ","") &amp;
IF(OR($N$6=C5,$P$6=C5,$R$6=C5),$K$6 &amp; ", ","") &amp;
IF(OR($N$7=C5,$P$7=C5,$R$7=C5),$K$7 &amp; ", ","") &amp;
IF(OR($N$8=C5,$P$8=C5,$R$8=C5),$K$8 &amp; ", ","") &amp;
IF(OR($N$9=C5,$P$9=C5,$R$9=C5),$K$9 &amp; ", ","") &amp;
IF(OR($N$10=C5,$P$10=C5,$R$10=C5),$K$10 &amp; ", ","") &amp;
IF(OR($N$11=C5,$P$11=C5,$R$11=C5),$K$11 &amp; ", ","") &amp;
IF(OR($N$12=C5,$P$12=C5,$R$12=C5),$K$12 &amp; ", ","") &amp;
IF(OR($N$13=C5,$P$13=C5,$R$13=C5),$K$13 &amp; ", ","") &amp;
IF(OR($N$14=C5,$P$14=C5,$R$14=C5),$K$14 &amp; ", ","") &amp;
IF(OR($N$15=C5,$P$15=C5,$R$15=C5),$K$15 &amp; ", ","")</f>
        <v xml:space="preserve">dodge_toughness, chance_to_hit, base_damage, </v>
      </c>
      <c r="E5" s="3">
        <f>LEN(D5)-LEN(SUBSTITUTE(D5,",",""))</f>
        <v>3</v>
      </c>
      <c r="F5" s="3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0</v>
      </c>
      <c r="G5" s="3">
        <v>1</v>
      </c>
      <c r="H5" s="3">
        <v>20</v>
      </c>
      <c r="I5" s="3"/>
      <c r="J5" s="3" t="s">
        <v>11</v>
      </c>
      <c r="K5" s="3" t="s">
        <v>12</v>
      </c>
      <c r="L5" s="4" t="s">
        <v>7</v>
      </c>
      <c r="M5" s="4">
        <v>5</v>
      </c>
      <c r="N5" s="3" t="s">
        <v>3</v>
      </c>
      <c r="O5" s="3">
        <v>1</v>
      </c>
      <c r="P5" s="3" t="s">
        <v>4</v>
      </c>
      <c r="Q5" s="3">
        <v>2</v>
      </c>
      <c r="R5" s="3"/>
      <c r="S5" s="3"/>
    </row>
    <row r="6" spans="2:19" x14ac:dyDescent="0.25">
      <c r="B6" s="3" t="str">
        <f>Lists!B3</f>
        <v>Exactitude</v>
      </c>
      <c r="C6" s="3" t="s">
        <v>3</v>
      </c>
      <c r="D6" s="4" t="str">
        <f>IF(OR($N$5=C6,$P$5=C6,$R$5=C6),$K$5 &amp; ", ","") &amp;
IF(OR($N$6=C6,$P$6=C6,$R$6=C6),$K$6 &amp; ", ","") &amp;
IF(OR($N$7=C6,$P$7=C6,$R$7=C6),$K$7 &amp; ", ","") &amp;
IF(OR($N$8=C6,$P$8=C6,$R$8=C6),$K$8 &amp; ", ","") &amp;
IF(OR($N$9=C6,$P$9=C6,$R$9=C6),$K$9 &amp; ", ","") &amp;
IF(OR($N$10=C6,$P$10=C6,$R$10=C6),$K$10 &amp; ", ","") &amp;
IF(OR($N$11=C6,$P$11=C6,$R$11=C6),$K$11 &amp; ", ","") &amp;
IF(OR($N$12=C6,$P$12=C6,$R$12=C6),$K$12 &amp; ", ","") &amp;
IF(OR($N$13=C6,$P$13=C6,$R$13=C6),$K$13 &amp; ", ","") &amp;
IF(OR($N$14=C6,$P$14=C6,$R$14=C6),$K$14 &amp; ", ","") &amp;
IF(OR($N$15=C6,$P$15=C6,$R$15=C6),$K$15 &amp; ", ","")</f>
        <v xml:space="preserve">dodge_speed, dodge_intelligence, chance_to_hit, </v>
      </c>
      <c r="E6" s="3">
        <f t="shared" ref="E6:E9" si="0">LEN(D6)-LEN(SUBSTITUTE(D6,",",""))</f>
        <v>3</v>
      </c>
      <c r="F6" s="3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0</v>
      </c>
      <c r="G6" s="3">
        <v>1</v>
      </c>
      <c r="H6" s="3">
        <v>20</v>
      </c>
      <c r="I6" s="3"/>
      <c r="J6" s="3" t="s">
        <v>11</v>
      </c>
      <c r="K6" s="3" t="s">
        <v>82</v>
      </c>
      <c r="L6" s="4" t="s">
        <v>8</v>
      </c>
      <c r="M6" s="4">
        <v>5</v>
      </c>
      <c r="N6" s="3" t="s">
        <v>2</v>
      </c>
      <c r="O6" s="3">
        <v>1</v>
      </c>
      <c r="P6" s="3" t="s">
        <v>5</v>
      </c>
      <c r="Q6" s="3">
        <v>1</v>
      </c>
      <c r="R6" s="3"/>
      <c r="S6" s="3"/>
    </row>
    <row r="7" spans="2:19" x14ac:dyDescent="0.25">
      <c r="B7" s="3" t="str">
        <f>Lists!B4</f>
        <v>Bustle</v>
      </c>
      <c r="C7" s="3" t="s">
        <v>4</v>
      </c>
      <c r="D7" s="4" t="str">
        <f>IF(OR($N$5=C7,$P$5=C7,$R$5=C7),$K$5 &amp; ", ","") &amp;
IF(OR($N$6=C7,$P$6=C7,$R$6=C7),$K$6 &amp; ", ","") &amp;
IF(OR($N$7=C7,$P$7=C7,$R$7=C7),$K$7 &amp; ", ","") &amp;
IF(OR($N$8=C7,$P$8=C7,$R$8=C7),$K$8 &amp; ", ","") &amp;
IF(OR($N$9=C7,$P$9=C7,$R$9=C7),$K$9 &amp; ", ","") &amp;
IF(OR($N$10=C7,$P$10=C7,$R$10=C7),$K$10 &amp; ", ","") &amp;
IF(OR($N$11=C7,$P$11=C7,$R$11=C7),$K$11 &amp; ", ","") &amp;
IF(OR($N$12=C7,$P$12=C7,$R$12=C7),$K$12 &amp; ", ","") &amp;
IF(OR($N$13=C7,$P$13=C7,$R$13=C7),$K$13 &amp; ", ","") &amp;
IF(OR($N$14=C7,$P$14=C7,$R$14=C7),$K$14 &amp; ", ","") &amp;
IF(OR($N$15=C7,$P$15=C7,$R$15=C7),$K$15 &amp; ", ","")</f>
        <v xml:space="preserve">dodge_speed, resist_pierce, action_cost_change, </v>
      </c>
      <c r="E7" s="3">
        <f t="shared" si="0"/>
        <v>3</v>
      </c>
      <c r="F7" s="3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0</v>
      </c>
      <c r="G7" s="3">
        <v>1</v>
      </c>
      <c r="H7" s="3">
        <v>20</v>
      </c>
      <c r="I7" s="3"/>
      <c r="J7" s="3" t="s">
        <v>11</v>
      </c>
      <c r="K7" s="3" t="s">
        <v>83</v>
      </c>
      <c r="L7" s="4" t="s">
        <v>9</v>
      </c>
      <c r="M7" s="4">
        <v>5</v>
      </c>
      <c r="N7" s="3" t="s">
        <v>14</v>
      </c>
      <c r="O7" s="3">
        <v>3</v>
      </c>
      <c r="P7" s="3" t="s">
        <v>3</v>
      </c>
      <c r="Q7" s="3">
        <v>1</v>
      </c>
      <c r="R7" s="3"/>
      <c r="S7" s="3"/>
    </row>
    <row r="8" spans="2:19" x14ac:dyDescent="0.25">
      <c r="B8" s="3" t="str">
        <f>Lists!B5</f>
        <v>Subtelty</v>
      </c>
      <c r="C8" s="3" t="s">
        <v>14</v>
      </c>
      <c r="D8" s="4" t="str">
        <f>IF(OR($N$5=C8,$P$5=C8,$R$5=C8),$K$5 &amp; ", ","") &amp;
IF(OR($N$6=C8,$P$6=C8,$R$6=C8),$K$6 &amp; ", ","") &amp;
IF(OR($N$7=C8,$P$7=C8,$R$7=C8),$K$7 &amp; ", ","") &amp;
IF(OR($N$8=C8,$P$8=C8,$R$8=C8),$K$8 &amp; ", ","") &amp;
IF(OR($N$9=C8,$P$9=C8,$R$9=C8),$K$9 &amp; ", ","") &amp;
IF(OR($N$10=C8,$P$10=C8,$R$10=C8),$K$10 &amp; ", ","") &amp;
IF(OR($N$11=C8,$P$11=C8,$R$11=C8),$K$11 &amp; ", ","") &amp;
IF(OR($N$12=C8,$P$12=C8,$R$12=C8),$K$12 &amp; ", ","") &amp;
IF(OR($N$13=C8,$P$13=C8,$R$13=C8),$K$13 &amp; ", ","") &amp;
IF(OR($N$14=C8,$P$14=C8,$R$14=C8),$K$14 &amp; ", ","") &amp;
IF(OR($N$15=C8,$P$15=C8,$R$15=C8),$K$15 &amp; ", ","")</f>
        <v xml:space="preserve">dodge_intelligence, resist_elemental, status_length, </v>
      </c>
      <c r="E8" s="3">
        <f t="shared" si="0"/>
        <v>3</v>
      </c>
      <c r="F8" s="3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0</v>
      </c>
      <c r="G8" s="3">
        <v>1</v>
      </c>
      <c r="H8" s="3">
        <v>20</v>
      </c>
      <c r="I8" s="3"/>
      <c r="J8" s="3" t="s">
        <v>11</v>
      </c>
      <c r="K8" s="3" t="s">
        <v>15</v>
      </c>
      <c r="L8" s="4" t="s">
        <v>18</v>
      </c>
      <c r="M8" s="4">
        <v>0</v>
      </c>
      <c r="N8" s="3" t="s">
        <v>5</v>
      </c>
      <c r="O8" s="3">
        <v>1</v>
      </c>
      <c r="P8" s="5"/>
      <c r="Q8" s="5"/>
      <c r="R8" s="5"/>
      <c r="S8" s="5"/>
    </row>
    <row r="9" spans="2:19" x14ac:dyDescent="0.25">
      <c r="B9" s="3" t="str">
        <f>Lists!B6</f>
        <v>Vigour</v>
      </c>
      <c r="C9" s="3" t="s">
        <v>5</v>
      </c>
      <c r="D9" s="4" t="str">
        <f>IF(OR($N$5=C9,$P$5=C9,$R$5=C9),$K$5 &amp; ", ","") &amp;
IF(OR($N$6=C9,$P$6=C9,$R$6=C9),$K$6 &amp; ", ","") &amp;
IF(OR($N$7=C9,$P$7=C9,$R$7=C9),$K$7 &amp; ", ","") &amp;
IF(OR($N$8=C9,$P$8=C9,$R$8=C9),$K$8 &amp; ", ","") &amp;
IF(OR($N$9=C9,$P$9=C9,$R$9=C9),$K$9 &amp; ", ","") &amp;
IF(OR($N$10=C9,$P$10=C9,$R$10=C9),$K$10 &amp; ", ","") &amp;
IF(OR($N$11=C9,$P$11=C9,$R$11=C9),$K$11 &amp; ", ","") &amp;
IF(OR($N$12=C9,$P$12=C9,$R$12=C9),$K$12 &amp; ", ","") &amp;
IF(OR($N$13=C9,$P$13=C9,$R$13=C9),$K$13 &amp; ", ","") &amp;
IF(OR($N$14=C9,$P$14=C9,$R$14=C9),$K$14 &amp; ", ","") &amp;
IF(OR($N$15=C9,$P$15=C9,$R$15=C9),$K$15 &amp; ", ","")</f>
        <v xml:space="preserve">dodge_toughness, resist_blunt, hit points, </v>
      </c>
      <c r="E9" s="3">
        <f t="shared" si="0"/>
        <v>3</v>
      </c>
      <c r="F9" s="3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0</v>
      </c>
      <c r="G9" s="3">
        <v>1</v>
      </c>
      <c r="H9" s="3">
        <v>20</v>
      </c>
      <c r="I9" s="3"/>
      <c r="J9" s="3" t="s">
        <v>11</v>
      </c>
      <c r="K9" s="3" t="s">
        <v>16</v>
      </c>
      <c r="L9" s="4" t="s">
        <v>19</v>
      </c>
      <c r="M9" s="4">
        <v>0</v>
      </c>
      <c r="N9" s="3" t="s">
        <v>4</v>
      </c>
      <c r="O9" s="3">
        <v>1</v>
      </c>
      <c r="P9" s="5"/>
      <c r="Q9" s="5"/>
      <c r="R9" s="5"/>
      <c r="S9" s="5"/>
    </row>
    <row r="10" spans="2:19" x14ac:dyDescent="0.25">
      <c r="B10" s="3"/>
      <c r="C10" s="3"/>
      <c r="D10" s="3"/>
      <c r="E10" s="3"/>
      <c r="F10" s="3"/>
      <c r="G10" s="3"/>
      <c r="H10" s="3"/>
      <c r="I10" s="3"/>
      <c r="J10" s="3" t="s">
        <v>11</v>
      </c>
      <c r="K10" s="3" t="s">
        <v>17</v>
      </c>
      <c r="L10" s="4" t="s">
        <v>20</v>
      </c>
      <c r="M10" s="4">
        <v>0</v>
      </c>
      <c r="N10" s="3" t="s">
        <v>14</v>
      </c>
      <c r="O10" s="3">
        <v>2</v>
      </c>
      <c r="P10" s="5"/>
      <c r="Q10" s="5"/>
      <c r="R10" s="5"/>
      <c r="S10" s="5"/>
    </row>
    <row r="11" spans="2:19" x14ac:dyDescent="0.25">
      <c r="B11" s="3"/>
      <c r="C11" s="3"/>
      <c r="D11" s="3"/>
      <c r="E11" s="3"/>
      <c r="F11" s="3"/>
      <c r="G11" s="3"/>
      <c r="H11" s="3"/>
      <c r="I11" s="3"/>
      <c r="J11" s="3" t="s">
        <v>33</v>
      </c>
      <c r="K11" s="3" t="s">
        <v>21</v>
      </c>
      <c r="L11" s="4" t="s">
        <v>22</v>
      </c>
      <c r="M11" s="4">
        <v>20</v>
      </c>
      <c r="N11" s="3" t="s">
        <v>3</v>
      </c>
      <c r="O11" s="3">
        <v>3</v>
      </c>
      <c r="P11" s="3" t="s">
        <v>2</v>
      </c>
      <c r="Q11" s="3">
        <v>1</v>
      </c>
      <c r="R11" s="3"/>
      <c r="S11" s="3"/>
    </row>
    <row r="12" spans="2:19" x14ac:dyDescent="0.25">
      <c r="B12" s="3"/>
      <c r="C12" s="3"/>
      <c r="D12" s="3"/>
      <c r="E12" s="3"/>
      <c r="F12" s="3"/>
      <c r="G12" s="3"/>
      <c r="H12" s="3"/>
      <c r="I12" s="3"/>
      <c r="J12" s="3" t="s">
        <v>33</v>
      </c>
      <c r="K12" s="3" t="s">
        <v>23</v>
      </c>
      <c r="L12" s="4" t="s">
        <v>24</v>
      </c>
      <c r="M12" s="4">
        <v>5</v>
      </c>
      <c r="N12" s="3" t="s">
        <v>2</v>
      </c>
      <c r="O12" s="3">
        <v>1</v>
      </c>
      <c r="P12" s="5"/>
      <c r="Q12" s="5"/>
      <c r="R12" s="5"/>
      <c r="S12" s="5"/>
    </row>
    <row r="13" spans="2:19" x14ac:dyDescent="0.25">
      <c r="B13" s="3"/>
      <c r="C13" s="3"/>
      <c r="D13" s="3" t="str">
        <f>IF(OR(N13=$C$5,P13=$C$5,R13=$C$5),K13 &amp; ", ","")</f>
        <v/>
      </c>
      <c r="E13" s="3"/>
      <c r="F13" s="3"/>
      <c r="G13" s="3"/>
      <c r="H13" s="3"/>
      <c r="I13" s="3"/>
      <c r="J13" s="3" t="s">
        <v>11</v>
      </c>
      <c r="K13" s="3" t="s">
        <v>49</v>
      </c>
      <c r="L13" s="4" t="s">
        <v>25</v>
      </c>
      <c r="M13" s="4">
        <v>20</v>
      </c>
      <c r="N13" s="3" t="s">
        <v>5</v>
      </c>
      <c r="O13" s="3">
        <v>4</v>
      </c>
      <c r="P13" s="3"/>
      <c r="Q13" s="3"/>
      <c r="R13" s="3"/>
      <c r="S13" s="3"/>
    </row>
    <row r="14" spans="2:19" x14ac:dyDescent="0.25">
      <c r="B14" s="3"/>
      <c r="C14" s="3"/>
      <c r="D14" s="3" t="str">
        <f>IF(OR(N14=$C$5,P14=$C$5,R14=$C$5),K14 &amp; ", ","")</f>
        <v/>
      </c>
      <c r="E14" s="3"/>
      <c r="F14" s="3"/>
      <c r="G14" s="3"/>
      <c r="H14" s="3"/>
      <c r="I14" s="3"/>
      <c r="J14" s="3" t="s">
        <v>32</v>
      </c>
      <c r="K14" s="3" t="s">
        <v>26</v>
      </c>
      <c r="L14" s="4" t="s">
        <v>27</v>
      </c>
      <c r="M14" s="4">
        <v>0</v>
      </c>
      <c r="N14" s="3" t="s">
        <v>4</v>
      </c>
      <c r="O14" s="3">
        <v>2</v>
      </c>
      <c r="P14" s="3"/>
      <c r="Q14" s="3"/>
      <c r="R14" s="3"/>
      <c r="S14" s="3"/>
    </row>
    <row r="15" spans="2:19" x14ac:dyDescent="0.25">
      <c r="B15" s="3"/>
      <c r="C15" s="3"/>
      <c r="D15" s="3" t="str">
        <f>IF(OR(N15=$C$5,P15=$C$5,R15=$C$5),K15 &amp; ", ","")</f>
        <v/>
      </c>
      <c r="E15" s="3"/>
      <c r="F15" s="3"/>
      <c r="G15" s="3"/>
      <c r="H15" s="3"/>
      <c r="I15" s="3"/>
      <c r="J15" s="3" t="s">
        <v>33</v>
      </c>
      <c r="K15" s="3" t="s">
        <v>28</v>
      </c>
      <c r="L15" s="4" t="s">
        <v>29</v>
      </c>
      <c r="M15" s="4">
        <v>0</v>
      </c>
      <c r="N15" s="3" t="s">
        <v>14</v>
      </c>
      <c r="O15" s="3">
        <v>3</v>
      </c>
      <c r="P15" s="3"/>
      <c r="Q15" s="3"/>
      <c r="R15" s="3"/>
      <c r="S15" s="3"/>
    </row>
    <row r="16" spans="2:19" ht="15.75" thickBot="1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ht="18.75" x14ac:dyDescent="0.25">
      <c r="B17" s="27" t="s">
        <v>109</v>
      </c>
      <c r="C17" s="28"/>
      <c r="D17" s="28"/>
      <c r="E17" s="28"/>
      <c r="F17" s="28"/>
      <c r="G17" s="28"/>
      <c r="H17" s="29"/>
      <c r="I17" s="6"/>
      <c r="J17" s="24" t="s">
        <v>115</v>
      </c>
      <c r="K17" s="25"/>
      <c r="L17" s="25"/>
      <c r="M17" s="25"/>
      <c r="N17" s="25"/>
      <c r="O17" s="25"/>
      <c r="P17" s="26"/>
      <c r="Q17" s="3"/>
      <c r="R17" s="3"/>
    </row>
    <row r="18" spans="2:18" x14ac:dyDescent="0.25">
      <c r="B18" s="6" t="s">
        <v>0</v>
      </c>
      <c r="C18" s="6" t="s">
        <v>2</v>
      </c>
      <c r="D18" s="6" t="s">
        <v>3</v>
      </c>
      <c r="E18" s="6" t="s">
        <v>4</v>
      </c>
      <c r="F18" s="6" t="s">
        <v>14</v>
      </c>
      <c r="G18" s="6" t="s">
        <v>5</v>
      </c>
      <c r="H18" s="6" t="s">
        <v>48</v>
      </c>
      <c r="I18" s="6"/>
      <c r="J18" s="6" t="s">
        <v>0</v>
      </c>
      <c r="K18" s="6" t="s">
        <v>2</v>
      </c>
      <c r="L18" s="6" t="s">
        <v>3</v>
      </c>
      <c r="M18" s="6" t="s">
        <v>4</v>
      </c>
      <c r="N18" s="6" t="s">
        <v>14</v>
      </c>
      <c r="O18" s="6" t="s">
        <v>5</v>
      </c>
      <c r="P18" s="6" t="s">
        <v>48</v>
      </c>
      <c r="Q18" s="3"/>
      <c r="R18" s="3"/>
    </row>
    <row r="19" spans="2:18" x14ac:dyDescent="0.25">
      <c r="B19" s="3" t="str">
        <f>Lists!D2</f>
        <v>Beggar</v>
      </c>
      <c r="C19" s="3">
        <v>1</v>
      </c>
      <c r="D19" s="3">
        <v>-1</v>
      </c>
      <c r="E19" s="3">
        <v>0</v>
      </c>
      <c r="F19" s="3">
        <v>2</v>
      </c>
      <c r="G19" s="3">
        <v>1</v>
      </c>
      <c r="H19" s="3">
        <f>SUM(C19:G19)</f>
        <v>3</v>
      </c>
      <c r="I19" s="3"/>
      <c r="J19" s="3" t="s">
        <v>110</v>
      </c>
      <c r="K19" s="3">
        <v>3</v>
      </c>
      <c r="L19" s="3">
        <v>-1</v>
      </c>
      <c r="M19" s="3">
        <v>1</v>
      </c>
      <c r="N19" s="3">
        <v>0</v>
      </c>
      <c r="O19" s="3">
        <v>1</v>
      </c>
      <c r="P19" s="3">
        <f>SUM(K19:O19)</f>
        <v>4</v>
      </c>
      <c r="Q19" s="3"/>
      <c r="R19" s="3"/>
    </row>
    <row r="20" spans="2:18" x14ac:dyDescent="0.25">
      <c r="B20" s="3" t="s">
        <v>112</v>
      </c>
      <c r="C20" s="3">
        <v>0</v>
      </c>
      <c r="D20" s="3">
        <v>3</v>
      </c>
      <c r="E20" s="3">
        <v>0</v>
      </c>
      <c r="F20" s="3">
        <v>0</v>
      </c>
      <c r="G20" s="3">
        <v>0</v>
      </c>
      <c r="H20" s="3">
        <f>SUM(C20:G20)</f>
        <v>3</v>
      </c>
      <c r="I20" s="3"/>
      <c r="J20" s="3" t="s">
        <v>111</v>
      </c>
      <c r="K20" s="3">
        <v>0</v>
      </c>
      <c r="L20" s="3">
        <v>0</v>
      </c>
      <c r="M20" s="3">
        <v>2</v>
      </c>
      <c r="N20" s="3">
        <v>1</v>
      </c>
      <c r="O20" s="3">
        <v>1</v>
      </c>
      <c r="P20" s="3">
        <f>SUM(K20:O20)</f>
        <v>4</v>
      </c>
      <c r="Q20" s="3"/>
      <c r="R20" s="3"/>
    </row>
    <row r="21" spans="2:18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</sheetData>
  <mergeCells count="4">
    <mergeCell ref="B3:H3"/>
    <mergeCell ref="J3:R3"/>
    <mergeCell ref="J17:P17"/>
    <mergeCell ref="B17:H17"/>
  </mergeCells>
  <dataValidations count="2">
    <dataValidation type="list" showInputMessage="1" showErrorMessage="1" sqref="N5:N15 P5:P15 R5:R15" xr:uid="{7F05CCF5-4DA4-48AE-B258-3EEFF822508D}">
      <formula1>primary_names</formula1>
    </dataValidation>
    <dataValidation type="whole" allowBlank="1" showInputMessage="1" showErrorMessage="1" sqref="O5:O15 Q5:Q15 S5:S15" xr:uid="{1F9F6577-479D-43E3-8183-FFF1881C7D28}">
      <formula1>1</formula1>
      <formula2>50</formula2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9B8A-AF1D-45B0-8A74-9C06F995EDAE}">
  <dimension ref="B1:I5"/>
  <sheetViews>
    <sheetView showGridLines="0" workbookViewId="0">
      <selection activeCell="F4" sqref="F4"/>
    </sheetView>
  </sheetViews>
  <sheetFormatPr defaultRowHeight="15" x14ac:dyDescent="0.25"/>
  <cols>
    <col min="3" max="3" width="15.140625" customWidth="1"/>
    <col min="4" max="4" width="15.28515625" customWidth="1"/>
    <col min="5" max="6" width="14.7109375" customWidth="1"/>
    <col min="8" max="8" width="16" customWidth="1"/>
    <col min="9" max="9" width="15" customWidth="1"/>
  </cols>
  <sheetData>
    <row r="1" spans="2:9" ht="15.75" thickBot="1" x14ac:dyDescent="0.3"/>
    <row r="2" spans="2:9" ht="18.75" x14ac:dyDescent="0.3">
      <c r="B2" s="21" t="s">
        <v>68</v>
      </c>
      <c r="C2" s="22"/>
      <c r="D2" s="22"/>
      <c r="E2" s="22"/>
      <c r="F2" s="22"/>
      <c r="G2" s="22"/>
      <c r="H2" s="22"/>
      <c r="I2" s="23"/>
    </row>
    <row r="3" spans="2:9" x14ac:dyDescent="0.25">
      <c r="B3" s="6" t="s">
        <v>0</v>
      </c>
      <c r="C3" s="6" t="s">
        <v>62</v>
      </c>
      <c r="D3" s="6" t="s">
        <v>63</v>
      </c>
      <c r="E3" s="6" t="s">
        <v>64</v>
      </c>
      <c r="F3" s="6" t="s">
        <v>65</v>
      </c>
      <c r="G3" s="6" t="s">
        <v>66</v>
      </c>
      <c r="H3" s="6" t="s">
        <v>69</v>
      </c>
      <c r="I3" s="6" t="s">
        <v>67</v>
      </c>
    </row>
    <row r="4" spans="2:9" x14ac:dyDescent="0.25">
      <c r="B4" t="str">
        <f>Lists!H2</f>
        <v>Basic</v>
      </c>
      <c r="C4" s="6">
        <v>10</v>
      </c>
      <c r="D4" s="6" t="s">
        <v>4</v>
      </c>
      <c r="E4" s="6">
        <v>15</v>
      </c>
      <c r="F4" s="6" t="s">
        <v>78</v>
      </c>
      <c r="G4" s="6">
        <v>30</v>
      </c>
      <c r="H4" s="6" t="s">
        <v>80</v>
      </c>
      <c r="I4" s="6" t="s">
        <v>81</v>
      </c>
    </row>
    <row r="5" spans="2:9" x14ac:dyDescent="0.25">
      <c r="B5" t="str">
        <f>Lists!H3</f>
        <v>Other</v>
      </c>
      <c r="C5" s="6"/>
      <c r="D5" s="6"/>
      <c r="E5" s="6"/>
      <c r="F5" s="6"/>
      <c r="G5" s="6"/>
      <c r="H5" s="6"/>
      <c r="I5" s="6"/>
    </row>
  </sheetData>
  <mergeCells count="1">
    <mergeCell ref="B2:I2"/>
  </mergeCells>
  <dataValidations count="2">
    <dataValidation type="list" allowBlank="1" showInputMessage="1" showErrorMessage="1" sqref="D4:D5" xr:uid="{77E141AD-8EA6-438D-96F9-C4B048155013}">
      <formula1>accuracy_types</formula1>
    </dataValidation>
    <dataValidation type="list" allowBlank="1" showInputMessage="1" showErrorMessage="1" sqref="F4:F5" xr:uid="{E4E1C74D-AC41-46B3-BAA0-80F1FCD0C0EE}">
      <formula1>damage_types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25DE-934F-4E85-999E-CE12A88CA770}">
  <sheetPr>
    <tabColor theme="9" tint="-0.249977111117893"/>
  </sheetPr>
  <dimension ref="B1:X30"/>
  <sheetViews>
    <sheetView showGridLines="0" tabSelected="1" topLeftCell="L1" workbookViewId="0">
      <selection activeCell="O6" sqref="O6"/>
    </sheetView>
  </sheetViews>
  <sheetFormatPr defaultRowHeight="15" x14ac:dyDescent="0.25"/>
  <cols>
    <col min="4" max="4" width="4" customWidth="1"/>
    <col min="5" max="5" width="10.42578125" bestFit="1" customWidth="1"/>
    <col min="6" max="6" width="15.28515625" customWidth="1"/>
    <col min="7" max="7" width="3.7109375" customWidth="1"/>
    <col min="8" max="9" width="9.85546875" customWidth="1"/>
    <col min="10" max="10" width="4" customWidth="1"/>
    <col min="11" max="11" width="18.5703125" bestFit="1" customWidth="1"/>
    <col min="13" max="13" width="3.7109375" customWidth="1"/>
    <col min="14" max="14" width="19.140625" bestFit="1" customWidth="1"/>
    <col min="16" max="16" width="4" customWidth="1"/>
    <col min="17" max="18" width="18.28515625" customWidth="1"/>
    <col min="19" max="19" width="4" customWidth="1"/>
    <col min="20" max="20" width="17.28515625" bestFit="1" customWidth="1"/>
    <col min="22" max="22" width="4" customWidth="1"/>
    <col min="23" max="23" width="11.5703125" bestFit="1" customWidth="1"/>
  </cols>
  <sheetData>
    <row r="1" spans="2:24" ht="15.75" thickBot="1" x14ac:dyDescent="0.3"/>
    <row r="2" spans="2:24" ht="18.75" x14ac:dyDescent="0.25">
      <c r="B2" s="37" t="s">
        <v>52</v>
      </c>
      <c r="C2" s="38"/>
      <c r="D2" s="38"/>
      <c r="E2" s="38"/>
      <c r="F2" s="38"/>
      <c r="G2" s="38"/>
      <c r="H2" s="38"/>
      <c r="I2" s="38"/>
      <c r="J2" s="38"/>
      <c r="K2" s="38"/>
      <c r="L2" s="39"/>
      <c r="N2" s="32" t="s">
        <v>55</v>
      </c>
      <c r="O2" s="33"/>
      <c r="P2" s="33"/>
      <c r="Q2" s="33"/>
      <c r="R2" s="33"/>
      <c r="S2" s="33"/>
      <c r="T2" s="33"/>
      <c r="U2" s="33"/>
      <c r="V2" s="33"/>
      <c r="W2" s="33"/>
      <c r="X2" s="34"/>
    </row>
    <row r="3" spans="2:24" ht="45" customHeight="1" x14ac:dyDescent="0.25">
      <c r="B3" s="35" t="s">
        <v>45</v>
      </c>
      <c r="C3" s="36"/>
      <c r="D3" s="7"/>
      <c r="E3" s="35" t="s">
        <v>46</v>
      </c>
      <c r="F3" s="36"/>
      <c r="G3" s="7"/>
      <c r="H3" s="35" t="s">
        <v>50</v>
      </c>
      <c r="I3" s="36"/>
      <c r="J3" s="7"/>
      <c r="K3" s="35" t="s">
        <v>54</v>
      </c>
      <c r="L3" s="36"/>
      <c r="N3" s="30" t="s">
        <v>60</v>
      </c>
      <c r="O3" s="31"/>
      <c r="P3" s="11"/>
      <c r="Q3" s="30" t="s">
        <v>59</v>
      </c>
      <c r="R3" s="31"/>
      <c r="S3" s="11"/>
      <c r="T3" s="30" t="s">
        <v>2</v>
      </c>
      <c r="U3" s="31"/>
      <c r="V3" s="11"/>
      <c r="W3" s="30" t="s">
        <v>84</v>
      </c>
      <c r="X3" s="31"/>
    </row>
    <row r="4" spans="2:24" x14ac:dyDescent="0.25">
      <c r="B4" s="8" t="str">
        <f>Lists!$B$2</f>
        <v>Clout</v>
      </c>
      <c r="C4" s="17">
        <v>5</v>
      </c>
      <c r="E4" s="8" t="s">
        <v>109</v>
      </c>
      <c r="F4" s="17" t="s">
        <v>47</v>
      </c>
      <c r="H4" s="8" t="str">
        <f>Lists!$B$2</f>
        <v>Clout</v>
      </c>
      <c r="I4" s="12">
        <f>C4+
IFERROR(VLOOKUP($F$4,youth[],2,FALSE),0) +
IFERROR(VLOOKUP($F$5,adult[],2,FALSE), 0)</f>
        <v>9</v>
      </c>
      <c r="K4" s="8" t="str">
        <f>Stats!K5</f>
        <v>dodge_speed</v>
      </c>
      <c r="L4" s="12">
        <f>(IFERROR(VLOOKUP(Stats!N5,Testing!H4:I8,2,FALSE),0) * Stats!O5)+
(IFERROR(VLOOKUP(Stats!P5,Testing!H4:I8,2,FALSE),0) * Stats!Q5)+
(IFERROR(VLOOKUP(Stats!R5,Testing!H4:I8,2,FALSE),0) * Stats!S5)+Stats!M5</f>
        <v>5</v>
      </c>
      <c r="N4" s="8" t="s">
        <v>61</v>
      </c>
      <c r="O4" s="17" t="s">
        <v>70</v>
      </c>
      <c r="Q4" s="8" t="s">
        <v>56</v>
      </c>
      <c r="R4" s="17">
        <v>1</v>
      </c>
      <c r="T4" s="8" t="s">
        <v>92</v>
      </c>
      <c r="U4" s="12">
        <f>O8+L11</f>
        <v>20</v>
      </c>
      <c r="W4" s="8" t="s">
        <v>100</v>
      </c>
      <c r="X4" s="12">
        <f>L28</f>
        <v>20</v>
      </c>
    </row>
    <row r="5" spans="2:24" x14ac:dyDescent="0.25">
      <c r="B5" s="8" t="str">
        <f>Lists!$B$3</f>
        <v>Exactitude</v>
      </c>
      <c r="C5" s="17">
        <v>5</v>
      </c>
      <c r="E5" s="8" t="s">
        <v>115</v>
      </c>
      <c r="F5" s="17" t="s">
        <v>110</v>
      </c>
      <c r="H5" s="8" t="str">
        <f>Lists!$B$3</f>
        <v>Exactitude</v>
      </c>
      <c r="I5" s="12">
        <f>C5+
IFERROR(VLOOKUP($F$4,youth[],3,FALSE),0) +
IFERROR(VLOOKUP($F$5,adult[],3,FALSE), 0)</f>
        <v>3</v>
      </c>
      <c r="K5" s="8" t="str">
        <f>Stats!K6</f>
        <v>dodge_toughness</v>
      </c>
      <c r="L5" s="12">
        <f>(IFERROR(VLOOKUP(Stats!N6,Testing!H4:I8,2,FALSE),0) * Stats!O6)+
(IFERROR(VLOOKUP(Stats!P6,Testing!H4:I8,2,FALSE),0) * Stats!Q6)+
(IFERROR(VLOOKUP(Stats!R6,Testing!H4:I8,2,FALSE),0) * Stats!S6)+Stats!M6</f>
        <v>5</v>
      </c>
      <c r="N5" s="8"/>
      <c r="O5" s="12"/>
      <c r="Q5" s="8"/>
      <c r="R5" s="12"/>
      <c r="T5" s="8" t="s">
        <v>93</v>
      </c>
      <c r="U5" s="12">
        <f>VLOOKUP(R15,Reference_Data!B4:D6,3,FALSE)</f>
        <v>0.5</v>
      </c>
      <c r="W5" s="8" t="s">
        <v>101</v>
      </c>
      <c r="X5" s="12">
        <f>X4-U8</f>
        <v>10</v>
      </c>
    </row>
    <row r="6" spans="2:24" x14ac:dyDescent="0.25">
      <c r="B6" s="8" t="str">
        <f>Lists!$B$4</f>
        <v>Bustle</v>
      </c>
      <c r="C6" s="17">
        <v>5</v>
      </c>
      <c r="E6" s="8"/>
      <c r="F6" s="12"/>
      <c r="H6" s="8" t="str">
        <f>Lists!$B$4</f>
        <v>Bustle</v>
      </c>
      <c r="I6" s="12">
        <f>C6+
IFERROR(VLOOKUP($F$4,youth[],4,FALSE),0) +
IFERROR(VLOOKUP($F$5,adult[],4,FALSE), 0)</f>
        <v>6</v>
      </c>
      <c r="K6" s="8" t="str">
        <f>Stats!K7</f>
        <v>dodge_intelligence</v>
      </c>
      <c r="L6" s="12">
        <f>(IFERROR(VLOOKUP(Stats!N7,Testing!H4:I8,2,FALSE),0) * Stats!O7)+
(IFERROR(VLOOKUP(Stats!P7,Testing!H4:I8,2,FALSE),0) * Stats!Q7)+
(IFERROR(VLOOKUP(Stats!R7,Testing!H4:I8,2,FALSE),0) * Stats!S7)+Stats!M7</f>
        <v>5</v>
      </c>
      <c r="N6" s="8" t="s">
        <v>62</v>
      </c>
      <c r="O6" s="12">
        <f>VLOOKUP($O$4,attack_skills[],2,FALSE)</f>
        <v>10</v>
      </c>
      <c r="Q6" s="8" t="s">
        <v>57</v>
      </c>
      <c r="R6" s="12">
        <v>1</v>
      </c>
      <c r="T6" s="8" t="s">
        <v>94</v>
      </c>
      <c r="U6" s="12">
        <f>ROUNDDOWN(U4*U5, 0)</f>
        <v>10</v>
      </c>
      <c r="W6" s="8"/>
      <c r="X6" s="12"/>
    </row>
    <row r="7" spans="2:24" x14ac:dyDescent="0.25">
      <c r="B7" s="8" t="str">
        <f>Lists!$B$5</f>
        <v>Subtelty</v>
      </c>
      <c r="C7" s="17">
        <v>5</v>
      </c>
      <c r="E7" s="8"/>
      <c r="F7" s="12"/>
      <c r="H7" s="8" t="str">
        <f>Lists!$B$5</f>
        <v>Subtelty</v>
      </c>
      <c r="I7" s="12">
        <f>C7+
IFERROR(VLOOKUP($F$4,youth[],5,FALSE),0) +
IFERROR(VLOOKUP($F$5,adult[],5,FALSE), 0)</f>
        <v>7</v>
      </c>
      <c r="K7" s="8" t="str">
        <f>Stats!K8</f>
        <v>resist_blunt</v>
      </c>
      <c r="L7" s="12">
        <f>(IFERROR(VLOOKUP(Stats!N8,Testing!H4:I8,2,FALSE),0) * Stats!O8)+
(IFERROR(VLOOKUP(Stats!P8,Testing!H4:I8,2,FALSE),0) * Stats!Q8)+
(IFERROR(VLOOKUP(Stats!R8,Testing!H4:I8,2,FALSE),0) * Stats!S8)+Stats!M8</f>
        <v>0</v>
      </c>
      <c r="N7" s="8" t="s">
        <v>63</v>
      </c>
      <c r="O7" s="12" t="str">
        <f>VLOOKUP($O$4,attack_skills[],3,FALSE)</f>
        <v>Speed</v>
      </c>
      <c r="Q7" s="8" t="s">
        <v>58</v>
      </c>
      <c r="R7" s="12">
        <v>100</v>
      </c>
      <c r="T7" s="8"/>
      <c r="U7" s="12"/>
      <c r="W7" s="8"/>
      <c r="X7" s="12"/>
    </row>
    <row r="8" spans="2:24" x14ac:dyDescent="0.25">
      <c r="B8" s="8" t="str">
        <f>Lists!$B$6</f>
        <v>Vigour</v>
      </c>
      <c r="C8" s="17">
        <v>5</v>
      </c>
      <c r="E8" s="8"/>
      <c r="F8" s="12"/>
      <c r="H8" s="8" t="str">
        <f>Lists!$B$6</f>
        <v>Vigour</v>
      </c>
      <c r="I8" s="12">
        <f>C8+
IFERROR(VLOOKUP($F$4,youth[],6,FALSE),0) +
IFERROR(VLOOKUP($F$5,adult[],6,FALSE), 0)</f>
        <v>7</v>
      </c>
      <c r="K8" s="8" t="str">
        <f>Stats!K9</f>
        <v>resist_pierce</v>
      </c>
      <c r="L8" s="12">
        <f>(IFERROR(VLOOKUP(Stats!N9,Testing!H4:I8,2,FALSE),0) * Stats!O9)+
(IFERROR(VLOOKUP(Stats!P9,Testing!H4:I8,2,FALSE),0) * Stats!Q9)+
(IFERROR(VLOOKUP(Stats!R9,Testing!H4:I8,2,FALSE),0) * Stats!S9)+Stats!M9</f>
        <v>0</v>
      </c>
      <c r="N8" s="8" t="s">
        <v>64</v>
      </c>
      <c r="O8" s="12">
        <f>VLOOKUP($O$4,attack_skills[],4,FALSE)</f>
        <v>15</v>
      </c>
      <c r="Q8" s="8" t="str">
        <f xml:space="preserve"> "Chance to " &amp;Lists!N2</f>
        <v>Chance to Graze</v>
      </c>
      <c r="R8" s="15">
        <f>IF(1-(R9+R10)&lt;0,0,1-(R9+R10))</f>
        <v>0.55555555555555558</v>
      </c>
      <c r="T8" s="8" t="s">
        <v>95</v>
      </c>
      <c r="U8" s="13">
        <f>IF(U6-VLOOKUP("*"&amp;O9&amp;"*",K23:L25,2,FALSE)&lt;=0,
1,
U6-VLOOKUP("*"&amp;O9&amp;"*",K23:L25,2,FALSE))</f>
        <v>10</v>
      </c>
      <c r="W8" s="8" t="s">
        <v>102</v>
      </c>
      <c r="X8" s="15">
        <f>1-X5/X4</f>
        <v>0.5</v>
      </c>
    </row>
    <row r="9" spans="2:24" x14ac:dyDescent="0.25">
      <c r="B9" s="8"/>
      <c r="C9" s="12"/>
      <c r="E9" s="8"/>
      <c r="F9" s="12"/>
      <c r="H9" s="8"/>
      <c r="I9" s="12"/>
      <c r="K9" s="8" t="str">
        <f>Stats!K10</f>
        <v>resist_elemental</v>
      </c>
      <c r="L9" s="12">
        <f>(IFERROR(VLOOKUP(Stats!N10,Testing!H4:I8,2,FALSE),0) * Stats!O10)+
(IFERROR(VLOOKUP(Stats!P10,Testing!H4:I8,2,FALSE),0) * Stats!Q10)+
(IFERROR(VLOOKUP(Stats!R10,Testing!H4:I8,2,FALSE),0) * Stats!S10)+Stats!M10</f>
        <v>0</v>
      </c>
      <c r="N9" s="8" t="s">
        <v>65</v>
      </c>
      <c r="O9" s="12" t="str">
        <f>VLOOKUP($O$4,attack_skills[],5,FALSE)</f>
        <v>Pierce</v>
      </c>
      <c r="Q9" s="8" t="str">
        <f xml:space="preserve"> "Chance to " &amp;Lists!N3</f>
        <v>Chance to Hit</v>
      </c>
      <c r="R9" s="15">
        <f>IF((1-((hit_score-((O6+L10)-VLOOKUP("*"&amp;O7&amp;"*",K20:L22,2,FALSE)))/(R7-R6))-R10)&lt;0,
0,
(1-((hit_score-((O6+L10)-VLOOKUP("*"&amp;O7&amp;"*",K20:L22,2,FALSE)))/(R7-R6)))-R10)</f>
        <v>0.40404040404040398</v>
      </c>
      <c r="T9" s="8"/>
      <c r="U9" s="12" t="str">
        <f>IF(U6-VLOOKUP("*"&amp;O9&amp;"*",K23:L25,2,FALSE)&lt;=0,
"1 ("  &amp; U6-VLOOKUP("*"&amp;O9&amp;"*",K23:L25,2,FALSE) &amp; ")","")</f>
        <v/>
      </c>
      <c r="W9" s="8" t="s">
        <v>103</v>
      </c>
      <c r="X9" s="16">
        <f>1/X8</f>
        <v>2</v>
      </c>
    </row>
    <row r="10" spans="2:24" x14ac:dyDescent="0.25">
      <c r="B10" s="8"/>
      <c r="C10" s="12"/>
      <c r="E10" s="8"/>
      <c r="F10" s="12"/>
      <c r="H10" s="8"/>
      <c r="I10" s="12"/>
      <c r="K10" s="8" t="str">
        <f>Stats!K11</f>
        <v>chance_to_hit</v>
      </c>
      <c r="L10" s="12">
        <f>(IFERROR(VLOOKUP(Stats!N11,Testing!H4:I8,2,FALSE),0) * Stats!O11)+
(IFERROR(VLOOKUP(Stats!P11,Testing!H4:I8,2,FALSE),0) * Stats!Q11)+
(IFERROR(VLOOKUP(Stats!R11,Testing!H4:I8,2,FALSE),0) * Stats!S11)+Stats!M11</f>
        <v>20</v>
      </c>
      <c r="N10" s="8" t="s">
        <v>66</v>
      </c>
      <c r="O10" s="12">
        <f>VLOOKUP($O$4,attack_skills[],6,FALSE)</f>
        <v>30</v>
      </c>
      <c r="Q10" s="8" t="str">
        <f xml:space="preserve"> "Chance to " &amp;Lists!N4</f>
        <v>Chance to Crit</v>
      </c>
      <c r="R10" s="15">
        <f>IF(1-((crit_score-((O6+L10)-VLOOKUP("*"&amp;O7&amp;"*",K20:L22,2,FALSE)))/(R7-R6))&lt;0,
0,
1-((crit_score-((O6+L10)-VLOOKUP("*"&amp;O7&amp;"*",K20:L22,2,FALSE)))/(R7-R6)))</f>
        <v>4.0404040404040442E-2</v>
      </c>
      <c r="T10" s="8"/>
      <c r="U10" s="12"/>
      <c r="W10" s="8"/>
      <c r="X10" s="12"/>
    </row>
    <row r="11" spans="2:24" x14ac:dyDescent="0.25">
      <c r="B11" s="8"/>
      <c r="C11" s="12"/>
      <c r="E11" s="8"/>
      <c r="F11" s="12"/>
      <c r="H11" s="8"/>
      <c r="I11" s="12"/>
      <c r="K11" s="8" t="str">
        <f>Stats!K12</f>
        <v>base_damage</v>
      </c>
      <c r="L11" s="12">
        <f>(IFERROR(VLOOKUP(Stats!N12,Testing!H4:I8,2,FALSE),0) * Stats!O12)+
(IFERROR(VLOOKUP(Stats!P12,Testing!H4:I8,2,FALSE),0) * Stats!Q12)+
(IFERROR(VLOOKUP(Stats!R12,Testing!H4:I8,2,FALSE),0) * Stats!S12)+Stats!M12</f>
        <v>5</v>
      </c>
      <c r="N11" s="8"/>
      <c r="O11" s="12"/>
      <c r="Q11" s="8"/>
      <c r="R11" s="12"/>
      <c r="T11" s="8" t="s">
        <v>96</v>
      </c>
      <c r="U11" s="13" t="str">
        <f>IF(O12&lt;&gt;"None",IF(OR(R15=Reference_Data!B5, R15=Reference_Data!B6), "Yes", "No"), "N/A")</f>
        <v>N/A</v>
      </c>
      <c r="W11" s="8" t="s">
        <v>106</v>
      </c>
      <c r="X11" s="12">
        <f>O10-O10*(L13/100)</f>
        <v>30</v>
      </c>
    </row>
    <row r="12" spans="2:24" x14ac:dyDescent="0.25">
      <c r="B12" s="8"/>
      <c r="C12" s="12"/>
      <c r="E12" s="8"/>
      <c r="F12" s="12"/>
      <c r="H12" s="8"/>
      <c r="I12" s="12"/>
      <c r="K12" s="8" t="str">
        <f>Stats!K13</f>
        <v>hit points</v>
      </c>
      <c r="L12" s="12">
        <f>(IFERROR(VLOOKUP(Stats!N13,Testing!H4:I8,2,FALSE),0) * Stats!O13)+
(IFERROR(VLOOKUP(Stats!P13,Testing!H4:I8,2,FALSE),0) * Stats!Q13)+
(IFERROR(VLOOKUP(Stats!R13,Testing!H4:I8,2,FALSE),0) * Stats!S13)+Stats!M13</f>
        <v>20</v>
      </c>
      <c r="N12" s="8" t="s">
        <v>13</v>
      </c>
      <c r="O12" s="12" t="str">
        <f>VLOOKUP($O$4,attack_skills[],7,FALSE)</f>
        <v>None</v>
      </c>
      <c r="Q12" s="8" t="s">
        <v>104</v>
      </c>
      <c r="R12" s="12" t="s">
        <v>105</v>
      </c>
      <c r="T12" s="8" t="s">
        <v>97</v>
      </c>
      <c r="U12" s="13" t="str">
        <f>IF(U11="Yes",
IFERROR(VLOOKUP(R15,Reference_Data!B10:C12,2,FALSE),0)+O13,
 "N/A")</f>
        <v>N/A</v>
      </c>
      <c r="W12" s="8"/>
      <c r="X12" s="12"/>
    </row>
    <row r="13" spans="2:24" x14ac:dyDescent="0.25">
      <c r="B13" s="8"/>
      <c r="C13" s="12"/>
      <c r="E13" s="8"/>
      <c r="F13" s="12"/>
      <c r="H13" s="8"/>
      <c r="I13" s="12"/>
      <c r="K13" s="8" t="str">
        <f>Stats!K14</f>
        <v>action_cost_change</v>
      </c>
      <c r="L13" s="12">
        <f>(IFERROR(VLOOKUP(Stats!N14,Testing!H4:I8,2,FALSE),0) * Stats!O14)+
(IFERROR(VLOOKUP(Stats!P14,Testing!H4:I8,2,FALSE),0) * Stats!Q14)+
(IFERROR(VLOOKUP(Stats!R14,Testing!H4:I8,2,FALSE),0) * Stats!S14)+Stats!M14</f>
        <v>0</v>
      </c>
      <c r="N13" s="8" t="s">
        <v>67</v>
      </c>
      <c r="O13" s="12" t="str">
        <f>VLOOKUP($O$4,attack_skills[],8,FALSE)</f>
        <v>N/A</v>
      </c>
      <c r="Q13" s="8">
        <f>R4+O6+L10</f>
        <v>31</v>
      </c>
      <c r="R13" s="12">
        <f>Q13-
VLOOKUP("*"&amp;O7&amp;"*",K20:L22,2,FALSE)</f>
        <v>26</v>
      </c>
      <c r="T13" s="8"/>
      <c r="U13" s="12"/>
      <c r="W13" s="8"/>
      <c r="X13" s="12"/>
    </row>
    <row r="14" spans="2:24" x14ac:dyDescent="0.25">
      <c r="B14" s="9"/>
      <c r="C14" s="14"/>
      <c r="D14" s="10"/>
      <c r="E14" s="9"/>
      <c r="F14" s="14"/>
      <c r="G14" s="10"/>
      <c r="H14" s="9"/>
      <c r="I14" s="14"/>
      <c r="J14" s="10"/>
      <c r="K14" s="9" t="str">
        <f>Stats!K15</f>
        <v>status_length</v>
      </c>
      <c r="L14" s="14">
        <f>(IFERROR(VLOOKUP(Stats!N15,Testing!H4:I8,2,FALSE),0) * Stats!O15)+
(IFERROR(VLOOKUP(Stats!P15,Testing!H4:I8,2,FALSE),0) * Stats!Q15)+
(IFERROR(VLOOKUP(Stats!R15,Testing!H4:I8,2,FALSE),0) * Stats!S15)+Stats!M15</f>
        <v>0</v>
      </c>
      <c r="N14" s="8"/>
      <c r="O14" s="12"/>
      <c r="Q14" s="8"/>
      <c r="R14" s="12"/>
      <c r="T14" s="8"/>
      <c r="U14" s="12"/>
      <c r="W14" s="8"/>
      <c r="X14" s="12"/>
    </row>
    <row r="15" spans="2:24" x14ac:dyDescent="0.25">
      <c r="N15" s="8"/>
      <c r="O15" s="12"/>
      <c r="Q15" s="8" t="s">
        <v>84</v>
      </c>
      <c r="R15" s="13" t="str">
        <f>IF(R13&gt;=crit_score,Reference_Data!B6,
IF(R13&gt;=hit_score,Reference_Data!B5,Reference_Data!B4))</f>
        <v>Graze</v>
      </c>
      <c r="T15" s="8"/>
      <c r="U15" s="12"/>
      <c r="W15" s="8"/>
      <c r="X15" s="12"/>
    </row>
    <row r="16" spans="2:24" x14ac:dyDescent="0.25">
      <c r="N16" s="9"/>
      <c r="O16" s="14"/>
      <c r="P16" s="10"/>
      <c r="Q16" s="9"/>
      <c r="R16" s="14"/>
      <c r="S16" s="10"/>
      <c r="T16" s="9"/>
      <c r="U16" s="14"/>
      <c r="V16" s="10"/>
      <c r="W16" s="9"/>
      <c r="X16" s="14"/>
    </row>
    <row r="17" spans="2:12" ht="15.75" thickBot="1" x14ac:dyDescent="0.3"/>
    <row r="18" spans="2:12" ht="18.75" x14ac:dyDescent="0.25">
      <c r="B18" s="32" t="s">
        <v>53</v>
      </c>
      <c r="C18" s="33"/>
      <c r="D18" s="33"/>
      <c r="E18" s="33"/>
      <c r="F18" s="33"/>
      <c r="G18" s="33"/>
      <c r="H18" s="33"/>
      <c r="I18" s="33"/>
      <c r="J18" s="33"/>
      <c r="K18" s="33"/>
      <c r="L18" s="34"/>
    </row>
    <row r="19" spans="2:12" ht="34.5" customHeight="1" x14ac:dyDescent="0.25">
      <c r="B19" s="35" t="s">
        <v>45</v>
      </c>
      <c r="C19" s="36"/>
      <c r="D19" s="7"/>
      <c r="E19" s="35" t="s">
        <v>46</v>
      </c>
      <c r="F19" s="36"/>
      <c r="G19" s="7"/>
      <c r="H19" s="35" t="s">
        <v>50</v>
      </c>
      <c r="I19" s="36"/>
      <c r="J19" s="7"/>
      <c r="K19" s="35" t="s">
        <v>54</v>
      </c>
      <c r="L19" s="36"/>
    </row>
    <row r="20" spans="2:12" x14ac:dyDescent="0.25">
      <c r="B20" s="8" t="str">
        <f>Lists!$B$2</f>
        <v>Clout</v>
      </c>
      <c r="C20" s="17">
        <v>5</v>
      </c>
      <c r="E20" s="8" t="s">
        <v>109</v>
      </c>
      <c r="F20" s="17" t="s">
        <v>112</v>
      </c>
      <c r="H20" s="8" t="str">
        <f>Lists!$B$2</f>
        <v>Clout</v>
      </c>
      <c r="I20" s="12">
        <f>C20+
IFERROR(VLOOKUP($F$20,youth[],2,FALSE),0) +
IFERROR(VLOOKUP($F$21,adult[],2,FALSE), 0)</f>
        <v>5</v>
      </c>
      <c r="K20" s="8" t="str">
        <f>Stats!K5</f>
        <v>dodge_speed</v>
      </c>
      <c r="L20" s="12">
        <f>(IFERROR(VLOOKUP(Stats!N5,Testing!$H$20:$I$24,2,FALSE),0) * Stats!O5)+
(IFERROR(VLOOKUP(Stats!P5,Testing!$H$20:$I$24,2,FALSE),0) * Stats!Q5)+
(IFERROR(VLOOKUP(Stats!R5,Testing!$H$20:$I$24,2,FALSE),0) * Stats!S5)+Stats!M5</f>
        <v>5</v>
      </c>
    </row>
    <row r="21" spans="2:12" x14ac:dyDescent="0.25">
      <c r="B21" s="8" t="str">
        <f>Lists!$B$3</f>
        <v>Exactitude</v>
      </c>
      <c r="C21" s="17">
        <v>5</v>
      </c>
      <c r="E21" s="8" t="s">
        <v>115</v>
      </c>
      <c r="F21" s="17" t="s">
        <v>111</v>
      </c>
      <c r="H21" s="8" t="str">
        <f>Lists!$B$3</f>
        <v>Exactitude</v>
      </c>
      <c r="I21" s="12">
        <f>C21+
IFERROR(VLOOKUP($F$20,youth[],3,FALSE),0) +
IFERROR(VLOOKUP($F$21,adult[],3,FALSE), 0)</f>
        <v>8</v>
      </c>
      <c r="K21" s="8" t="str">
        <f>Stats!K6</f>
        <v>dodge_toughness</v>
      </c>
      <c r="L21" s="12">
        <f>(IFERROR(VLOOKUP(Stats!N6,Testing!$H$20:$I$24,2,FALSE),0) * Stats!O6)+
(IFERROR(VLOOKUP(Stats!P6,Testing!$H$20:$I$24,2,FALSE),0) * Stats!Q6)+
(IFERROR(VLOOKUP(Stats!R6,Testing!$H$20:$I$24,2,FALSE),0) * Stats!S6)+Stats!M6</f>
        <v>5</v>
      </c>
    </row>
    <row r="22" spans="2:12" x14ac:dyDescent="0.25">
      <c r="B22" s="8" t="str">
        <f>Lists!$B$4</f>
        <v>Bustle</v>
      </c>
      <c r="C22" s="17">
        <v>5</v>
      </c>
      <c r="E22" s="8"/>
      <c r="F22" s="12"/>
      <c r="H22" s="8" t="str">
        <f>Lists!$B$4</f>
        <v>Bustle</v>
      </c>
      <c r="I22" s="12">
        <f>C22+
IFERROR(VLOOKUP($F$20,youth[],4,FALSE),0) +
IFERROR(VLOOKUP($F$21,adult[],4,FALSE), 0)</f>
        <v>7</v>
      </c>
      <c r="K22" s="8" t="str">
        <f>Stats!K7</f>
        <v>dodge_intelligence</v>
      </c>
      <c r="L22" s="12">
        <f>(IFERROR(VLOOKUP(Stats!N7,Testing!$H$20:$I$24,2,FALSE),0) * Stats!O7)+
(IFERROR(VLOOKUP(Stats!P7,Testing!$H$20:$I$24,2,FALSE),0) * Stats!Q7)+
(IFERROR(VLOOKUP(Stats!R7,Testing!$H$20:$I$24,2,FALSE),0) * Stats!S7)+Stats!M7</f>
        <v>5</v>
      </c>
    </row>
    <row r="23" spans="2:12" x14ac:dyDescent="0.25">
      <c r="B23" s="8" t="str">
        <f>Lists!$B$5</f>
        <v>Subtelty</v>
      </c>
      <c r="C23" s="17">
        <v>5</v>
      </c>
      <c r="E23" s="8"/>
      <c r="F23" s="12"/>
      <c r="H23" s="8" t="str">
        <f>Lists!$B$5</f>
        <v>Subtelty</v>
      </c>
      <c r="I23" s="12">
        <f>C23+
IFERROR(VLOOKUP($F$20,youth[],5,FALSE),0) +
IFERROR(VLOOKUP($F$21,adult[],5,FALSE), 0)</f>
        <v>6</v>
      </c>
      <c r="K23" s="8" t="str">
        <f>Stats!K8</f>
        <v>resist_blunt</v>
      </c>
      <c r="L23" s="12">
        <f>(IFERROR(VLOOKUP(Stats!N8,Testing!$H$20:$I$24,2,FALSE),0) * Stats!O8)+
(IFERROR(VLOOKUP(Stats!P8,Testing!$H$20:$I$24,2,FALSE),0) * Stats!Q8)+
(IFERROR(VLOOKUP(Stats!R8,Testing!$H$20:$I$24,2,FALSE),0) * Stats!S8)+Stats!M8</f>
        <v>0</v>
      </c>
    </row>
    <row r="24" spans="2:12" x14ac:dyDescent="0.25">
      <c r="B24" s="8" t="str">
        <f>Lists!$B$6</f>
        <v>Vigour</v>
      </c>
      <c r="C24" s="17">
        <v>5</v>
      </c>
      <c r="E24" s="8"/>
      <c r="F24" s="12"/>
      <c r="H24" s="8" t="str">
        <f>Lists!$B$6</f>
        <v>Vigour</v>
      </c>
      <c r="I24" s="12">
        <f>C24+
IFERROR(VLOOKUP($F$20,youth[],6,FALSE),0) +
IFERROR(VLOOKUP($F$21,adult[],6,FALSE), 0)</f>
        <v>6</v>
      </c>
      <c r="K24" s="8" t="str">
        <f>Stats!K9</f>
        <v>resist_pierce</v>
      </c>
      <c r="L24" s="12">
        <f>(IFERROR(VLOOKUP(Stats!N9,Testing!$H$20:$I$24,2,FALSE),0) * Stats!O9)+
(IFERROR(VLOOKUP(Stats!P9,Testing!$H$20:$I$24,2,FALSE),0) * Stats!Q9)+
(IFERROR(VLOOKUP(Stats!R9,Testing!$H$20:$I$24,2,FALSE),0) * Stats!S9)+Stats!M9</f>
        <v>0</v>
      </c>
    </row>
    <row r="25" spans="2:12" x14ac:dyDescent="0.25">
      <c r="B25" s="8"/>
      <c r="C25" s="12"/>
      <c r="E25" s="8"/>
      <c r="F25" s="12"/>
      <c r="H25" s="8"/>
      <c r="I25" s="12"/>
      <c r="K25" s="8" t="str">
        <f>Stats!K10</f>
        <v>resist_elemental</v>
      </c>
      <c r="L25" s="12">
        <f>(IFERROR(VLOOKUP(Stats!N10,Testing!$H$20:$I$24,2,FALSE),0) * Stats!O10)+
(IFERROR(VLOOKUP(Stats!P10,Testing!$H$20:$I$24,2,FALSE),0) * Stats!Q10)+
(IFERROR(VLOOKUP(Stats!R10,Testing!$H$20:$I$24,2,FALSE),0) * Stats!S10)+Stats!M10</f>
        <v>0</v>
      </c>
    </row>
    <row r="26" spans="2:12" x14ac:dyDescent="0.25">
      <c r="B26" s="8"/>
      <c r="C26" s="12"/>
      <c r="E26" s="8"/>
      <c r="F26" s="12"/>
      <c r="H26" s="8"/>
      <c r="I26" s="12"/>
      <c r="K26" s="8" t="str">
        <f>Stats!K11</f>
        <v>chance_to_hit</v>
      </c>
      <c r="L26" s="12">
        <f>(IFERROR(VLOOKUP(Stats!N11,Testing!$H$20:$I$24,2,FALSE),0) * Stats!O11)+
(IFERROR(VLOOKUP(Stats!P11,Testing!$H$20:$I$24,2,FALSE),0) * Stats!Q11)+
(IFERROR(VLOOKUP(Stats!R11,Testing!$H$20:$I$24,2,FALSE),0) * Stats!S11)+Stats!M11</f>
        <v>20</v>
      </c>
    </row>
    <row r="27" spans="2:12" x14ac:dyDescent="0.25">
      <c r="B27" s="8"/>
      <c r="C27" s="12"/>
      <c r="E27" s="8"/>
      <c r="F27" s="12"/>
      <c r="H27" s="8"/>
      <c r="I27" s="12"/>
      <c r="K27" s="8" t="str">
        <f>Stats!K12</f>
        <v>base_damage</v>
      </c>
      <c r="L27" s="12">
        <f>(IFERROR(VLOOKUP(Stats!N12,Testing!$H$20:$I$24,2,FALSE),0) * Stats!O12)+
(IFERROR(VLOOKUP(Stats!P12,Testing!$H$20:$I$24,2,FALSE),0) * Stats!Q12)+
(IFERROR(VLOOKUP(Stats!R12,Testing!$H$20:$I$24,2,FALSE),0) * Stats!S12)+Stats!M12</f>
        <v>5</v>
      </c>
    </row>
    <row r="28" spans="2:12" x14ac:dyDescent="0.25">
      <c r="B28" s="8"/>
      <c r="C28" s="12"/>
      <c r="E28" s="8"/>
      <c r="F28" s="12"/>
      <c r="H28" s="8"/>
      <c r="I28" s="12"/>
      <c r="K28" s="8" t="str">
        <f>Stats!K13</f>
        <v>hit points</v>
      </c>
      <c r="L28" s="12">
        <f>(IFERROR(VLOOKUP(Stats!N13,Testing!$H$20:$I$24,2,FALSE),0) * Stats!O13)+
(IFERROR(VLOOKUP(Stats!P13,Testing!$H$20:$I$24,2,FALSE),0) * Stats!Q13)+
(IFERROR(VLOOKUP(Stats!R13,Testing!$H$20:$I$24,2,FALSE),0) * Stats!S13)+Stats!M13</f>
        <v>20</v>
      </c>
    </row>
    <row r="29" spans="2:12" x14ac:dyDescent="0.25">
      <c r="B29" s="8"/>
      <c r="C29" s="12"/>
      <c r="E29" s="8"/>
      <c r="F29" s="12"/>
      <c r="H29" s="8"/>
      <c r="I29" s="12"/>
      <c r="K29" s="8" t="str">
        <f>Stats!K14</f>
        <v>action_cost_change</v>
      </c>
      <c r="L29" s="12">
        <f>(IFERROR(VLOOKUP(Stats!N14,Testing!$H$20:$I$24,2,FALSE),0) * Stats!O14)+
(IFERROR(VLOOKUP(Stats!P14,Testing!$H$20:$I$24,2,FALSE),0) * Stats!Q14)+
(IFERROR(VLOOKUP(Stats!R14,Testing!$H$20:$I$24,2,FALSE),0) * Stats!S14)+Stats!M14</f>
        <v>0</v>
      </c>
    </row>
    <row r="30" spans="2:12" x14ac:dyDescent="0.25">
      <c r="B30" s="9"/>
      <c r="C30" s="14"/>
      <c r="D30" s="10"/>
      <c r="E30" s="9"/>
      <c r="F30" s="14"/>
      <c r="G30" s="10"/>
      <c r="H30" s="9"/>
      <c r="I30" s="14"/>
      <c r="J30" s="10"/>
      <c r="K30" s="9" t="str">
        <f>Stats!K15</f>
        <v>status_length</v>
      </c>
      <c r="L30" s="14">
        <f>(IFERROR(VLOOKUP(Stats!N15,Testing!$H$20:$I$24,2,FALSE),0) * Stats!O15)+
(IFERROR(VLOOKUP(Stats!P15,Testing!$H$20:$I$24,2,FALSE),0) * Stats!Q15)+
(IFERROR(VLOOKUP(Stats!R15,Testing!$H$20:$I$24,2,FALSE),0) * Stats!S15)+Stats!M15</f>
        <v>0</v>
      </c>
    </row>
  </sheetData>
  <mergeCells count="15">
    <mergeCell ref="T3:U3"/>
    <mergeCell ref="N2:X2"/>
    <mergeCell ref="W3:X3"/>
    <mergeCell ref="B19:C19"/>
    <mergeCell ref="E19:F19"/>
    <mergeCell ref="H19:I19"/>
    <mergeCell ref="K19:L19"/>
    <mergeCell ref="Q3:R3"/>
    <mergeCell ref="N3:O3"/>
    <mergeCell ref="E3:F3"/>
    <mergeCell ref="H3:I3"/>
    <mergeCell ref="K3:L3"/>
    <mergeCell ref="B3:C3"/>
    <mergeCell ref="B2:L2"/>
    <mergeCell ref="B18:L18"/>
  </mergeCells>
  <dataValidations count="4">
    <dataValidation type="list" allowBlank="1" showInputMessage="1" showErrorMessage="1" sqref="F4 F20" xr:uid="{1EA830D2-846F-48B3-A328-3A1CC5FD3385}">
      <formula1>youth_options</formula1>
    </dataValidation>
    <dataValidation type="list" allowBlank="1" showInputMessage="1" showErrorMessage="1" sqref="F5 F21" xr:uid="{77556588-A017-4CA1-B54A-24BD17187354}">
      <formula1>adult_options</formula1>
    </dataValidation>
    <dataValidation type="list" allowBlank="1" showInputMessage="1" showErrorMessage="1" sqref="O4" xr:uid="{BB45F7E1-FE18-40F4-A73A-49D6B4DC9012}">
      <formula1>attacks</formula1>
    </dataValidation>
    <dataValidation type="whole" allowBlank="1" showInputMessage="1" showErrorMessage="1" sqref="R4" xr:uid="{C2148122-8D82-485F-93E0-4B08F2FA3B9C}">
      <formula1>R6</formula1>
      <formula2>R7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whole" allowBlank="1" showInputMessage="1" showErrorMessage="1" xr:uid="{508C1590-6911-4E4D-A4A4-0B19AB86523C}">
          <x14:formula1>
            <xm:f>Stats!N24</xm:f>
          </x14:formula1>
          <x14:formula2>
            <xm:f>Stats!O24</xm:f>
          </x14:formula2>
          <xm:sqref>I25</xm:sqref>
        </x14:dataValidation>
        <x14:dataValidation type="whole" allowBlank="1" showInputMessage="1" showErrorMessage="1" xr:uid="{E10B192A-CA5C-4F94-9092-50D106C25910}">
          <x14:formula1>
            <xm:f>Stats!G24</xm:f>
          </x14:formula1>
          <x14:formula2>
            <xm:f>Stats!H24</xm:f>
          </x14:formula2>
          <xm:sqref>C25</xm:sqref>
        </x14:dataValidation>
        <x14:dataValidation type="whole" allowBlank="1" showInputMessage="1" showErrorMessage="1" xr:uid="{2A61455C-612B-4A87-B54C-DFC5C660A6E3}">
          <x14:formula1>
            <xm:f>Stats!G5</xm:f>
          </x14:formula1>
          <x14:formula2>
            <xm:f>Stats!H5</xm:f>
          </x14:formula2>
          <xm:sqref>C20:C24</xm:sqref>
        </x14:dataValidation>
        <x14:dataValidation type="whole" allowBlank="1" showInputMessage="1" showErrorMessage="1" xr:uid="{646DCF41-FB90-40F1-A365-8B137606E0BC}">
          <x14:formula1>
            <xm:f>Stats!N9</xm:f>
          </x14:formula1>
          <x14:formula2>
            <xm:f>Stats!O9</xm:f>
          </x14:formula2>
          <xm:sqref>I9</xm:sqref>
        </x14:dataValidation>
        <x14:dataValidation type="whole" allowBlank="1" showInputMessage="1" showErrorMessage="1" xr:uid="{5125F720-74B4-4454-B667-97438196B34B}">
          <x14:formula1>
            <xm:f>Stats!G5</xm:f>
          </x14:formula1>
          <x14:formula2>
            <xm:f>Stats!H5</xm:f>
          </x14:formula2>
          <xm:sqref>C5:C9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Reference_Data</vt:lpstr>
      <vt:lpstr>Lists</vt:lpstr>
      <vt:lpstr>Stats</vt:lpstr>
      <vt:lpstr>Attacks</vt:lpstr>
      <vt:lpstr>Testing</vt:lpstr>
      <vt:lpstr>accuracy_types</vt:lpstr>
      <vt:lpstr>adult_options</vt:lpstr>
      <vt:lpstr>attacks</vt:lpstr>
      <vt:lpstr>crit_modifier</vt:lpstr>
      <vt:lpstr>crit_score</vt:lpstr>
      <vt:lpstr>damage_types</vt:lpstr>
      <vt:lpstr>graze_modifier</vt:lpstr>
      <vt:lpstr>graze_score</vt:lpstr>
      <vt:lpstr>hit_modifier</vt:lpstr>
      <vt:lpstr>hit_score</vt:lpstr>
      <vt:lpstr>hit_types</vt:lpstr>
      <vt:lpstr>primary_names</vt:lpstr>
      <vt:lpstr>youth_options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2019-01-19T21:04:36Z</dcterms:created>
  <dcterms:modified xsi:type="dcterms:W3CDTF">2019-04-10T18:15:50Z</dcterms:modified>
</cp:coreProperties>
</file>