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b23e45dc80e3c5b3/Escritorio/GUI_OMEGA/"/>
    </mc:Choice>
  </mc:AlternateContent>
  <xr:revisionPtr revIDLastSave="0" documentId="11_D0EECAA8E77BC3C419ED3AAC37340F23775F34E1" xr6:coauthVersionLast="47" xr6:coauthVersionMax="47" xr10:uidLastSave="{00000000-0000-0000-0000-000000000000}"/>
  <bookViews>
    <workbookView xWindow="1032" yWindow="1392" windowWidth="17280" windowHeight="10848" xr2:uid="{00000000-000D-0000-FFFF-FFFF00000000}"/>
  </bookViews>
  <sheets>
    <sheet name="Bandas" sheetId="1" r:id="rId1"/>
    <sheet name="Tablas" sheetId="2" r:id="rId2"/>
    <sheet name="ImBa" sheetId="3" r:id="rId3"/>
    <sheet name="Imágenes" sheetId="4" r:id="rId4"/>
  </sheets>
  <definedNames>
    <definedName name="Bandas">Bandas!$AB$4:$AB$7</definedName>
    <definedName name="Datos">Bandas!$AB$21:$AB$22</definedName>
    <definedName name="Estado">#REF!</definedName>
    <definedName name="Term">Bandas!$AB$12:$AB$15</definedName>
    <definedName name="Tipo">Bandas!$K$14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6" i="1" l="1"/>
  <c r="Z50" i="1"/>
  <c r="Y50" i="1"/>
  <c r="Y49" i="1"/>
  <c r="Z49" i="1" s="1"/>
  <c r="Y48" i="1"/>
  <c r="Z48" i="1" s="1"/>
  <c r="Y47" i="1"/>
  <c r="Z47" i="1" s="1"/>
  <c r="Y33" i="1"/>
  <c r="O3" i="1" s="1"/>
  <c r="O29" i="1"/>
  <c r="B9" i="1" s="1"/>
  <c r="AD28" i="1"/>
  <c r="O28" i="1"/>
  <c r="AD27" i="1"/>
  <c r="AD26" i="1"/>
  <c r="AD25" i="1"/>
  <c r="F25" i="1"/>
  <c r="B25" i="1"/>
  <c r="T23" i="1"/>
  <c r="T46" i="1" s="1"/>
  <c r="P29" i="1" s="1"/>
  <c r="C9" i="1" s="1"/>
  <c r="O18" i="1"/>
  <c r="T17" i="1"/>
  <c r="AE16" i="1"/>
  <c r="AE15" i="1"/>
  <c r="AE14" i="1"/>
  <c r="AE13" i="1"/>
  <c r="U13" i="1"/>
  <c r="T13" i="1"/>
  <c r="AE12" i="1"/>
  <c r="U12" i="1"/>
  <c r="T12" i="1"/>
  <c r="O12" i="1"/>
  <c r="AE11" i="1"/>
  <c r="T24" i="1" s="1"/>
  <c r="U11" i="1"/>
  <c r="T11" i="1"/>
  <c r="Y10" i="1"/>
  <c r="O17" i="1" s="1"/>
  <c r="U10" i="1"/>
  <c r="T10" i="1"/>
  <c r="AE8" i="1"/>
  <c r="B8" i="1"/>
  <c r="G7" i="1"/>
  <c r="G6" i="1"/>
  <c r="V5" i="1"/>
  <c r="G3" i="1"/>
  <c r="G2" i="1"/>
  <c r="T28" i="1" l="1"/>
  <c r="T47" i="1"/>
  <c r="P30" i="1" s="1"/>
  <c r="C10" i="1" s="1"/>
  <c r="O30" i="1"/>
  <c r="B10" i="1" s="1"/>
  <c r="A19" i="1"/>
  <c r="U23" i="1"/>
  <c r="T29" i="1"/>
  <c r="T39" i="1" s="1"/>
  <c r="O23" i="1" s="1"/>
  <c r="D16" i="1" s="1"/>
  <c r="T3" i="1"/>
  <c r="D19" i="1"/>
  <c r="Y23" i="1"/>
  <c r="O19" i="1" s="1"/>
  <c r="U29" i="1"/>
  <c r="E19" i="1"/>
  <c r="A15" i="1"/>
  <c r="O10" i="1"/>
  <c r="H14" i="1" s="1"/>
  <c r="T22" i="1"/>
  <c r="U46" i="1" l="1"/>
  <c r="V46" i="1" s="1"/>
  <c r="U28" i="1"/>
  <c r="U38" i="1" s="1"/>
  <c r="P22" i="1" s="1"/>
  <c r="E15" i="1" s="1"/>
  <c r="A16" i="1"/>
  <c r="A17" i="1"/>
  <c r="U39" i="1"/>
  <c r="P23" i="1" s="1"/>
  <c r="E16" i="1" s="1"/>
  <c r="U30" i="1"/>
  <c r="U22" i="1"/>
  <c r="T45" i="1"/>
  <c r="P28" i="1" s="1"/>
  <c r="C8" i="1" s="1"/>
  <c r="Y37" i="1"/>
  <c r="Y38" i="1"/>
  <c r="Y39" i="1" s="1"/>
  <c r="T19" i="1" s="1"/>
  <c r="O14" i="1"/>
  <c r="T31" i="1"/>
  <c r="T41" i="1" s="1"/>
  <c r="T30" i="1"/>
  <c r="T40" i="1" s="1"/>
  <c r="O24" i="1" s="1"/>
  <c r="D17" i="1" s="1"/>
  <c r="T38" i="1"/>
  <c r="O22" i="1" s="1"/>
  <c r="D15" i="1" s="1"/>
  <c r="L12" i="1" l="1"/>
  <c r="T25" i="1" s="1"/>
  <c r="T54" i="1"/>
  <c r="U31" i="1"/>
  <c r="T33" i="1" s="1"/>
  <c r="U40" i="1"/>
  <c r="P24" i="1" s="1"/>
  <c r="E17" i="1" s="1"/>
  <c r="U45" i="1"/>
  <c r="U24" i="1"/>
  <c r="O25" i="1"/>
  <c r="D18" i="1" s="1"/>
  <c r="Q29" i="1"/>
  <c r="U41" i="1" l="1"/>
  <c r="T34" i="1"/>
  <c r="T6" i="1"/>
  <c r="A18" i="1"/>
  <c r="U47" i="1"/>
  <c r="U25" i="1"/>
  <c r="U48" i="1" s="1"/>
  <c r="V45" i="1"/>
  <c r="T48" i="1"/>
  <c r="P31" i="1" s="1"/>
  <c r="O31" i="1"/>
  <c r="B11" i="1" s="1"/>
  <c r="V47" i="1" l="1"/>
  <c r="Q28" i="1"/>
  <c r="K34" i="2"/>
  <c r="K29" i="2"/>
  <c r="K25" i="2"/>
  <c r="K21" i="2"/>
  <c r="K30" i="2"/>
  <c r="K26" i="2"/>
  <c r="K22" i="2"/>
  <c r="K17" i="2"/>
  <c r="K42" i="2"/>
  <c r="K38" i="2"/>
  <c r="K33" i="2"/>
  <c r="K15" i="2"/>
  <c r="K11" i="2"/>
  <c r="K7" i="2"/>
  <c r="K3" i="2"/>
  <c r="K10" i="2"/>
  <c r="K31" i="2"/>
  <c r="K27" i="2"/>
  <c r="K23" i="2"/>
  <c r="K19" i="2"/>
  <c r="K14" i="2"/>
  <c r="K39" i="2"/>
  <c r="K35" i="2"/>
  <c r="K16" i="2"/>
  <c r="K12" i="2"/>
  <c r="K8" i="2"/>
  <c r="K4" i="2"/>
  <c r="K41" i="2"/>
  <c r="K32" i="2"/>
  <c r="K28" i="2"/>
  <c r="K24" i="2"/>
  <c r="K20" i="2"/>
  <c r="K40" i="2"/>
  <c r="K36" i="2"/>
  <c r="K18" i="2"/>
  <c r="K13" i="2"/>
  <c r="K9" i="2"/>
  <c r="K5" i="2"/>
  <c r="K37" i="2"/>
  <c r="K6" i="2"/>
  <c r="P25" i="1"/>
  <c r="E18" i="1" s="1"/>
  <c r="T7" i="1"/>
  <c r="L41" i="2" l="1"/>
  <c r="I41" i="2" s="1"/>
  <c r="L37" i="2"/>
  <c r="I37" i="2" s="1"/>
  <c r="L14" i="2"/>
  <c r="I14" i="2" s="1"/>
  <c r="L10" i="2"/>
  <c r="I10" i="2" s="1"/>
  <c r="L6" i="2"/>
  <c r="I6" i="2" s="1"/>
  <c r="L42" i="2"/>
  <c r="I42" i="2" s="1"/>
  <c r="L38" i="2"/>
  <c r="I38" i="2" s="1"/>
  <c r="L33" i="2"/>
  <c r="I33" i="2" s="1"/>
  <c r="L15" i="2"/>
  <c r="I15" i="2" s="1"/>
  <c r="L11" i="2"/>
  <c r="I11" i="2" s="1"/>
  <c r="L7" i="2"/>
  <c r="I7" i="2" s="1"/>
  <c r="L3" i="2"/>
  <c r="I3" i="2" s="1"/>
  <c r="L31" i="2"/>
  <c r="I31" i="2" s="1"/>
  <c r="L27" i="2"/>
  <c r="I27" i="2" s="1"/>
  <c r="L23" i="2"/>
  <c r="I23" i="2" s="1"/>
  <c r="L19" i="2"/>
  <c r="I19" i="2" s="1"/>
  <c r="L26" i="2"/>
  <c r="I26" i="2" s="1"/>
  <c r="L39" i="2"/>
  <c r="I39" i="2" s="1"/>
  <c r="L35" i="2"/>
  <c r="I35" i="2" s="1"/>
  <c r="L16" i="2"/>
  <c r="I16" i="2" s="1"/>
  <c r="L12" i="2"/>
  <c r="I12" i="2" s="1"/>
  <c r="L8" i="2"/>
  <c r="I8" i="2" s="1"/>
  <c r="L4" i="2"/>
  <c r="I4" i="2" s="1"/>
  <c r="L30" i="2"/>
  <c r="I30" i="2" s="1"/>
  <c r="L32" i="2"/>
  <c r="I32" i="2" s="1"/>
  <c r="L28" i="2"/>
  <c r="I28" i="2" s="1"/>
  <c r="L24" i="2"/>
  <c r="I24" i="2" s="1"/>
  <c r="L20" i="2"/>
  <c r="I20" i="2" s="1"/>
  <c r="L22" i="2"/>
  <c r="I22" i="2" s="1"/>
  <c r="L40" i="2"/>
  <c r="I40" i="2" s="1"/>
  <c r="L36" i="2"/>
  <c r="I36" i="2" s="1"/>
  <c r="L18" i="2"/>
  <c r="I18" i="2" s="1"/>
  <c r="L13" i="2"/>
  <c r="I13" i="2" s="1"/>
  <c r="L9" i="2"/>
  <c r="I9" i="2" s="1"/>
  <c r="L5" i="2"/>
  <c r="I5" i="2" s="1"/>
  <c r="L34" i="2"/>
  <c r="I34" i="2" s="1"/>
  <c r="L29" i="2"/>
  <c r="I29" i="2" s="1"/>
  <c r="L25" i="2"/>
  <c r="I25" i="2" s="1"/>
  <c r="L21" i="2"/>
  <c r="I21" i="2" s="1"/>
  <c r="L17" i="2"/>
  <c r="I17" i="2" s="1"/>
  <c r="Q30" i="1"/>
  <c r="D10" i="1" s="1"/>
  <c r="V48" i="1"/>
  <c r="U58" i="1" l="1"/>
  <c r="AG46" i="1" s="1"/>
  <c r="T58" i="1"/>
  <c r="R15" i="2"/>
  <c r="R11" i="2"/>
  <c r="R7" i="2"/>
  <c r="R3" i="2"/>
  <c r="R12" i="2"/>
  <c r="R8" i="2"/>
  <c r="R4" i="2"/>
  <c r="R13" i="2"/>
  <c r="R9" i="2"/>
  <c r="R5" i="2"/>
  <c r="R14" i="2"/>
  <c r="R10" i="2"/>
  <c r="R6" i="2"/>
  <c r="Q31" i="1"/>
  <c r="D11" i="1" s="1"/>
  <c r="R29" i="2" l="1"/>
  <c r="R45" i="2" s="1"/>
  <c r="S13" i="2"/>
  <c r="R20" i="2"/>
  <c r="R36" i="2" s="1"/>
  <c r="S4" i="2"/>
  <c r="R19" i="2"/>
  <c r="R35" i="2" s="1"/>
  <c r="S3" i="2"/>
  <c r="R24" i="2"/>
  <c r="R40" i="2" s="1"/>
  <c r="S8" i="2"/>
  <c r="R22" i="2"/>
  <c r="R38" i="2" s="1"/>
  <c r="S6" i="2"/>
  <c r="R28" i="2"/>
  <c r="R44" i="2" s="1"/>
  <c r="S12" i="2"/>
  <c r="R26" i="2"/>
  <c r="R42" i="2" s="1"/>
  <c r="S10" i="2"/>
  <c r="R30" i="2"/>
  <c r="R46" i="2" s="1"/>
  <c r="S14" i="2"/>
  <c r="R23" i="2"/>
  <c r="R39" i="2" s="1"/>
  <c r="S7" i="2"/>
  <c r="R21" i="2"/>
  <c r="R37" i="2" s="1"/>
  <c r="S5" i="2"/>
  <c r="R27" i="2"/>
  <c r="R43" i="2" s="1"/>
  <c r="S11" i="2"/>
  <c r="R25" i="2"/>
  <c r="R41" i="2" s="1"/>
  <c r="S9" i="2"/>
  <c r="R31" i="2"/>
  <c r="R47" i="2" s="1"/>
  <c r="S15" i="2"/>
  <c r="AD46" i="1"/>
  <c r="AE39" i="1"/>
  <c r="AF46" i="1"/>
  <c r="S25" i="2" l="1"/>
  <c r="P9" i="2"/>
  <c r="S26" i="2"/>
  <c r="P10" i="2"/>
  <c r="S20" i="2"/>
  <c r="P4" i="2"/>
  <c r="S30" i="2"/>
  <c r="P14" i="2"/>
  <c r="S19" i="2"/>
  <c r="P3" i="2"/>
  <c r="S21" i="2"/>
  <c r="P5" i="2"/>
  <c r="S28" i="2"/>
  <c r="P12" i="2"/>
  <c r="S31" i="2"/>
  <c r="P15" i="2"/>
  <c r="S22" i="2"/>
  <c r="P6" i="2"/>
  <c r="S29" i="2"/>
  <c r="P13" i="2"/>
  <c r="S24" i="2"/>
  <c r="P8" i="2"/>
  <c r="S27" i="2"/>
  <c r="P11" i="2"/>
  <c r="S23" i="2"/>
  <c r="P7" i="2"/>
  <c r="P30" i="2" l="1"/>
  <c r="S46" i="2"/>
  <c r="P46" i="2" s="1"/>
  <c r="S45" i="2"/>
  <c r="P45" i="2" s="1"/>
  <c r="P29" i="2"/>
  <c r="S37" i="2"/>
  <c r="P37" i="2" s="1"/>
  <c r="P21" i="2"/>
  <c r="P23" i="2"/>
  <c r="S39" i="2"/>
  <c r="P39" i="2" s="1"/>
  <c r="S40" i="2"/>
  <c r="P40" i="2" s="1"/>
  <c r="P24" i="2"/>
  <c r="S36" i="2"/>
  <c r="P36" i="2" s="1"/>
  <c r="P20" i="2"/>
  <c r="P22" i="2"/>
  <c r="S38" i="2"/>
  <c r="P38" i="2" s="1"/>
  <c r="P26" i="2"/>
  <c r="S42" i="2"/>
  <c r="P42" i="2" s="1"/>
  <c r="P28" i="2"/>
  <c r="S44" i="2"/>
  <c r="P44" i="2" s="1"/>
  <c r="P27" i="2"/>
  <c r="S43" i="2"/>
  <c r="P43" i="2" s="1"/>
  <c r="T59" i="1"/>
  <c r="U59" i="1"/>
  <c r="AG47" i="1" s="1"/>
  <c r="S47" i="2"/>
  <c r="P47" i="2" s="1"/>
  <c r="P31" i="2"/>
  <c r="P19" i="2"/>
  <c r="S35" i="2"/>
  <c r="P35" i="2" s="1"/>
  <c r="S41" i="2"/>
  <c r="P41" i="2" s="1"/>
  <c r="P25" i="2"/>
  <c r="U61" i="1" l="1"/>
  <c r="AG49" i="1" s="1"/>
  <c r="T61" i="1"/>
  <c r="AD47" i="1"/>
  <c r="AE40" i="1"/>
  <c r="AF47" i="1"/>
  <c r="T60" i="1"/>
  <c r="U60" i="1"/>
  <c r="AG48" i="1" s="1"/>
  <c r="S52" i="1" l="1"/>
  <c r="AD48" i="1"/>
  <c r="O6" i="1" s="1"/>
  <c r="C22" i="1" s="1"/>
  <c r="AE41" i="1"/>
  <c r="T52" i="1" s="1"/>
  <c r="AF48" i="1"/>
  <c r="O7" i="1"/>
  <c r="E22" i="1" s="1"/>
  <c r="O8" i="1"/>
  <c r="C21" i="1" s="1"/>
  <c r="N6" i="1"/>
  <c r="A22" i="1" s="1"/>
  <c r="AE42" i="1"/>
  <c r="AF49" i="1"/>
  <c r="AD49" i="1"/>
  <c r="U52" i="1" l="1"/>
</calcChain>
</file>

<file path=xl/sharedStrings.xml><?xml version="1.0" encoding="utf-8"?>
<sst xmlns="http://schemas.openxmlformats.org/spreadsheetml/2006/main" count="469" uniqueCount="184">
  <si>
    <t>-</t>
  </si>
  <si>
    <t>Resultados</t>
  </si>
  <si>
    <t xml:space="preserve">Cálculos </t>
  </si>
  <si>
    <t>Información</t>
  </si>
  <si>
    <t>Listas</t>
  </si>
  <si>
    <t>Tablas de Verdad</t>
  </si>
  <si>
    <t>Fecha</t>
  </si>
  <si>
    <t>Selección</t>
  </si>
  <si>
    <t>No. Piezas</t>
  </si>
  <si>
    <t>Datos de Entrada</t>
  </si>
  <si>
    <t>Seleccione</t>
  </si>
  <si>
    <t>Valor</t>
  </si>
  <si>
    <t xml:space="preserve">Separación Banda </t>
  </si>
  <si>
    <t>Capacidad Admisible Entera</t>
  </si>
  <si>
    <t>General Electric</t>
  </si>
  <si>
    <t>Tipo de Bandas</t>
  </si>
  <si>
    <t>Estado</t>
  </si>
  <si>
    <t>Fecha de Entrega</t>
  </si>
  <si>
    <t>Watts</t>
  </si>
  <si>
    <t>Compensación (banda) (mm)</t>
  </si>
  <si>
    <t>Volts</t>
  </si>
  <si>
    <t xml:space="preserve">Uso de: </t>
  </si>
  <si>
    <t>Zonas</t>
  </si>
  <si>
    <t>Diámetro</t>
  </si>
  <si>
    <t>Compensación</t>
  </si>
  <si>
    <t>Cierre de Ceja</t>
  </si>
  <si>
    <t xml:space="preserve">Por Media </t>
  </si>
  <si>
    <t>Por Cada</t>
  </si>
  <si>
    <t>Amperes</t>
  </si>
  <si>
    <t>Zona Fría (mm)</t>
  </si>
  <si>
    <t>menos-&gt;26</t>
  </si>
  <si>
    <t>Cierre de Perno</t>
  </si>
  <si>
    <t>Caña</t>
  </si>
  <si>
    <t>Núcleo</t>
  </si>
  <si>
    <t>Tolerancia</t>
  </si>
  <si>
    <t xml:space="preserve">Ancho </t>
  </si>
  <si>
    <t>Ohms</t>
  </si>
  <si>
    <t xml:space="preserve">Separación </t>
  </si>
  <si>
    <t>(E20-(E20/2-(L23/2)-7))</t>
  </si>
  <si>
    <t>Zona Caliente (m)</t>
  </si>
  <si>
    <t>26-&gt;38</t>
  </si>
  <si>
    <t>Medias Cañas</t>
  </si>
  <si>
    <t xml:space="preserve">Watts </t>
  </si>
  <si>
    <t>Tipo</t>
  </si>
  <si>
    <t>38-&gt;50</t>
  </si>
  <si>
    <t>Media Caña</t>
  </si>
  <si>
    <t>Zona Fría Extras por Barrenos</t>
  </si>
  <si>
    <t>1 Núcleo</t>
  </si>
  <si>
    <t>2 Núcleos</t>
  </si>
  <si>
    <t>50-&gt;70</t>
  </si>
  <si>
    <t>No. De Piezas</t>
  </si>
  <si>
    <t>Ceja de</t>
  </si>
  <si>
    <t>Resultado</t>
  </si>
  <si>
    <t>Terminal</t>
  </si>
  <si>
    <t>Casos</t>
  </si>
  <si>
    <t>Tolerancia 8%</t>
  </si>
  <si>
    <t>Watts, Volts</t>
  </si>
  <si>
    <t xml:space="preserve">Capacidad </t>
  </si>
  <si>
    <t>Resultado Barreno</t>
  </si>
  <si>
    <t>Tornillo Ambos Extremos</t>
  </si>
  <si>
    <t>Watts, Amperes</t>
  </si>
  <si>
    <t>Tornillo en un Extremo</t>
  </si>
  <si>
    <t>Watts, Ohms</t>
  </si>
  <si>
    <t>No.</t>
  </si>
  <si>
    <t xml:space="preserve">Largo </t>
  </si>
  <si>
    <t>Ancho</t>
  </si>
  <si>
    <t>Ceja de:</t>
  </si>
  <si>
    <t>Tipo de Banda</t>
  </si>
  <si>
    <t>Capacidad Admisible</t>
  </si>
  <si>
    <t>Flexible en un Extremo</t>
  </si>
  <si>
    <t>Volts, Amperes</t>
  </si>
  <si>
    <t>Cortar Lámina Base</t>
  </si>
  <si>
    <t xml:space="preserve">Cierre de: </t>
  </si>
  <si>
    <t>Núcleos</t>
  </si>
  <si>
    <t>Serie</t>
  </si>
  <si>
    <t>Paralelo</t>
  </si>
  <si>
    <t>Zona Fría Extra por Terminales Flexibles</t>
  </si>
  <si>
    <t>No importa</t>
  </si>
  <si>
    <t>Flexible a 180 grados</t>
  </si>
  <si>
    <t>Volts, Ohms</t>
  </si>
  <si>
    <t>Cortar Lámina Tapa</t>
  </si>
  <si>
    <t xml:space="preserve">Serie </t>
  </si>
  <si>
    <t>Amperes, Ohms</t>
  </si>
  <si>
    <t>Cortar Tapa Mica</t>
  </si>
  <si>
    <t>Zona Fría Extra</t>
  </si>
  <si>
    <t>Cortar Nucleo</t>
  </si>
  <si>
    <t>Terminales</t>
  </si>
  <si>
    <t>Barrenos</t>
  </si>
  <si>
    <t xml:space="preserve">Cincho </t>
  </si>
  <si>
    <t>Capacidad Admisible Final</t>
  </si>
  <si>
    <t>Barreno</t>
  </si>
  <si>
    <t>menos-&gt;100</t>
  </si>
  <si>
    <t>Separación:</t>
  </si>
  <si>
    <t>Corte</t>
  </si>
  <si>
    <t>Largo</t>
  </si>
  <si>
    <t>Cálculo de Datos de Entrada</t>
  </si>
  <si>
    <t>100-&gt;200</t>
  </si>
  <si>
    <t>200-&gt;más</t>
  </si>
  <si>
    <t>Descripción:</t>
  </si>
  <si>
    <t>Separación (banda) (mm)</t>
  </si>
  <si>
    <t>Separación</t>
  </si>
  <si>
    <t>Cálculo Datos Entrada Final</t>
  </si>
  <si>
    <t>Cada Media Caña</t>
  </si>
  <si>
    <t>Estado Núcleo</t>
  </si>
  <si>
    <t>Conexión</t>
  </si>
  <si>
    <t>No. Núcleos</t>
  </si>
  <si>
    <t>Separación de:</t>
  </si>
  <si>
    <t>Ancho Tapa Núcleo</t>
  </si>
  <si>
    <t>Estado Medias Cañas</t>
  </si>
  <si>
    <t>Capacidad Admisible Resta (Watts)</t>
  </si>
  <si>
    <t>Cálculo Cortes Final</t>
  </si>
  <si>
    <t>Hasta 190</t>
  </si>
  <si>
    <t>Más</t>
  </si>
  <si>
    <t>Comprobación En Separación</t>
  </si>
  <si>
    <t>Alambre</t>
  </si>
  <si>
    <t>Cinta Sencilla</t>
  </si>
  <si>
    <t>Diám. Barreno</t>
  </si>
  <si>
    <t xml:space="preserve">Sep. En Ancho </t>
  </si>
  <si>
    <t>Cinta Doble</t>
  </si>
  <si>
    <t>Hasta 13</t>
  </si>
  <si>
    <t>Cinta Triple</t>
  </si>
  <si>
    <t>Hasta 30</t>
  </si>
  <si>
    <t>Valores de Entrada</t>
  </si>
  <si>
    <t xml:space="preserve">Valores </t>
  </si>
  <si>
    <t>Comprobación En Separación Final</t>
  </si>
  <si>
    <t>Calibre o Ohms/m</t>
  </si>
  <si>
    <t>Sep. En Ancho</t>
  </si>
  <si>
    <t>Calibre</t>
  </si>
  <si>
    <t>Ohms/metro</t>
  </si>
  <si>
    <t>Comprobación en Separación</t>
  </si>
  <si>
    <t xml:space="preserve">Tipo </t>
  </si>
  <si>
    <t>Calibre o Ohms/metros</t>
  </si>
  <si>
    <t>Zona Fría por lado lados</t>
  </si>
  <si>
    <t>Hasta 100 mm</t>
  </si>
  <si>
    <t>Comrpobación Watts&lt;&gt;Capacidad Admisible</t>
  </si>
  <si>
    <t>Hasta 150 mm</t>
  </si>
  <si>
    <t>Más de eso</t>
  </si>
  <si>
    <t>Comprobación en Separación Final</t>
  </si>
  <si>
    <t>Calibre o Ohms</t>
  </si>
  <si>
    <t>Tabla Alambre Ohms/Metro</t>
  </si>
  <si>
    <t>Tabla Cintas Ohms/Metro</t>
  </si>
  <si>
    <t xml:space="preserve">Comprobación Alambre </t>
  </si>
  <si>
    <t>Comprobación Cinta Sencilla</t>
  </si>
  <si>
    <t>Diámetro(mm)</t>
  </si>
  <si>
    <t>Ohms/Metro</t>
  </si>
  <si>
    <t>M/Kg</t>
  </si>
  <si>
    <t>Ancho de Cinta</t>
  </si>
  <si>
    <t>Metros Lineales</t>
  </si>
  <si>
    <t>Estado: normal</t>
  </si>
  <si>
    <t>Cinta: Ohms/metro</t>
  </si>
  <si>
    <t>Metros lineales</t>
  </si>
  <si>
    <t>Comprobación Cinta Doble</t>
  </si>
  <si>
    <t>Comprobación Cinta Triple</t>
  </si>
  <si>
    <t>VVFF</t>
  </si>
  <si>
    <t>VFVF</t>
  </si>
  <si>
    <t>VFFV</t>
  </si>
  <si>
    <t>VVVV</t>
  </si>
  <si>
    <t>VVVF</t>
  </si>
  <si>
    <t>VVFV</t>
  </si>
  <si>
    <t>VFFF</t>
  </si>
  <si>
    <t>FVVF</t>
  </si>
  <si>
    <t>FVFV</t>
  </si>
  <si>
    <t>FVVV</t>
  </si>
  <si>
    <t>FVFF</t>
  </si>
  <si>
    <t>FFVV</t>
  </si>
  <si>
    <t>FFVF</t>
  </si>
  <si>
    <t>FFFV</t>
  </si>
  <si>
    <t>FFFF</t>
  </si>
  <si>
    <t xml:space="preserve">Tipo de Terminales </t>
  </si>
  <si>
    <t>#VALUE!</t>
  </si>
  <si>
    <t>Barreno 45 y 90</t>
  </si>
  <si>
    <t>Barreno 45 y 180</t>
  </si>
  <si>
    <t>Barreno 45 y 270</t>
  </si>
  <si>
    <t>Barreno 45, 90, 180 y 270</t>
  </si>
  <si>
    <t>Barreno 45, 90 y 180</t>
  </si>
  <si>
    <t>Barreno 45, 90 y 270</t>
  </si>
  <si>
    <t>Barreno 45</t>
  </si>
  <si>
    <t>Barreno 90 y 180</t>
  </si>
  <si>
    <t>Barreno 90 y 270</t>
  </si>
  <si>
    <t>Barreno 90, 180 y 270</t>
  </si>
  <si>
    <t>Barreno 90</t>
  </si>
  <si>
    <t>Barreno 180 y 270</t>
  </si>
  <si>
    <t xml:space="preserve">Barreno 180 </t>
  </si>
  <si>
    <t>Barreno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</si>
</sst>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00"/>
    <numFmt numFmtId="166" formatCode="0.0"/>
    <numFmt numFmtId="167" formatCode="00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8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DADADA"/>
        <bgColor rgb="FFDADADA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4"/>
  </cellStyleXfs>
  <cellXfs count="70"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1" fillId="4" borderId="5" xfId="0" applyFont="1" applyFill="1" applyBorder="1"/>
    <xf numFmtId="0" fontId="1" fillId="0" borderId="5" xfId="0" applyFont="1" applyBorder="1"/>
    <xf numFmtId="0" fontId="1" fillId="5" borderId="5" xfId="0" applyFont="1" applyFill="1" applyBorder="1"/>
    <xf numFmtId="164" fontId="1" fillId="0" borderId="0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0" borderId="0" xfId="0" applyFont="1" applyBorder="1" applyAlignment="1">
      <alignment horizontal="right"/>
    </xf>
    <xf numFmtId="165" fontId="1" fillId="0" borderId="5" xfId="0" applyNumberFormat="1" applyFont="1" applyBorder="1"/>
    <xf numFmtId="2" fontId="1" fillId="0" borderId="5" xfId="0" applyNumberFormat="1" applyFont="1" applyBorder="1"/>
    <xf numFmtId="2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8" borderId="5" xfId="0" applyFont="1" applyFill="1" applyBorder="1"/>
    <xf numFmtId="165" fontId="1" fillId="0" borderId="0" xfId="0" applyNumberFormat="1" applyFont="1" applyBorder="1"/>
    <xf numFmtId="166" fontId="1" fillId="0" borderId="5" xfId="0" applyNumberFormat="1" applyFont="1" applyBorder="1"/>
    <xf numFmtId="0" fontId="1" fillId="9" borderId="5" xfId="0" applyFont="1" applyFill="1" applyBorder="1"/>
    <xf numFmtId="167" fontId="1" fillId="0" borderId="5" xfId="0" applyNumberFormat="1" applyFont="1" applyBorder="1"/>
    <xf numFmtId="167" fontId="1" fillId="0" borderId="0" xfId="0" applyNumberFormat="1" applyFont="1" applyBorder="1"/>
    <xf numFmtId="0" fontId="1" fillId="10" borderId="11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1" fillId="7" borderId="5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center"/>
    </xf>
    <xf numFmtId="0" fontId="1" fillId="0" borderId="12" xfId="0" applyFont="1" applyBorder="1"/>
    <xf numFmtId="9" fontId="1" fillId="0" borderId="0" xfId="0" applyNumberFormat="1" applyFont="1" applyBorder="1"/>
    <xf numFmtId="0" fontId="1" fillId="0" borderId="5" xfId="0" applyFont="1" applyBorder="1" applyAlignment="1">
      <alignment horizontal="left"/>
    </xf>
    <xf numFmtId="0" fontId="1" fillId="5" borderId="9" xfId="0" applyFont="1" applyFill="1" applyBorder="1"/>
    <xf numFmtId="0" fontId="1" fillId="5" borderId="10" xfId="0" applyFont="1" applyFill="1" applyBorder="1"/>
    <xf numFmtId="1" fontId="1" fillId="0" borderId="0" xfId="0" applyNumberFormat="1" applyFont="1" applyBorder="1"/>
    <xf numFmtId="0" fontId="1" fillId="0" borderId="5" xfId="0" applyFont="1" applyBorder="1" applyAlignment="1">
      <alignment horizontal="center"/>
    </xf>
    <xf numFmtId="0" fontId="1" fillId="11" borderId="11" xfId="0" applyFont="1" applyFill="1" applyBorder="1"/>
    <xf numFmtId="0" fontId="1" fillId="11" borderId="11" xfId="0" applyFont="1" applyFill="1" applyBorder="1" applyAlignment="1">
      <alignment horizontal="center"/>
    </xf>
    <xf numFmtId="1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/>
    <xf numFmtId="166" fontId="1" fillId="0" borderId="6" xfId="0" applyNumberFormat="1" applyFont="1" applyBorder="1"/>
    <xf numFmtId="0" fontId="1" fillId="7" borderId="5" xfId="0" applyFont="1" applyFill="1" applyBorder="1"/>
    <xf numFmtId="0" fontId="1" fillId="0" borderId="13" xfId="0" applyFont="1" applyBorder="1"/>
    <xf numFmtId="0" fontId="1" fillId="0" borderId="3" xfId="0" applyFont="1" applyBorder="1"/>
    <xf numFmtId="0" fontId="1" fillId="9" borderId="9" xfId="0" applyFont="1" applyFill="1" applyBorder="1"/>
    <xf numFmtId="0" fontId="1" fillId="9" borderId="14" xfId="0" applyFont="1" applyFill="1" applyBorder="1"/>
    <xf numFmtId="0" fontId="1" fillId="9" borderId="10" xfId="0" applyFont="1" applyFill="1" applyBorder="1"/>
    <xf numFmtId="0" fontId="1" fillId="12" borderId="9" xfId="0" applyFont="1" applyFill="1" applyBorder="1"/>
    <xf numFmtId="0" fontId="1" fillId="12" borderId="14" xfId="0" applyFont="1" applyFill="1" applyBorder="1"/>
    <xf numFmtId="0" fontId="1" fillId="12" borderId="10" xfId="0" applyFont="1" applyFill="1" applyBorder="1"/>
    <xf numFmtId="0" fontId="1" fillId="12" borderId="5" xfId="0" applyFont="1" applyFill="1" applyBorder="1"/>
    <xf numFmtId="0" fontId="1" fillId="0" borderId="6" xfId="0" applyFont="1" applyBorder="1"/>
    <xf numFmtId="0" fontId="1" fillId="5" borderId="2" xfId="0" applyFont="1" applyFill="1" applyBorder="1" applyAlignment="1">
      <alignment horizontal="center"/>
    </xf>
    <xf numFmtId="0" fontId="1" fillId="5" borderId="14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0" borderId="0" xfId="0" applyFont="1" applyBorder="1"/>
    <xf numFmtId="0" fontId="1" fillId="13" borderId="5" xfId="0" applyFont="1" applyFill="1" applyBorder="1"/>
    <xf numFmtId="0" fontId="1" fillId="0" borderId="1" xfId="0" applyFont="1" applyBorder="1"/>
    <xf numFmtId="0" fontId="1" fillId="7" borderId="5" xfId="0" applyFont="1" applyFill="1" applyBorder="1" applyAlignment="1">
      <alignment horizontal="center"/>
    </xf>
    <xf numFmtId="0" fontId="0" fillId="0" borderId="10" xfId="0" applyBorder="1"/>
    <xf numFmtId="0" fontId="1" fillId="0" borderId="5" xfId="0" applyFont="1" applyBorder="1" applyAlignment="1">
      <alignment horizontal="center"/>
    </xf>
    <xf numFmtId="0" fontId="3" fillId="3" borderId="4" xfId="0" applyFont="1" applyFill="1" applyAlignment="1">
      <alignment horizontal="center"/>
    </xf>
    <xf numFmtId="0" fontId="0" fillId="0" borderId="0" xfId="0" applyBorder="1"/>
    <xf numFmtId="0" fontId="1" fillId="9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4" xfId="0" applyBorder="1"/>
    <xf numFmtId="0" fontId="1" fillId="6" borderId="11" xfId="0" applyFont="1" applyFill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9.png"/><Relationship Id="rId12" Type="http://schemas.openxmlformats.org/officeDocument/2006/relationships/image" Target="../media/image6.png"/><Relationship Id="rId17" Type="http://schemas.openxmlformats.org/officeDocument/2006/relationships/image" Target="../media/image12.png"/><Relationship Id="rId2" Type="http://schemas.openxmlformats.org/officeDocument/2006/relationships/image" Target="../media/image3.png"/><Relationship Id="rId16" Type="http://schemas.openxmlformats.org/officeDocument/2006/relationships/image" Target="../media/image11.png"/><Relationship Id="rId1" Type="http://schemas.openxmlformats.org/officeDocument/2006/relationships/image" Target="../media/image15.png"/><Relationship Id="rId6" Type="http://schemas.openxmlformats.org/officeDocument/2006/relationships/image" Target="../media/image18.png"/><Relationship Id="rId11" Type="http://schemas.openxmlformats.org/officeDocument/2006/relationships/image" Target="../media/image5.png"/><Relationship Id="rId5" Type="http://schemas.openxmlformats.org/officeDocument/2006/relationships/image" Target="../media/image17.png"/><Relationship Id="rId15" Type="http://schemas.openxmlformats.org/officeDocument/2006/relationships/image" Target="../media/image10.png"/><Relationship Id="rId10" Type="http://schemas.openxmlformats.org/officeDocument/2006/relationships/image" Target="../media/image4.png"/><Relationship Id="rId19" Type="http://schemas.openxmlformats.org/officeDocument/2006/relationships/image" Target="../media/image14.png"/><Relationship Id="rId4" Type="http://schemas.openxmlformats.org/officeDocument/2006/relationships/image" Target="../media/image16.png"/><Relationship Id="rId9" Type="http://schemas.openxmlformats.org/officeDocument/2006/relationships/image" Target="../media/image1.pn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2219325</xdr:rowOff>
    </xdr:from>
    <xdr:ext cx="4133850" cy="224790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4038600" cy="227647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3962400" cy="2228850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4124325" cy="2324100"/>
    <xdr:pic>
      <xdr:nvPicPr>
        <xdr:cNvPr id="5" name="image14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4095750" cy="2305050"/>
    <xdr:pic>
      <xdr:nvPicPr>
        <xdr:cNvPr id="6" name="image1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4095750" cy="2305050"/>
    <xdr:pic>
      <xdr:nvPicPr>
        <xdr:cNvPr id="7" name="image15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4133850" cy="2324100"/>
    <xdr:pic>
      <xdr:nvPicPr>
        <xdr:cNvPr id="8" name="image19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4076700" cy="2286000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4133850" cy="2324100"/>
    <xdr:pic>
      <xdr:nvPicPr>
        <xdr:cNvPr id="10" name="image11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4133850" cy="2324100"/>
    <xdr:pic>
      <xdr:nvPicPr>
        <xdr:cNvPr id="11" name="image20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4133850" cy="2324100"/>
    <xdr:pic>
      <xdr:nvPicPr>
        <xdr:cNvPr id="12" name="image7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4124325" cy="2324100"/>
    <xdr:pic>
      <xdr:nvPicPr>
        <xdr:cNvPr id="13" name="image5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4133850" cy="2324100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4095750" cy="2305050"/>
    <xdr:pic>
      <xdr:nvPicPr>
        <xdr:cNvPr id="15" name="image10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66675</xdr:rowOff>
    </xdr:from>
    <xdr:ext cx="3981450" cy="2238375"/>
    <xdr:pic>
      <xdr:nvPicPr>
        <xdr:cNvPr id="2" name="image17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95250</xdr:colOff>
      <xdr:row>7</xdr:row>
      <xdr:rowOff>47625</xdr:rowOff>
    </xdr:from>
    <xdr:ext cx="3943350" cy="221932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66675</xdr:colOff>
      <xdr:row>13</xdr:row>
      <xdr:rowOff>0</xdr:rowOff>
    </xdr:from>
    <xdr:ext cx="3933825" cy="224790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314325</xdr:colOff>
      <xdr:row>1</xdr:row>
      <xdr:rowOff>219075</xdr:rowOff>
    </xdr:from>
    <xdr:ext cx="5543550" cy="3057525"/>
    <xdr:pic>
      <xdr:nvPicPr>
        <xdr:cNvPr id="5" name="image3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4038600" cy="22669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4038600" cy="2266950"/>
    <xdr:pic>
      <xdr:nvPicPr>
        <xdr:cNvPr id="7" name="image18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4038600" cy="2266950"/>
    <xdr:pic>
      <xdr:nvPicPr>
        <xdr:cNvPr id="8" name="image12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4038600" cy="22669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4038600" cy="2266950"/>
    <xdr:pic>
      <xdr:nvPicPr>
        <xdr:cNvPr id="10" name="image16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4038600" cy="2266950"/>
    <xdr:pic>
      <xdr:nvPicPr>
        <xdr:cNvPr id="11" name="image14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4038600" cy="2266950"/>
    <xdr:pic>
      <xdr:nvPicPr>
        <xdr:cNvPr id="12" name="image13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4038600" cy="2266950"/>
    <xdr:pic>
      <xdr:nvPicPr>
        <xdr:cNvPr id="13" name="image15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4038600" cy="2266950"/>
    <xdr:pic>
      <xdr:nvPicPr>
        <xdr:cNvPr id="14" name="image19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4038600" cy="2266950"/>
    <xdr:pic>
      <xdr:nvPicPr>
        <xdr:cNvPr id="15" name="image11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4038600" cy="2266950"/>
    <xdr:pic>
      <xdr:nvPicPr>
        <xdr:cNvPr id="16" name="image20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4038600" cy="2266950"/>
    <xdr:pic>
      <xdr:nvPicPr>
        <xdr:cNvPr id="17" name="image7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4038600" cy="2266950"/>
    <xdr:pic>
      <xdr:nvPicPr>
        <xdr:cNvPr id="18" name="image5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4038600" cy="2266950"/>
    <xdr:pic>
      <xdr:nvPicPr>
        <xdr:cNvPr id="19" name="image2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4038600" cy="2266950"/>
    <xdr:pic>
      <xdr:nvPicPr>
        <xdr:cNvPr id="20" name="image10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tabSelected="1" workbookViewId="0">
      <selection activeCell="B4" sqref="B4"/>
    </sheetView>
  </sheetViews>
  <sheetFormatPr baseColWidth="10" defaultColWidth="14.44140625" defaultRowHeight="15" customHeight="1" x14ac:dyDescent="0.3"/>
  <cols>
    <col min="1" max="1" width="10.88671875" customWidth="1"/>
    <col min="2" max="2" width="11.44140625" customWidth="1"/>
    <col min="3" max="4" width="10.109375" customWidth="1"/>
    <col min="5" max="5" width="10.88671875" customWidth="1"/>
    <col min="6" max="6" width="12" customWidth="1"/>
    <col min="7" max="7" width="13.88671875" customWidth="1"/>
    <col min="8" max="8" width="8.44140625" customWidth="1"/>
    <col min="9" max="9" width="6.88671875" customWidth="1"/>
    <col min="10" max="10" width="17.44140625" customWidth="1"/>
    <col min="11" max="11" width="12" customWidth="1"/>
    <col min="12" max="12" width="10.88671875" customWidth="1"/>
    <col min="13" max="13" width="5.44140625" customWidth="1"/>
    <col min="14" max="14" width="18.109375" customWidth="1"/>
    <col min="15" max="15" width="10.5546875" customWidth="1"/>
    <col min="16" max="17" width="9.5546875" customWidth="1"/>
    <col min="18" max="18" width="6" customWidth="1"/>
    <col min="19" max="19" width="17.5546875" customWidth="1"/>
    <col min="20" max="20" width="12.44140625" customWidth="1"/>
    <col min="21" max="21" width="12.109375" customWidth="1"/>
    <col min="22" max="22" width="11.109375" customWidth="1"/>
    <col min="23" max="23" width="3.88671875" customWidth="1"/>
    <col min="24" max="24" width="13.44140625" customWidth="1"/>
    <col min="25" max="25" width="14.44140625" customWidth="1"/>
    <col min="26" max="26" width="8.44140625" customWidth="1"/>
    <col min="27" max="27" width="4.109375" customWidth="1"/>
    <col min="28" max="28" width="22.88671875" customWidth="1"/>
    <col min="29" max="29" width="4.44140625" customWidth="1"/>
    <col min="30" max="30" width="15.44140625" customWidth="1"/>
    <col min="31" max="31" width="14.109375" customWidth="1"/>
    <col min="32" max="32" width="14.44140625" customWidth="1"/>
    <col min="33" max="34" width="10.88671875" customWidth="1"/>
  </cols>
  <sheetData>
    <row r="1" spans="1:31" ht="15" customHeight="1" x14ac:dyDescent="0.3">
      <c r="B1">
        <v>225</v>
      </c>
      <c r="I1" s="1" t="s">
        <v>0</v>
      </c>
      <c r="J1" s="2"/>
      <c r="K1" s="2"/>
      <c r="L1" s="2"/>
      <c r="M1" s="1" t="s">
        <v>0</v>
      </c>
      <c r="N1" s="3" t="s">
        <v>1</v>
      </c>
      <c r="O1" s="3"/>
      <c r="P1" s="3"/>
      <c r="Q1" s="3"/>
      <c r="R1" s="3" t="s">
        <v>0</v>
      </c>
      <c r="S1" s="4" t="s">
        <v>2</v>
      </c>
      <c r="W1" s="3" t="s">
        <v>0</v>
      </c>
      <c r="X1" s="4" t="s">
        <v>3</v>
      </c>
      <c r="AA1" s="3" t="s">
        <v>0</v>
      </c>
      <c r="AB1" s="4" t="s">
        <v>4</v>
      </c>
      <c r="AC1" s="3" t="s">
        <v>0</v>
      </c>
      <c r="AD1" s="5" t="s">
        <v>5</v>
      </c>
    </row>
    <row r="2" spans="1:31" ht="18" customHeight="1" x14ac:dyDescent="0.45">
      <c r="A2" s="4"/>
      <c r="F2" s="4" t="s">
        <v>6</v>
      </c>
      <c r="G2" s="9">
        <f ca="1">TODAY()</f>
        <v>45832</v>
      </c>
      <c r="I2" s="1" t="s">
        <v>0</v>
      </c>
      <c r="J2" s="63" t="s">
        <v>7</v>
      </c>
      <c r="K2" s="64"/>
      <c r="L2" s="64"/>
      <c r="M2" s="1" t="s">
        <v>0</v>
      </c>
      <c r="N2" s="3"/>
      <c r="O2" s="3"/>
      <c r="P2" s="3"/>
      <c r="Q2" s="3"/>
      <c r="R2" s="3" t="s">
        <v>0</v>
      </c>
      <c r="W2" s="3" t="s">
        <v>0</v>
      </c>
      <c r="AA2" s="3" t="s">
        <v>0</v>
      </c>
      <c r="AC2" s="3" t="s">
        <v>0</v>
      </c>
      <c r="AD2" s="3"/>
    </row>
    <row r="3" spans="1:31" ht="14.25" customHeight="1" x14ac:dyDescent="0.3">
      <c r="A3" s="4"/>
      <c r="C3" s="11"/>
      <c r="D3" s="11"/>
      <c r="F3" s="4" t="s">
        <v>8</v>
      </c>
      <c r="G3" s="4">
        <f>L10</f>
        <v>0</v>
      </c>
      <c r="I3" s="1" t="s">
        <v>0</v>
      </c>
      <c r="J3" s="6" t="s">
        <v>9</v>
      </c>
      <c r="K3" s="7" t="s">
        <v>10</v>
      </c>
      <c r="L3" s="7" t="s">
        <v>11</v>
      </c>
      <c r="M3" s="1" t="s">
        <v>0</v>
      </c>
      <c r="N3" s="8" t="s">
        <v>12</v>
      </c>
      <c r="O3" s="7">
        <f>Y33</f>
        <v>16</v>
      </c>
      <c r="R3" s="3" t="s">
        <v>0</v>
      </c>
      <c r="S3" s="8" t="s">
        <v>13</v>
      </c>
      <c r="T3" s="7">
        <f>(((PI()*(L8/10))-(Y33/10))*(L9/10)*4)</f>
        <v>1105.3733552923256</v>
      </c>
      <c r="W3" s="3" t="s">
        <v>0</v>
      </c>
      <c r="X3" s="68" t="s">
        <v>14</v>
      </c>
      <c r="Y3" s="69"/>
      <c r="Z3" s="3"/>
      <c r="AA3" s="3" t="s">
        <v>0</v>
      </c>
      <c r="AB3" s="8" t="s">
        <v>15</v>
      </c>
      <c r="AC3" s="3" t="s">
        <v>0</v>
      </c>
      <c r="AD3" s="8" t="s">
        <v>9</v>
      </c>
      <c r="AE3" s="8" t="s">
        <v>16</v>
      </c>
    </row>
    <row r="4" spans="1:31" ht="14.25" customHeight="1" x14ac:dyDescent="0.3">
      <c r="F4" s="14" t="s">
        <v>17</v>
      </c>
      <c r="I4" s="1" t="s">
        <v>0</v>
      </c>
      <c r="J4" s="10" t="s">
        <v>18</v>
      </c>
      <c r="K4" s="7"/>
      <c r="L4" s="7">
        <v>55</v>
      </c>
      <c r="M4" s="1" t="s">
        <v>0</v>
      </c>
      <c r="N4" s="3"/>
      <c r="O4" s="3"/>
      <c r="P4" s="3"/>
      <c r="Q4" s="3"/>
      <c r="R4" s="3" t="s">
        <v>0</v>
      </c>
      <c r="W4" s="3" t="s">
        <v>0</v>
      </c>
      <c r="X4" s="60" t="s">
        <v>19</v>
      </c>
      <c r="Y4" s="61"/>
      <c r="Z4" s="3"/>
      <c r="AA4" s="3" t="s">
        <v>0</v>
      </c>
      <c r="AB4" s="7" t="s">
        <v>14</v>
      </c>
      <c r="AC4" s="3" t="s">
        <v>0</v>
      </c>
      <c r="AD4" s="7" t="s">
        <v>18</v>
      </c>
      <c r="AE4" s="7" t="b">
        <v>1</v>
      </c>
    </row>
    <row r="5" spans="1:31" ht="14.25" customHeight="1" x14ac:dyDescent="0.3">
      <c r="I5" s="1" t="s">
        <v>0</v>
      </c>
      <c r="J5" s="10" t="s">
        <v>20</v>
      </c>
      <c r="K5" s="7"/>
      <c r="L5" s="7">
        <v>380</v>
      </c>
      <c r="M5" s="1" t="s">
        <v>0</v>
      </c>
      <c r="N5" s="8" t="s">
        <v>21</v>
      </c>
      <c r="O5" s="8"/>
      <c r="R5" s="3" t="s">
        <v>0</v>
      </c>
      <c r="S5" s="12" t="s">
        <v>22</v>
      </c>
      <c r="T5" s="13"/>
      <c r="V5" s="4">
        <f>60*39*2</f>
        <v>4680</v>
      </c>
      <c r="W5" s="3" t="s">
        <v>0</v>
      </c>
      <c r="X5" s="7" t="s">
        <v>23</v>
      </c>
      <c r="Y5" s="7" t="s">
        <v>24</v>
      </c>
      <c r="AA5" s="3" t="s">
        <v>0</v>
      </c>
      <c r="AB5" s="7" t="s">
        <v>25</v>
      </c>
      <c r="AC5" s="3" t="s">
        <v>0</v>
      </c>
      <c r="AD5" s="7" t="s">
        <v>20</v>
      </c>
      <c r="AE5" s="7" t="b">
        <v>1</v>
      </c>
    </row>
    <row r="6" spans="1:31" ht="14.25" customHeight="1" x14ac:dyDescent="0.3">
      <c r="C6" s="18" t="s">
        <v>26</v>
      </c>
      <c r="D6" s="3" t="s">
        <v>27</v>
      </c>
      <c r="F6" s="7" t="s">
        <v>23</v>
      </c>
      <c r="G6" s="7">
        <f>L8</f>
        <v>225</v>
      </c>
      <c r="I6" s="1" t="s">
        <v>0</v>
      </c>
      <c r="J6" s="10" t="s">
        <v>28</v>
      </c>
      <c r="K6" s="7"/>
      <c r="L6" s="7"/>
      <c r="M6" s="1" t="s">
        <v>0</v>
      </c>
      <c r="N6" s="7" t="e">
        <f>VLOOKUP(TRUE,Bandas!$AD$45:$AG$49,2,FALSE)</f>
        <v>#N/A</v>
      </c>
      <c r="O6" s="7" t="e">
        <f>VLOOKUP(TRUE,Bandas!$AD$45:$AH$49,3,FALSE)</f>
        <v>#N/A</v>
      </c>
      <c r="R6" s="3" t="s">
        <v>0</v>
      </c>
      <c r="S6" s="7" t="s">
        <v>29</v>
      </c>
      <c r="T6" s="7">
        <f>IF(T33=1,(U41*Y56*2*2)+T10+T11+T12+T13,(U41*Y56*2*2)+U10+U11+U12+U13)</f>
        <v>2400</v>
      </c>
      <c r="W6" s="3" t="s">
        <v>0</v>
      </c>
      <c r="X6" s="7" t="s">
        <v>30</v>
      </c>
      <c r="Y6" s="7">
        <v>38</v>
      </c>
      <c r="AA6" s="3" t="s">
        <v>0</v>
      </c>
      <c r="AB6" s="7" t="s">
        <v>31</v>
      </c>
      <c r="AC6" s="3" t="s">
        <v>0</v>
      </c>
      <c r="AD6" s="7" t="s">
        <v>28</v>
      </c>
      <c r="AE6" s="7" t="b">
        <v>0</v>
      </c>
    </row>
    <row r="7" spans="1:31" ht="14.25" customHeight="1" x14ac:dyDescent="0.3">
      <c r="C7" s="3" t="s">
        <v>32</v>
      </c>
      <c r="D7" s="3" t="s">
        <v>33</v>
      </c>
      <c r="E7" s="4" t="s">
        <v>34</v>
      </c>
      <c r="F7" s="7" t="s">
        <v>35</v>
      </c>
      <c r="G7" s="7">
        <f>L9</f>
        <v>40</v>
      </c>
      <c r="I7" s="1" t="s">
        <v>0</v>
      </c>
      <c r="J7" s="10" t="s">
        <v>36</v>
      </c>
      <c r="K7" s="7"/>
      <c r="L7" s="7"/>
      <c r="M7" s="1" t="s">
        <v>0</v>
      </c>
      <c r="N7" s="7" t="s">
        <v>37</v>
      </c>
      <c r="O7" s="15" t="e">
        <f>VLOOKUP(TRUE,Bandas!$AD$45:$AH$49,4,FALSE)</f>
        <v>#N/A</v>
      </c>
      <c r="Q7" s="4" t="s">
        <v>38</v>
      </c>
      <c r="R7" s="3" t="s">
        <v>0</v>
      </c>
      <c r="S7" s="7" t="s">
        <v>39</v>
      </c>
      <c r="T7" s="16">
        <f>((T41*U41*2)-T6)/1000</f>
        <v>39.051500823462206</v>
      </c>
      <c r="U7" s="17"/>
      <c r="V7" s="17"/>
      <c r="W7" s="3" t="s">
        <v>0</v>
      </c>
      <c r="X7" s="7" t="s">
        <v>40</v>
      </c>
      <c r="Y7" s="7">
        <v>43</v>
      </c>
      <c r="AA7" s="3" t="s">
        <v>0</v>
      </c>
      <c r="AB7" s="7" t="s">
        <v>41</v>
      </c>
      <c r="AC7" s="3" t="s">
        <v>0</v>
      </c>
      <c r="AD7" s="7" t="s">
        <v>36</v>
      </c>
      <c r="AE7" s="7" t="b">
        <v>0</v>
      </c>
    </row>
    <row r="8" spans="1:31" ht="14.25" customHeight="1" x14ac:dyDescent="0.3">
      <c r="A8" s="7" t="s">
        <v>42</v>
      </c>
      <c r="B8" s="7">
        <f>L4</f>
        <v>55</v>
      </c>
      <c r="C8" s="7">
        <f>P28</f>
        <v>55</v>
      </c>
      <c r="D8" s="7"/>
      <c r="I8" s="1" t="s">
        <v>0</v>
      </c>
      <c r="J8" s="10" t="s">
        <v>23</v>
      </c>
      <c r="K8" s="19"/>
      <c r="L8" s="7">
        <v>225</v>
      </c>
      <c r="M8" s="1" t="s">
        <v>0</v>
      </c>
      <c r="N8" s="7" t="s">
        <v>43</v>
      </c>
      <c r="O8" s="7" t="e">
        <f>VLOOKUP(TRUE,Bandas!$AD$45:$AH$49,5,FALSE)</f>
        <v>#N/A</v>
      </c>
      <c r="R8" s="3" t="s">
        <v>0</v>
      </c>
      <c r="W8" s="3" t="s">
        <v>0</v>
      </c>
      <c r="X8" s="7" t="s">
        <v>44</v>
      </c>
      <c r="Y8" s="7">
        <v>46</v>
      </c>
      <c r="AA8" s="3" t="s">
        <v>0</v>
      </c>
      <c r="AC8" s="3" t="s">
        <v>0</v>
      </c>
      <c r="AD8" s="7" t="s">
        <v>45</v>
      </c>
      <c r="AE8" s="7" t="b">
        <f>IF(Tipo="Medias Cañas", TRUE,FALSE)</f>
        <v>0</v>
      </c>
    </row>
    <row r="9" spans="1:31" ht="14.25" customHeight="1" x14ac:dyDescent="0.3">
      <c r="A9" s="7" t="s">
        <v>20</v>
      </c>
      <c r="B9" s="7">
        <f>O29</f>
        <v>380</v>
      </c>
      <c r="C9" s="7">
        <f>P29</f>
        <v>380</v>
      </c>
      <c r="D9" s="7"/>
      <c r="I9" s="1" t="s">
        <v>0</v>
      </c>
      <c r="J9" s="10" t="s">
        <v>35</v>
      </c>
      <c r="K9" s="19"/>
      <c r="L9" s="7">
        <v>40</v>
      </c>
      <c r="M9" s="1" t="s">
        <v>0</v>
      </c>
      <c r="R9" s="3" t="s">
        <v>0</v>
      </c>
      <c r="S9" s="8" t="s">
        <v>46</v>
      </c>
      <c r="T9" s="8" t="s">
        <v>47</v>
      </c>
      <c r="U9" s="6" t="s">
        <v>48</v>
      </c>
      <c r="W9" s="3" t="s">
        <v>0</v>
      </c>
      <c r="X9" s="7" t="s">
        <v>49</v>
      </c>
      <c r="Y9" s="7">
        <v>50</v>
      </c>
      <c r="AA9" s="3" t="s">
        <v>0</v>
      </c>
      <c r="AC9" s="3" t="s">
        <v>0</v>
      </c>
    </row>
    <row r="10" spans="1:31" ht="14.25" customHeight="1" x14ac:dyDescent="0.3">
      <c r="A10" s="7" t="s">
        <v>28</v>
      </c>
      <c r="B10" s="21">
        <f>O30</f>
        <v>0.14473684210526316</v>
      </c>
      <c r="C10" s="21">
        <f>P30</f>
        <v>0.14473684210526316</v>
      </c>
      <c r="D10" s="21">
        <f>Q30</f>
        <v>0.14473684210526316</v>
      </c>
      <c r="E10" s="4" t="s">
        <v>34</v>
      </c>
      <c r="I10" s="1" t="s">
        <v>0</v>
      </c>
      <c r="J10" s="10" t="s">
        <v>50</v>
      </c>
      <c r="K10" s="19"/>
      <c r="L10" s="7"/>
      <c r="M10" s="1" t="s">
        <v>0</v>
      </c>
      <c r="N10" s="8" t="s">
        <v>51</v>
      </c>
      <c r="O10" s="7">
        <f>IF(G7&gt;200,20,12)</f>
        <v>12</v>
      </c>
      <c r="R10" s="3" t="s">
        <v>0</v>
      </c>
      <c r="S10" s="7">
        <v>45</v>
      </c>
      <c r="T10" s="7">
        <f>IF(AD19=TRUE,2*(E18-(E18/2-(L21/2)-7))*(Y47+(2*Z47)),0)</f>
        <v>0</v>
      </c>
      <c r="U10" s="6">
        <f>IF(AD19=TRUE,(((Y47/2)-5)+7)*(Y47+(2*Z47)),0)</f>
        <v>0</v>
      </c>
      <c r="W10" s="3" t="s">
        <v>0</v>
      </c>
      <c r="X10" s="8" t="s">
        <v>52</v>
      </c>
      <c r="Y10" s="8">
        <f>IF(G6&lt;=26,Y6,IF(G6&lt;=38,Y7,IF(G6&lt;=50,Y8,Y9)))</f>
        <v>50</v>
      </c>
      <c r="AA10" s="3" t="s">
        <v>0</v>
      </c>
      <c r="AB10" s="8" t="s">
        <v>53</v>
      </c>
      <c r="AC10" s="3" t="s">
        <v>0</v>
      </c>
      <c r="AD10" s="8" t="s">
        <v>54</v>
      </c>
      <c r="AE10" s="8"/>
    </row>
    <row r="11" spans="1:31" ht="15.75" customHeight="1" x14ac:dyDescent="0.3">
      <c r="A11" s="7" t="s">
        <v>36</v>
      </c>
      <c r="B11" s="21">
        <f>O31</f>
        <v>186.620849234384</v>
      </c>
      <c r="C11" s="21"/>
      <c r="D11" s="21">
        <f>Q31</f>
        <v>2625.4545454545455</v>
      </c>
      <c r="E11" s="4" t="s">
        <v>55</v>
      </c>
      <c r="I11" s="1" t="s">
        <v>0</v>
      </c>
      <c r="J11" s="10" t="s">
        <v>17</v>
      </c>
      <c r="K11" s="19"/>
      <c r="L11" s="7"/>
      <c r="M11" s="1" t="s">
        <v>0</v>
      </c>
      <c r="N11" s="3"/>
      <c r="O11" s="3"/>
      <c r="P11" s="3"/>
      <c r="Q11" s="3"/>
      <c r="R11" s="3" t="s">
        <v>0</v>
      </c>
      <c r="S11" s="7">
        <v>90</v>
      </c>
      <c r="T11" s="7">
        <f>IF(AD20=TRUE,2*(E18-(E18/2-(L22/2)-7))*(Y48+(2*Z48)),0)</f>
        <v>0</v>
      </c>
      <c r="U11" s="6">
        <f>IF(AD20=TRUE,(((Y48/2)-5)+7)*(Y48+(2*Z48)),0)</f>
        <v>0</v>
      </c>
      <c r="V11" s="20"/>
      <c r="W11" s="3" t="s">
        <v>0</v>
      </c>
      <c r="AA11" s="3" t="s">
        <v>0</v>
      </c>
      <c r="AB11" s="7" t="s">
        <v>14</v>
      </c>
      <c r="AC11" s="3" t="s">
        <v>0</v>
      </c>
      <c r="AD11" s="7" t="s">
        <v>56</v>
      </c>
      <c r="AE11" s="7" t="b">
        <f>IF(AND(AE4=TRUE, AE5=TRUE), TRUE, FALSE)</f>
        <v>1</v>
      </c>
    </row>
    <row r="12" spans="1:31" ht="14.25" customHeight="1" x14ac:dyDescent="0.3">
      <c r="A12" s="7"/>
      <c r="B12" s="7"/>
      <c r="C12" s="7"/>
      <c r="D12" s="7"/>
      <c r="I12" s="1" t="s">
        <v>0</v>
      </c>
      <c r="J12" s="65" t="s">
        <v>57</v>
      </c>
      <c r="K12" s="61"/>
      <c r="L12" s="22">
        <f>T19</f>
        <v>773.76134870462795</v>
      </c>
      <c r="M12" s="1" t="s">
        <v>0</v>
      </c>
      <c r="N12" s="8" t="s">
        <v>58</v>
      </c>
      <c r="O12" s="23" t="e">
        <f ca="1">_xludf.CONCAT(AD25:AD28)</f>
        <v>#NAME?</v>
      </c>
      <c r="P12" s="24"/>
      <c r="Q12" s="24"/>
      <c r="R12" s="3" t="s">
        <v>0</v>
      </c>
      <c r="S12" s="7">
        <v>180</v>
      </c>
      <c r="T12" s="7">
        <f>IF(AD21=TRUE,2*(E18-(E18/2-(L23/2)-7))*(Y49+(2*Z49)),0)</f>
        <v>0</v>
      </c>
      <c r="U12" s="6">
        <f>IF(AD21=TRUE,(((Y49/2)-5)+7)*(Y49+(2*Z49)),0)</f>
        <v>0</v>
      </c>
      <c r="W12" s="3" t="s">
        <v>0</v>
      </c>
      <c r="X12" s="25" t="s">
        <v>25</v>
      </c>
      <c r="Y12" s="25"/>
      <c r="Z12" s="3"/>
      <c r="AA12" s="3" t="s">
        <v>0</v>
      </c>
      <c r="AB12" s="7" t="s">
        <v>59</v>
      </c>
      <c r="AC12" s="3" t="s">
        <v>0</v>
      </c>
      <c r="AD12" s="7" t="s">
        <v>60</v>
      </c>
      <c r="AE12" s="7" t="b">
        <f>IF(AND(AE4=TRUE,AE6=TRUE),TRUE, FALSE)</f>
        <v>0</v>
      </c>
    </row>
    <row r="13" spans="1:31" ht="14.25" customHeight="1" x14ac:dyDescent="0.3">
      <c r="I13" s="1" t="s">
        <v>0</v>
      </c>
      <c r="M13" s="1" t="s">
        <v>0</v>
      </c>
      <c r="N13" s="3"/>
      <c r="O13" s="3"/>
      <c r="P13" s="26"/>
      <c r="Q13" s="3"/>
      <c r="R13" s="3" t="s">
        <v>0</v>
      </c>
      <c r="S13" s="7">
        <v>270</v>
      </c>
      <c r="T13" s="7">
        <f>IF(AD22=TRUE,2*(E18-(E18/2-(L24/2)-7))*(Y50+(2*Z50)),0)</f>
        <v>0</v>
      </c>
      <c r="U13" s="6">
        <f>IF(AD22=TRUE,(((Y50/2)-5)+7)*(Y50+(2*Z50)),0)</f>
        <v>0</v>
      </c>
      <c r="W13" s="3" t="s">
        <v>0</v>
      </c>
      <c r="X13" s="27" t="s">
        <v>19</v>
      </c>
      <c r="Y13" s="28"/>
      <c r="Z13" s="3"/>
      <c r="AA13" s="3" t="s">
        <v>0</v>
      </c>
      <c r="AB13" s="7" t="s">
        <v>61</v>
      </c>
      <c r="AC13" s="3" t="s">
        <v>0</v>
      </c>
      <c r="AD13" s="7" t="s">
        <v>62</v>
      </c>
      <c r="AE13" s="7" t="b">
        <f>IF(AND(AE4=TRUE,AE7=TRUE),TRUE, FALSE)</f>
        <v>0</v>
      </c>
    </row>
    <row r="14" spans="1:31" ht="14.25" customHeight="1" x14ac:dyDescent="0.3">
      <c r="A14" s="3" t="s">
        <v>63</v>
      </c>
      <c r="D14" s="4" t="s">
        <v>64</v>
      </c>
      <c r="E14" s="4" t="s">
        <v>65</v>
      </c>
      <c r="G14" s="4" t="s">
        <v>66</v>
      </c>
      <c r="H14" s="5">
        <f>O10</f>
        <v>12</v>
      </c>
      <c r="I14" s="1" t="s">
        <v>0</v>
      </c>
      <c r="J14" s="6" t="s">
        <v>67</v>
      </c>
      <c r="K14" s="29" t="s">
        <v>25</v>
      </c>
      <c r="L14" s="29"/>
      <c r="M14" s="1" t="s">
        <v>0</v>
      </c>
      <c r="N14" s="8" t="s">
        <v>68</v>
      </c>
      <c r="O14" s="7">
        <f>T3</f>
        <v>1105.3733552923256</v>
      </c>
      <c r="P14" s="30"/>
      <c r="R14" s="3" t="s">
        <v>0</v>
      </c>
      <c r="W14" s="3" t="s">
        <v>0</v>
      </c>
      <c r="X14" s="7" t="s">
        <v>23</v>
      </c>
      <c r="Y14" s="7" t="s">
        <v>24</v>
      </c>
      <c r="AA14" s="3" t="s">
        <v>0</v>
      </c>
      <c r="AB14" s="7" t="s">
        <v>69</v>
      </c>
      <c r="AC14" s="3" t="s">
        <v>0</v>
      </c>
      <c r="AD14" s="7" t="s">
        <v>70</v>
      </c>
      <c r="AE14" s="7" t="b">
        <f>IF(AND(AE5=TRUE,AE6=TRUE),TRUE, FALSE)</f>
        <v>0</v>
      </c>
    </row>
    <row r="15" spans="1:31" ht="14.25" customHeight="1" x14ac:dyDescent="0.3">
      <c r="A15" s="3">
        <f>IF(Tipo="Medias Cañas",G3*2,G3)</f>
        <v>0</v>
      </c>
      <c r="B15" s="4" t="s">
        <v>71</v>
      </c>
      <c r="D15" s="34">
        <f>O22</f>
        <v>690.85834705770344</v>
      </c>
      <c r="E15" s="4">
        <f>P22</f>
        <v>61</v>
      </c>
      <c r="G15" s="4" t="s">
        <v>72</v>
      </c>
      <c r="I15" s="1" t="s">
        <v>0</v>
      </c>
      <c r="J15" s="31" t="s">
        <v>73</v>
      </c>
      <c r="K15" s="31" t="s">
        <v>74</v>
      </c>
      <c r="L15" s="31" t="s">
        <v>75</v>
      </c>
      <c r="M15" s="1" t="s">
        <v>0</v>
      </c>
      <c r="N15" s="3"/>
      <c r="O15" s="3"/>
      <c r="P15" s="3"/>
      <c r="Q15" s="3"/>
      <c r="R15" s="3" t="s">
        <v>0</v>
      </c>
      <c r="S15" s="6" t="s">
        <v>76</v>
      </c>
      <c r="T15" s="6"/>
      <c r="W15" s="3" t="s">
        <v>0</v>
      </c>
      <c r="X15" s="7" t="s">
        <v>77</v>
      </c>
      <c r="Y15" s="8">
        <v>76</v>
      </c>
      <c r="AA15" s="3" t="s">
        <v>0</v>
      </c>
      <c r="AB15" s="7" t="s">
        <v>78</v>
      </c>
      <c r="AC15" s="3" t="s">
        <v>0</v>
      </c>
      <c r="AD15" s="7" t="s">
        <v>79</v>
      </c>
      <c r="AE15" s="7" t="b">
        <f>IF(AND(AE5=TRUE,AE7=TRUE),TRUE, FALSE)</f>
        <v>0</v>
      </c>
    </row>
    <row r="16" spans="1:31" ht="14.25" customHeight="1" x14ac:dyDescent="0.3">
      <c r="A16" s="3">
        <f>A15</f>
        <v>0</v>
      </c>
      <c r="B16" s="4" t="s">
        <v>80</v>
      </c>
      <c r="D16" s="34">
        <f>O23</f>
        <v>766.85834705770344</v>
      </c>
      <c r="E16" s="4">
        <f>P23</f>
        <v>36</v>
      </c>
      <c r="I16" s="1" t="s">
        <v>0</v>
      </c>
      <c r="J16" s="7" t="s">
        <v>41</v>
      </c>
      <c r="K16" s="7" t="s">
        <v>81</v>
      </c>
      <c r="L16" s="7" t="s">
        <v>75</v>
      </c>
      <c r="M16" s="1" t="s">
        <v>0</v>
      </c>
      <c r="N16" s="32" t="s">
        <v>24</v>
      </c>
      <c r="O16" s="33"/>
      <c r="P16" s="3"/>
      <c r="Q16" s="3"/>
      <c r="R16" s="3" t="s">
        <v>0</v>
      </c>
      <c r="S16" s="6"/>
      <c r="T16" s="6" t="s">
        <v>47</v>
      </c>
      <c r="U16" s="3"/>
      <c r="W16" s="3" t="s">
        <v>0</v>
      </c>
      <c r="AA16" s="3" t="s">
        <v>0</v>
      </c>
      <c r="AC16" s="3" t="s">
        <v>0</v>
      </c>
      <c r="AD16" s="7" t="s">
        <v>82</v>
      </c>
      <c r="AE16" s="7" t="b">
        <f>IF(AND(AE6=TRUE,AE7=TRUE),TRUE, FALSE)</f>
        <v>0</v>
      </c>
    </row>
    <row r="17" spans="1:31" ht="14.25" customHeight="1" x14ac:dyDescent="0.3">
      <c r="A17" s="3">
        <f>A15</f>
        <v>0</v>
      </c>
      <c r="B17" s="4" t="s">
        <v>83</v>
      </c>
      <c r="D17" s="34">
        <f>IF(Tipo="Cierre de Perno",O24+3,IF(Tipo="Cierre de Ceja",O24+3,O24))</f>
        <v>693.85834705770344</v>
      </c>
      <c r="E17" s="4">
        <f>P24</f>
        <v>36</v>
      </c>
      <c r="I17" s="1" t="s">
        <v>0</v>
      </c>
      <c r="M17" s="1" t="s">
        <v>0</v>
      </c>
      <c r="N17" s="31" t="s">
        <v>14</v>
      </c>
      <c r="O17" s="35">
        <f>Y10</f>
        <v>50</v>
      </c>
      <c r="P17" s="3"/>
      <c r="Q17" s="3"/>
      <c r="R17" s="3" t="s">
        <v>0</v>
      </c>
      <c r="S17" s="6" t="s">
        <v>84</v>
      </c>
      <c r="T17" s="6">
        <f>IF(K18="Flexibles a 180 grados",((L9/2)+10)*(20)*2,IF(K18="Flexible en un Extremo",((L9/2)+10)*(20)*2,0))</f>
        <v>1200</v>
      </c>
      <c r="W17" s="3" t="s">
        <v>0</v>
      </c>
      <c r="X17" s="36" t="s">
        <v>31</v>
      </c>
      <c r="Y17" s="37"/>
      <c r="Z17" s="3"/>
      <c r="AA17" s="3" t="s">
        <v>0</v>
      </c>
      <c r="AC17" s="3" t="s">
        <v>0</v>
      </c>
    </row>
    <row r="18" spans="1:31" ht="14.25" customHeight="1" x14ac:dyDescent="0.3">
      <c r="A18" s="3">
        <f>IF(Tipo="Medias Cañas",G3*2*T33,G3*T33)</f>
        <v>0</v>
      </c>
      <c r="B18" s="4" t="s">
        <v>85</v>
      </c>
      <c r="D18" s="34">
        <f>IF(Tipo="Cierre de Perno",O25+3,IF(Tipo="Cierre de Ceja",O25+3,O24))</f>
        <v>693.85834705770344</v>
      </c>
      <c r="E18" s="34">
        <f>P25</f>
        <v>30</v>
      </c>
      <c r="I18" s="1" t="s">
        <v>0</v>
      </c>
      <c r="J18" s="6" t="s">
        <v>86</v>
      </c>
      <c r="K18" s="7" t="s">
        <v>69</v>
      </c>
      <c r="L18" s="7"/>
      <c r="M18" s="1" t="s">
        <v>0</v>
      </c>
      <c r="N18" s="31" t="s">
        <v>25</v>
      </c>
      <c r="O18" s="35">
        <f>Y15</f>
        <v>76</v>
      </c>
      <c r="P18" s="3"/>
      <c r="Q18" s="3"/>
      <c r="R18" s="3" t="s">
        <v>0</v>
      </c>
      <c r="W18" s="3" t="s">
        <v>0</v>
      </c>
      <c r="X18" s="27" t="s">
        <v>19</v>
      </c>
      <c r="Y18" s="28"/>
      <c r="Z18" s="3"/>
      <c r="AA18" s="3" t="s">
        <v>0</v>
      </c>
      <c r="AC18" s="3" t="s">
        <v>0</v>
      </c>
      <c r="AD18" s="8" t="s">
        <v>16</v>
      </c>
      <c r="AE18" s="8" t="s">
        <v>87</v>
      </c>
    </row>
    <row r="19" spans="1:31" ht="14.25" customHeight="1" x14ac:dyDescent="0.3">
      <c r="A19" s="3">
        <f>G3</f>
        <v>0</v>
      </c>
      <c r="B19" s="4" t="s">
        <v>88</v>
      </c>
      <c r="C19" s="4"/>
      <c r="D19" s="34">
        <f>((G6+9)*PI()-Y33)+(2*29)</f>
        <v>777.1326809400116</v>
      </c>
      <c r="E19" s="4">
        <f>G7</f>
        <v>40</v>
      </c>
      <c r="I19" s="1" t="s">
        <v>0</v>
      </c>
      <c r="M19" s="1" t="s">
        <v>0</v>
      </c>
      <c r="N19" s="31" t="s">
        <v>31</v>
      </c>
      <c r="O19" s="35">
        <f>Y23</f>
        <v>92</v>
      </c>
      <c r="P19" s="3"/>
      <c r="Q19" s="3"/>
      <c r="R19" s="3" t="s">
        <v>0</v>
      </c>
      <c r="S19" s="8" t="s">
        <v>89</v>
      </c>
      <c r="T19" s="7">
        <f>T3-Y39</f>
        <v>773.76134870462795</v>
      </c>
      <c r="W19" s="3" t="s">
        <v>0</v>
      </c>
      <c r="X19" s="7" t="s">
        <v>23</v>
      </c>
      <c r="Y19" s="7" t="s">
        <v>24</v>
      </c>
      <c r="AA19" s="3" t="s">
        <v>0</v>
      </c>
      <c r="AC19" s="3" t="s">
        <v>0</v>
      </c>
      <c r="AD19" s="7" t="b">
        <v>0</v>
      </c>
      <c r="AE19" s="7">
        <v>45</v>
      </c>
    </row>
    <row r="20" spans="1:31" ht="14.25" customHeight="1" x14ac:dyDescent="0.3">
      <c r="I20" s="1" t="s">
        <v>0</v>
      </c>
      <c r="J20" s="6" t="s">
        <v>90</v>
      </c>
      <c r="K20" s="7" t="s">
        <v>10</v>
      </c>
      <c r="L20" s="7" t="s">
        <v>23</v>
      </c>
      <c r="M20" s="1" t="s">
        <v>0</v>
      </c>
      <c r="N20" s="3"/>
      <c r="O20" s="3"/>
      <c r="P20" s="3"/>
      <c r="Q20" s="3"/>
      <c r="R20" s="3" t="s">
        <v>0</v>
      </c>
      <c r="W20" s="3" t="s">
        <v>0</v>
      </c>
      <c r="X20" s="7" t="s">
        <v>91</v>
      </c>
      <c r="Y20" s="7">
        <v>86</v>
      </c>
      <c r="AA20" s="3" t="s">
        <v>0</v>
      </c>
      <c r="AC20" s="3" t="s">
        <v>0</v>
      </c>
      <c r="AD20" s="7" t="b">
        <v>0</v>
      </c>
      <c r="AE20" s="7">
        <v>90</v>
      </c>
    </row>
    <row r="21" spans="1:31" ht="14.25" customHeight="1" x14ac:dyDescent="0.3">
      <c r="A21" s="62" t="s">
        <v>21</v>
      </c>
      <c r="B21" s="61"/>
      <c r="C21" s="62" t="e">
        <f>O8</f>
        <v>#N/A</v>
      </c>
      <c r="D21" s="61"/>
      <c r="E21" s="39" t="s">
        <v>92</v>
      </c>
      <c r="F21" s="40"/>
      <c r="I21" s="1" t="s">
        <v>0</v>
      </c>
      <c r="J21" s="10">
        <v>45</v>
      </c>
      <c r="K21" s="7"/>
      <c r="L21" s="7">
        <v>0</v>
      </c>
      <c r="M21" s="1" t="s">
        <v>0</v>
      </c>
      <c r="N21" s="8" t="s">
        <v>93</v>
      </c>
      <c r="O21" s="8" t="s">
        <v>94</v>
      </c>
      <c r="P21" s="8" t="s">
        <v>65</v>
      </c>
      <c r="R21" s="3" t="s">
        <v>0</v>
      </c>
      <c r="S21" s="8" t="s">
        <v>95</v>
      </c>
      <c r="T21" s="8"/>
      <c r="U21" s="7" t="s">
        <v>45</v>
      </c>
      <c r="W21" s="3" t="s">
        <v>0</v>
      </c>
      <c r="X21" s="7" t="s">
        <v>96</v>
      </c>
      <c r="Y21" s="7">
        <v>89</v>
      </c>
      <c r="AA21" s="3" t="s">
        <v>0</v>
      </c>
      <c r="AC21" s="3" t="s">
        <v>0</v>
      </c>
      <c r="AD21" s="7" t="b">
        <v>0</v>
      </c>
      <c r="AE21" s="7">
        <v>180</v>
      </c>
    </row>
    <row r="22" spans="1:31" ht="14.25" customHeight="1" x14ac:dyDescent="0.3">
      <c r="A22" s="62" t="e">
        <f>N6</f>
        <v>#N/A</v>
      </c>
      <c r="B22" s="61"/>
      <c r="C22" s="62" t="e">
        <f>O6</f>
        <v>#N/A</v>
      </c>
      <c r="D22" s="61"/>
      <c r="E22" s="41" t="e">
        <f>O7</f>
        <v>#N/A</v>
      </c>
      <c r="F22" s="40"/>
      <c r="I22" s="1" t="s">
        <v>0</v>
      </c>
      <c r="J22" s="10">
        <v>90</v>
      </c>
      <c r="K22" s="7"/>
      <c r="L22" s="7">
        <v>0</v>
      </c>
      <c r="M22" s="1" t="s">
        <v>0</v>
      </c>
      <c r="N22" s="7" t="s">
        <v>71</v>
      </c>
      <c r="O22" s="38">
        <f t="shared" ref="O22:P25" si="0">T38</f>
        <v>690.85834705770344</v>
      </c>
      <c r="P22" s="7">
        <f t="shared" si="0"/>
        <v>61</v>
      </c>
      <c r="R22" s="3" t="s">
        <v>0</v>
      </c>
      <c r="S22" s="7" t="s">
        <v>18</v>
      </c>
      <c r="T22" s="7">
        <f>IF(AE11=TRUE,L4,IF(AE12=TRUE,L4,IF(AE13=TRUE,L4,IF(AE14=TRUE,L5*L6,IF(AE15=TRUE,L5*L5/L7,L7*L6*L6)))))</f>
        <v>55</v>
      </c>
      <c r="U22" s="7">
        <f>IF(Tipo="Medias Cañas",T22/2,T22)</f>
        <v>55</v>
      </c>
      <c r="W22" s="3" t="s">
        <v>0</v>
      </c>
      <c r="X22" s="7" t="s">
        <v>97</v>
      </c>
      <c r="Y22" s="7">
        <v>92</v>
      </c>
      <c r="AA22" s="3" t="s">
        <v>0</v>
      </c>
      <c r="AC22" s="3" t="s">
        <v>0</v>
      </c>
      <c r="AD22" s="7" t="b">
        <v>0</v>
      </c>
      <c r="AE22" s="7">
        <v>270</v>
      </c>
    </row>
    <row r="23" spans="1:31" ht="14.25" customHeight="1" x14ac:dyDescent="0.3">
      <c r="I23" s="1" t="s">
        <v>0</v>
      </c>
      <c r="J23" s="10">
        <v>180</v>
      </c>
      <c r="K23" s="7"/>
      <c r="L23" s="7">
        <v>19</v>
      </c>
      <c r="M23" s="1" t="s">
        <v>0</v>
      </c>
      <c r="N23" s="7" t="s">
        <v>80</v>
      </c>
      <c r="O23" s="38">
        <f t="shared" si="0"/>
        <v>766.85834705770344</v>
      </c>
      <c r="P23" s="7">
        <f t="shared" si="0"/>
        <v>36</v>
      </c>
      <c r="R23" s="3" t="s">
        <v>0</v>
      </c>
      <c r="S23" s="7" t="s">
        <v>20</v>
      </c>
      <c r="T23" s="7">
        <f>IF(AE11=TRUE,L5,IF(AE12=TRUE,L4/L6,IF(AE13=TRUE,SQRT(L4*L7),IF(AE14=TRUE,L5,IF(AE15=TRUE,L5,L6*L7)))))</f>
        <v>380</v>
      </c>
      <c r="U23" s="7">
        <f>IF(AD35=TRUE, T23/2,T23)</f>
        <v>380</v>
      </c>
      <c r="W23" s="3" t="s">
        <v>0</v>
      </c>
      <c r="X23" s="8" t="s">
        <v>52</v>
      </c>
      <c r="Y23" s="8">
        <f>IF(G6&lt;=100,Y20,IF(G6&lt;=200,Y21,Y22))</f>
        <v>92</v>
      </c>
    </row>
    <row r="24" spans="1:31" ht="14.25" customHeight="1" x14ac:dyDescent="0.3">
      <c r="I24" s="1" t="s">
        <v>0</v>
      </c>
      <c r="J24" s="10">
        <v>270</v>
      </c>
      <c r="K24" s="7"/>
      <c r="L24" s="7">
        <v>0</v>
      </c>
      <c r="M24" s="1" t="s">
        <v>0</v>
      </c>
      <c r="N24" s="7" t="s">
        <v>83</v>
      </c>
      <c r="O24" s="38">
        <f t="shared" si="0"/>
        <v>690.85834705770344</v>
      </c>
      <c r="P24" s="7">
        <f t="shared" si="0"/>
        <v>36</v>
      </c>
      <c r="R24" s="3" t="s">
        <v>0</v>
      </c>
      <c r="S24" s="7" t="s">
        <v>28</v>
      </c>
      <c r="T24" s="7">
        <f>IF(AE11=TRUE,L4/L5,IF(AE12=TRUE,L6,IF(AE13=TRUE,SQRT(L4/L7),IF(AE14=TRUE,L6,IF(AE15=TRUE,L5/L7,L6)))))</f>
        <v>0.14473684210526316</v>
      </c>
      <c r="U24" s="7">
        <f>U22/U23</f>
        <v>0.14473684210526316</v>
      </c>
      <c r="W24" s="3" t="s">
        <v>0</v>
      </c>
      <c r="AD24" s="8" t="s">
        <v>16</v>
      </c>
      <c r="AE24" s="8" t="s">
        <v>87</v>
      </c>
    </row>
    <row r="25" spans="1:31" ht="14.25" customHeight="1" x14ac:dyDescent="0.3">
      <c r="A25" s="4" t="s">
        <v>98</v>
      </c>
      <c r="B25" s="4" t="str">
        <f>IF(Tipo="General Electric", "Terminales Flexibles Tipo GE x 300 mm.",".")</f>
        <v>.</v>
      </c>
      <c r="F25" s="44" t="str">
        <f>IF(K18="Tornillo Ambos Extremos","Terminal de tornillo en ambos extremos",IF(K18="Tornillo En Un Extremo","Tornillo en un extremo",IF(K18="Flexible en un Extremo","Terminales Flexibles en un extremo","Terminales Flexibles a 180 grados")))</f>
        <v>Terminales Flexibles en un extremo</v>
      </c>
      <c r="I25" s="1" t="s">
        <v>0</v>
      </c>
      <c r="J25" s="2"/>
      <c r="K25" s="2"/>
      <c r="L25" s="2"/>
      <c r="M25" s="1" t="s">
        <v>0</v>
      </c>
      <c r="N25" s="7" t="s">
        <v>85</v>
      </c>
      <c r="O25" s="38">
        <f t="shared" si="0"/>
        <v>690.85834705770344</v>
      </c>
      <c r="P25" s="38">
        <f t="shared" si="0"/>
        <v>30</v>
      </c>
      <c r="R25" s="3" t="s">
        <v>0</v>
      </c>
      <c r="S25" s="7" t="s">
        <v>36</v>
      </c>
      <c r="T25" s="7">
        <f>IF(AE11=TRUE,L5*L5/L12,IF(AE12=TRUE,L4/(L6^2),IF(AE13=TRUE,L7,IF(AE14=TRUE,L5/L6,IF(AE15=TRUE,L7,L7)))))</f>
        <v>186.620849234384</v>
      </c>
      <c r="U25" s="7">
        <f>U23/U24</f>
        <v>2625.4545454545455</v>
      </c>
      <c r="W25" s="3" t="s">
        <v>0</v>
      </c>
      <c r="X25" s="42" t="s">
        <v>99</v>
      </c>
      <c r="Y25" s="42"/>
      <c r="AD25" s="7" t="str">
        <f>IF(AD19=TRUE,"V","F")</f>
        <v>F</v>
      </c>
      <c r="AE25" s="7">
        <v>45</v>
      </c>
    </row>
    <row r="26" spans="1:31" ht="14.25" customHeight="1" x14ac:dyDescent="0.3">
      <c r="B26" s="11"/>
      <c r="C26" s="11"/>
      <c r="D26" s="11"/>
      <c r="E26" s="11"/>
      <c r="F26" s="11"/>
      <c r="G26" s="11"/>
      <c r="H26" s="11"/>
      <c r="I26" s="3"/>
      <c r="M26" s="3"/>
      <c r="R26" s="3" t="s">
        <v>0</v>
      </c>
      <c r="W26" s="3" t="s">
        <v>0</v>
      </c>
      <c r="X26" s="29" t="s">
        <v>23</v>
      </c>
      <c r="Y26" s="43" t="s">
        <v>100</v>
      </c>
      <c r="AD26" s="7" t="str">
        <f>IF(AD20=TRUE,"V","F")</f>
        <v>F</v>
      </c>
      <c r="AE26" s="7">
        <v>90</v>
      </c>
    </row>
    <row r="27" spans="1:31" ht="16.5" customHeight="1" x14ac:dyDescent="0.3">
      <c r="A27" s="11"/>
      <c r="B27" s="11"/>
      <c r="C27" s="11"/>
      <c r="D27" s="11"/>
      <c r="E27" s="11"/>
      <c r="F27" s="11"/>
      <c r="G27" s="11"/>
      <c r="H27" s="11"/>
      <c r="I27" s="3"/>
      <c r="M27" s="3"/>
      <c r="N27" s="8" t="s">
        <v>101</v>
      </c>
      <c r="O27" s="8"/>
      <c r="P27" s="7" t="s">
        <v>102</v>
      </c>
      <c r="Q27" s="7" t="s">
        <v>33</v>
      </c>
      <c r="R27" s="3" t="s">
        <v>0</v>
      </c>
      <c r="S27" s="8"/>
      <c r="T27" s="8" t="s">
        <v>94</v>
      </c>
      <c r="U27" s="8" t="s">
        <v>65</v>
      </c>
      <c r="W27" s="3" t="s">
        <v>0</v>
      </c>
      <c r="X27" s="7">
        <v>60</v>
      </c>
      <c r="Y27" s="7">
        <v>7</v>
      </c>
      <c r="AD27" s="7" t="str">
        <f>IF(AD21=TRUE,"V","F")</f>
        <v>F</v>
      </c>
      <c r="AE27" s="7">
        <v>180</v>
      </c>
    </row>
    <row r="28" spans="1:31" ht="14.25" customHeight="1" x14ac:dyDescent="0.3">
      <c r="I28" s="3"/>
      <c r="M28" s="3"/>
      <c r="N28" s="7" t="s">
        <v>18</v>
      </c>
      <c r="O28" s="7">
        <f>L4</f>
        <v>55</v>
      </c>
      <c r="P28" s="7">
        <f>T45</f>
        <v>55</v>
      </c>
      <c r="Q28" s="7">
        <f>V45</f>
        <v>55</v>
      </c>
      <c r="R28" s="3" t="s">
        <v>0</v>
      </c>
      <c r="S28" s="7" t="s">
        <v>71</v>
      </c>
      <c r="T28" s="38">
        <f>PI()*G6-O3</f>
        <v>690.85834705770344</v>
      </c>
      <c r="U28" s="7">
        <f>G7+(2*O10)+1-4</f>
        <v>61</v>
      </c>
      <c r="W28" s="3" t="s">
        <v>0</v>
      </c>
      <c r="X28" s="7">
        <v>120</v>
      </c>
      <c r="Y28" s="7">
        <v>10</v>
      </c>
      <c r="AD28" s="7" t="str">
        <f>IF(AD22=TRUE,"V","F")</f>
        <v>F</v>
      </c>
      <c r="AE28" s="7">
        <v>270</v>
      </c>
    </row>
    <row r="29" spans="1:31" ht="14.25" customHeight="1" x14ac:dyDescent="0.3">
      <c r="I29" s="3"/>
      <c r="M29" s="3"/>
      <c r="N29" s="7" t="s">
        <v>20</v>
      </c>
      <c r="O29" s="7">
        <f>T23</f>
        <v>380</v>
      </c>
      <c r="P29" s="7">
        <f>T46</f>
        <v>380</v>
      </c>
      <c r="Q29" s="7">
        <f>V46</f>
        <v>380</v>
      </c>
      <c r="R29" s="3" t="s">
        <v>0</v>
      </c>
      <c r="S29" s="7" t="s">
        <v>80</v>
      </c>
      <c r="T29" s="38">
        <f>(PI()*G6)-O3+IF(Tipo="General Electric",O17,IF(Tipo="Cierre de Ceja",O18,IF(Tipo="Cierre de Perno",O19)))</f>
        <v>766.85834705770344</v>
      </c>
      <c r="U29" s="7">
        <f>G7-4</f>
        <v>36</v>
      </c>
      <c r="W29" s="3" t="s">
        <v>0</v>
      </c>
      <c r="X29" s="7">
        <v>200</v>
      </c>
      <c r="Y29" s="7">
        <v>13</v>
      </c>
    </row>
    <row r="30" spans="1:31" ht="14.25" customHeight="1" x14ac:dyDescent="0.3">
      <c r="M30" s="3"/>
      <c r="N30" s="7" t="s">
        <v>28</v>
      </c>
      <c r="O30" s="7">
        <f>T24</f>
        <v>0.14473684210526316</v>
      </c>
      <c r="P30" s="7">
        <f>T47</f>
        <v>0.14473684210526316</v>
      </c>
      <c r="Q30" s="7">
        <f>V47</f>
        <v>0.14473684210526316</v>
      </c>
      <c r="R30" s="3" t="s">
        <v>0</v>
      </c>
      <c r="S30" s="7" t="s">
        <v>83</v>
      </c>
      <c r="T30" s="38">
        <f>T28</f>
        <v>690.85834705770344</v>
      </c>
      <c r="U30" s="7">
        <f>U29</f>
        <v>36</v>
      </c>
      <c r="W30" s="3" t="s">
        <v>0</v>
      </c>
      <c r="X30" s="7">
        <v>300</v>
      </c>
      <c r="Y30" s="7">
        <v>16</v>
      </c>
      <c r="AD30" s="8" t="s">
        <v>103</v>
      </c>
      <c r="AE30" s="8" t="s">
        <v>104</v>
      </c>
    </row>
    <row r="31" spans="1:31" ht="14.25" customHeight="1" x14ac:dyDescent="0.3">
      <c r="M31" s="3"/>
      <c r="N31" s="7" t="s">
        <v>36</v>
      </c>
      <c r="O31" s="7">
        <f>T25</f>
        <v>186.620849234384</v>
      </c>
      <c r="P31" s="7">
        <f>T48</f>
        <v>186.620849234384</v>
      </c>
      <c r="Q31" s="7">
        <f>V48</f>
        <v>2625.4545454545455</v>
      </c>
      <c r="R31" s="3" t="s">
        <v>0</v>
      </c>
      <c r="S31" s="7" t="s">
        <v>85</v>
      </c>
      <c r="T31" s="38">
        <f>T28</f>
        <v>690.85834705770344</v>
      </c>
      <c r="U31" s="7">
        <f>U30-6</f>
        <v>30</v>
      </c>
      <c r="W31" s="3" t="s">
        <v>0</v>
      </c>
      <c r="X31" s="7">
        <v>500</v>
      </c>
      <c r="Y31" s="7">
        <v>22</v>
      </c>
      <c r="AD31" s="7" t="b">
        <v>0</v>
      </c>
      <c r="AE31" s="7" t="s">
        <v>74</v>
      </c>
    </row>
    <row r="32" spans="1:31" ht="14.25" customHeight="1" x14ac:dyDescent="0.3">
      <c r="M32" s="3"/>
      <c r="R32" s="3" t="s">
        <v>0</v>
      </c>
      <c r="W32" s="3" t="s">
        <v>0</v>
      </c>
      <c r="X32" s="7">
        <v>10000000000000</v>
      </c>
      <c r="Y32" s="7">
        <v>25</v>
      </c>
      <c r="AD32" s="7" t="b">
        <v>1</v>
      </c>
      <c r="AE32" s="7" t="s">
        <v>75</v>
      </c>
    </row>
    <row r="33" spans="13:34" ht="14.25" customHeight="1" x14ac:dyDescent="0.3">
      <c r="M33" s="3"/>
      <c r="R33" s="3" t="s">
        <v>0</v>
      </c>
      <c r="S33" s="8" t="s">
        <v>105</v>
      </c>
      <c r="T33" s="7">
        <f>TRUNC(U31/90)+1</f>
        <v>1</v>
      </c>
      <c r="W33" s="3" t="s">
        <v>0</v>
      </c>
      <c r="X33" s="8" t="s">
        <v>106</v>
      </c>
      <c r="Y33" s="8">
        <f>IF(G6&lt;=X27,Y27,IF(G6&lt;=X28,Y28,IF(G6&lt;=X29,Y29,IF(G6&lt;=X30,Y30,IF(G6&lt;=X31,Y31,Y32)))))</f>
        <v>16</v>
      </c>
    </row>
    <row r="34" spans="13:34" ht="14.25" customHeight="1" x14ac:dyDescent="0.3">
      <c r="M34" s="3"/>
      <c r="R34" s="3" t="s">
        <v>0</v>
      </c>
      <c r="S34" s="8" t="s">
        <v>107</v>
      </c>
      <c r="T34" s="38">
        <f>IF(T33=1,U30-10,IF(T33=2,(U30-18)/2,IF(T33=3,(U30-28)/3,IF(T33=4,(U30-38)/4))))</f>
        <v>26</v>
      </c>
      <c r="W34" s="3" t="s">
        <v>0</v>
      </c>
      <c r="AD34" s="8" t="s">
        <v>108</v>
      </c>
      <c r="AE34" s="8" t="s">
        <v>104</v>
      </c>
    </row>
    <row r="35" spans="13:34" ht="14.25" customHeight="1" x14ac:dyDescent="0.3">
      <c r="M35" s="3"/>
      <c r="O35" s="20"/>
      <c r="R35" s="3" t="s">
        <v>0</v>
      </c>
      <c r="W35" s="3" t="s">
        <v>0</v>
      </c>
      <c r="X35" s="8" t="s">
        <v>109</v>
      </c>
      <c r="Y35" s="8"/>
      <c r="AD35" s="7" t="b">
        <v>0</v>
      </c>
      <c r="AE35" s="7" t="s">
        <v>74</v>
      </c>
    </row>
    <row r="36" spans="13:34" ht="14.25" customHeight="1" x14ac:dyDescent="0.3">
      <c r="M36" s="3"/>
      <c r="R36" s="3" t="s">
        <v>0</v>
      </c>
      <c r="S36" s="45" t="s">
        <v>110</v>
      </c>
      <c r="T36" s="46"/>
      <c r="U36" s="47"/>
      <c r="W36" s="3" t="s">
        <v>0</v>
      </c>
      <c r="X36" s="7" t="s">
        <v>14</v>
      </c>
      <c r="Y36" s="7">
        <v>0</v>
      </c>
      <c r="AD36" s="7" t="b">
        <v>1</v>
      </c>
      <c r="AE36" s="7" t="s">
        <v>75</v>
      </c>
    </row>
    <row r="37" spans="13:34" ht="14.25" customHeight="1" x14ac:dyDescent="0.3">
      <c r="S37" s="8"/>
      <c r="T37" s="8" t="s">
        <v>94</v>
      </c>
      <c r="U37" s="8" t="s">
        <v>65</v>
      </c>
      <c r="X37" s="7" t="s">
        <v>111</v>
      </c>
      <c r="Y37" s="7">
        <f>T3*0.2</f>
        <v>221.07467105846513</v>
      </c>
    </row>
    <row r="38" spans="13:34" ht="14.25" customHeight="1" x14ac:dyDescent="0.3">
      <c r="S38" s="7" t="s">
        <v>71</v>
      </c>
      <c r="T38" s="38">
        <f t="shared" ref="T38:U40" si="1">T28</f>
        <v>690.85834705770344</v>
      </c>
      <c r="U38" s="7">
        <f t="shared" si="1"/>
        <v>61</v>
      </c>
      <c r="X38" s="7" t="s">
        <v>112</v>
      </c>
      <c r="Y38" s="7">
        <f>T3*0.3</f>
        <v>331.61200658769769</v>
      </c>
      <c r="AD38" s="8" t="s">
        <v>113</v>
      </c>
      <c r="AE38" s="8"/>
    </row>
    <row r="39" spans="13:34" ht="14.25" customHeight="1" x14ac:dyDescent="0.3">
      <c r="S39" s="7" t="s">
        <v>80</v>
      </c>
      <c r="T39" s="38">
        <f t="shared" si="1"/>
        <v>766.85834705770344</v>
      </c>
      <c r="U39" s="7">
        <f t="shared" si="1"/>
        <v>36</v>
      </c>
      <c r="X39" s="8" t="s">
        <v>52</v>
      </c>
      <c r="Y39" s="8">
        <f>IF(Tipo="General Electric",Y36,IF(L8&lt;190,Y37,Y38))</f>
        <v>331.61200658769769</v>
      </c>
      <c r="AD39" s="7" t="s">
        <v>114</v>
      </c>
      <c r="AE39" s="7" t="b">
        <f>IF(ISERROR(T58),FALSE,TRUE)</f>
        <v>0</v>
      </c>
    </row>
    <row r="40" spans="13:34" ht="14.25" customHeight="1" x14ac:dyDescent="0.3">
      <c r="S40" s="7" t="s">
        <v>83</v>
      </c>
      <c r="T40" s="38">
        <f t="shared" si="1"/>
        <v>690.85834705770344</v>
      </c>
      <c r="U40" s="7">
        <f t="shared" si="1"/>
        <v>36</v>
      </c>
      <c r="AD40" s="7" t="s">
        <v>115</v>
      </c>
      <c r="AE40" s="7" t="b">
        <f>IF(ISERROR(T59),FALSE,TRUE)</f>
        <v>0</v>
      </c>
    </row>
    <row r="41" spans="13:34" ht="14.25" customHeight="1" x14ac:dyDescent="0.3">
      <c r="S41" s="7" t="s">
        <v>85</v>
      </c>
      <c r="T41" s="38">
        <f>T31</f>
        <v>690.85834705770344</v>
      </c>
      <c r="U41" s="38">
        <f>IF(T33=1,U31,T34)</f>
        <v>30</v>
      </c>
      <c r="X41" s="8" t="s">
        <v>116</v>
      </c>
      <c r="Y41" s="8" t="s">
        <v>117</v>
      </c>
      <c r="AD41" s="7" t="s">
        <v>118</v>
      </c>
      <c r="AE41" s="7" t="b">
        <f>IF(ISERROR(T60),FALSE,TRUE)</f>
        <v>0</v>
      </c>
    </row>
    <row r="42" spans="13:34" ht="14.25" customHeight="1" x14ac:dyDescent="0.3">
      <c r="V42" s="34"/>
      <c r="X42" s="7" t="s">
        <v>119</v>
      </c>
      <c r="Y42" s="7">
        <v>10</v>
      </c>
      <c r="AD42" s="7" t="s">
        <v>120</v>
      </c>
      <c r="AE42" s="7" t="b">
        <f>IF(ISERROR(T61),FALSE,TRUE)</f>
        <v>0</v>
      </c>
    </row>
    <row r="43" spans="13:34" ht="14.25" customHeight="1" x14ac:dyDescent="0.3">
      <c r="S43" s="4" t="s">
        <v>32</v>
      </c>
      <c r="T43" s="48"/>
      <c r="U43" s="49"/>
      <c r="V43" s="50"/>
      <c r="X43" s="7" t="s">
        <v>121</v>
      </c>
      <c r="Y43" s="7">
        <v>15</v>
      </c>
    </row>
    <row r="44" spans="13:34" ht="14.25" customHeight="1" x14ac:dyDescent="0.3">
      <c r="S44" s="7" t="s">
        <v>122</v>
      </c>
      <c r="T44" s="7" t="s">
        <v>123</v>
      </c>
      <c r="U44" s="7" t="s">
        <v>41</v>
      </c>
      <c r="V44" s="7" t="s">
        <v>73</v>
      </c>
      <c r="X44" s="10" t="s">
        <v>112</v>
      </c>
      <c r="Y44" s="7">
        <v>20</v>
      </c>
      <c r="AD44" s="66" t="s">
        <v>124</v>
      </c>
      <c r="AE44" s="67"/>
      <c r="AF44" s="67"/>
      <c r="AG44" s="61"/>
      <c r="AH44" s="7"/>
    </row>
    <row r="45" spans="13:34" ht="14.25" customHeight="1" x14ac:dyDescent="0.3">
      <c r="S45" s="7" t="s">
        <v>18</v>
      </c>
      <c r="T45" s="7">
        <f t="shared" ref="T45:U48" si="2">T22</f>
        <v>55</v>
      </c>
      <c r="U45" s="7">
        <f t="shared" si="2"/>
        <v>55</v>
      </c>
      <c r="V45" s="7">
        <f>U45/T33</f>
        <v>55</v>
      </c>
      <c r="AD45" s="7" t="s">
        <v>16</v>
      </c>
      <c r="AE45" s="7" t="s">
        <v>43</v>
      </c>
      <c r="AF45" s="7" t="s">
        <v>125</v>
      </c>
      <c r="AG45" s="7" t="s">
        <v>100</v>
      </c>
      <c r="AH45" s="7"/>
    </row>
    <row r="46" spans="13:34" ht="14.25" customHeight="1" x14ac:dyDescent="0.3">
      <c r="S46" s="7" t="s">
        <v>20</v>
      </c>
      <c r="T46" s="7">
        <f t="shared" si="2"/>
        <v>380</v>
      </c>
      <c r="U46" s="7">
        <f t="shared" si="2"/>
        <v>380</v>
      </c>
      <c r="V46" s="7">
        <f>IF(AD31=TRUE,U46/2,U46)</f>
        <v>380</v>
      </c>
      <c r="X46" s="8" t="s">
        <v>90</v>
      </c>
      <c r="Y46" s="8" t="s">
        <v>23</v>
      </c>
      <c r="Z46" s="8" t="s">
        <v>126</v>
      </c>
      <c r="AD46" s="7" t="b">
        <f>IF(ISERROR(T58),FALSE,TRUE)</f>
        <v>0</v>
      </c>
      <c r="AE46" s="7" t="s">
        <v>114</v>
      </c>
      <c r="AF46" s="7" t="e">
        <f t="shared" ref="AF46:AG49" si="3">T58</f>
        <v>#N/A</v>
      </c>
      <c r="AG46" s="15" t="e">
        <f t="shared" si="3"/>
        <v>#N/A</v>
      </c>
      <c r="AH46" s="7" t="s">
        <v>127</v>
      </c>
    </row>
    <row r="47" spans="13:34" ht="14.25" customHeight="1" x14ac:dyDescent="0.3">
      <c r="S47" s="7" t="s">
        <v>28</v>
      </c>
      <c r="T47" s="7">
        <f t="shared" si="2"/>
        <v>0.14473684210526316</v>
      </c>
      <c r="U47" s="7">
        <f t="shared" si="2"/>
        <v>0.14473684210526316</v>
      </c>
      <c r="V47" s="7">
        <f>V45/V46</f>
        <v>0.14473684210526316</v>
      </c>
      <c r="X47" s="7">
        <v>45</v>
      </c>
      <c r="Y47" s="7">
        <f>L21</f>
        <v>0</v>
      </c>
      <c r="Z47" s="7">
        <f>IF(Y47&lt;13,Y42,IF(Y47&lt;30,Y43,Y44))</f>
        <v>10</v>
      </c>
      <c r="AD47" s="7" t="b">
        <f>IF(ISERROR(T59),FALSE,TRUE)</f>
        <v>0</v>
      </c>
      <c r="AE47" s="7" t="s">
        <v>115</v>
      </c>
      <c r="AF47" s="7" t="e">
        <f t="shared" si="3"/>
        <v>#N/A</v>
      </c>
      <c r="AG47" s="7" t="e">
        <f t="shared" si="3"/>
        <v>#N/A</v>
      </c>
      <c r="AH47" s="7" t="s">
        <v>128</v>
      </c>
    </row>
    <row r="48" spans="13:34" ht="14.25" customHeight="1" x14ac:dyDescent="0.3">
      <c r="S48" s="7" t="s">
        <v>36</v>
      </c>
      <c r="T48" s="7">
        <f t="shared" si="2"/>
        <v>186.620849234384</v>
      </c>
      <c r="U48" s="7">
        <f t="shared" si="2"/>
        <v>2625.4545454545455</v>
      </c>
      <c r="V48" s="7">
        <f>V46/V47</f>
        <v>2625.4545454545455</v>
      </c>
      <c r="X48" s="7">
        <v>90</v>
      </c>
      <c r="Y48" s="7">
        <f>L22</f>
        <v>0</v>
      </c>
      <c r="Z48" s="7">
        <f>IF(Y48&lt;13,Y42,IF(Y48&lt;30,Y43,Y44))</f>
        <v>10</v>
      </c>
      <c r="AD48" s="7" t="b">
        <f>IF(ISERROR(T60),FALSE,TRUE)</f>
        <v>0</v>
      </c>
      <c r="AE48" s="7" t="s">
        <v>118</v>
      </c>
      <c r="AF48" s="7" t="e">
        <f t="shared" si="3"/>
        <v>#N/A</v>
      </c>
      <c r="AG48" s="7" t="e">
        <f t="shared" si="3"/>
        <v>#N/A</v>
      </c>
      <c r="AH48" s="7" t="s">
        <v>128</v>
      </c>
    </row>
    <row r="49" spans="19:34" ht="14.25" customHeight="1" x14ac:dyDescent="0.3">
      <c r="X49" s="7">
        <v>180</v>
      </c>
      <c r="Y49" s="7">
        <f>L23</f>
        <v>19</v>
      </c>
      <c r="Z49" s="7">
        <f>IF(Y49&lt;13,Y42,IF(Y49&lt;30,Y43,Y44))</f>
        <v>15</v>
      </c>
      <c r="AD49" s="7" t="b">
        <f>IF(ISERROR(T61),FALSE,TRUE)</f>
        <v>0</v>
      </c>
      <c r="AE49" s="7" t="s">
        <v>120</v>
      </c>
      <c r="AF49" s="7" t="e">
        <f t="shared" si="3"/>
        <v>#N/A</v>
      </c>
      <c r="AG49" s="7" t="e">
        <f t="shared" si="3"/>
        <v>#N/A</v>
      </c>
      <c r="AH49" s="7" t="s">
        <v>128</v>
      </c>
    </row>
    <row r="50" spans="19:34" ht="14.25" customHeight="1" x14ac:dyDescent="0.3">
      <c r="S50" s="48" t="s">
        <v>129</v>
      </c>
      <c r="T50" s="49"/>
      <c r="U50" s="50"/>
      <c r="X50" s="7">
        <v>270</v>
      </c>
      <c r="Y50" s="7">
        <f>L24</f>
        <v>0</v>
      </c>
      <c r="Z50" s="7">
        <f>IF(Y50&lt;13,Y42,IF(Y50&lt;30,Y43,Y44))</f>
        <v>10</v>
      </c>
    </row>
    <row r="51" spans="19:34" ht="14.25" customHeight="1" x14ac:dyDescent="0.3">
      <c r="S51" s="7" t="s">
        <v>130</v>
      </c>
      <c r="T51" s="7" t="s">
        <v>131</v>
      </c>
      <c r="U51" s="7" t="s">
        <v>100</v>
      </c>
    </row>
    <row r="52" spans="19:34" ht="14.25" customHeight="1" x14ac:dyDescent="0.3">
      <c r="S52" s="7" t="str">
        <f>IF(AE39=TRUE,AD39, IF(AE40=TRUE,AD40, IF(AE41=TRUE,AD41,AD42)))</f>
        <v>Cinta Triple</v>
      </c>
      <c r="T52" s="7" t="e">
        <f>IF(AE39=TRUE,T58,IF(AE40=TRUE,T59,IF(AE41=TRUE,T60,T61)))</f>
        <v>#N/A</v>
      </c>
      <c r="U52" s="15" t="e">
        <f>IF(AE39=TRUE,U58,IF(AE40=TRUE,U59,IF(AE41=TRUE,U60,U61)))</f>
        <v>#N/A</v>
      </c>
      <c r="X52" s="8" t="s">
        <v>132</v>
      </c>
      <c r="Y52" s="8"/>
    </row>
    <row r="53" spans="19:34" ht="14.25" customHeight="1" x14ac:dyDescent="0.3">
      <c r="X53" s="7" t="s">
        <v>133</v>
      </c>
      <c r="Y53" s="7">
        <v>12</v>
      </c>
    </row>
    <row r="54" spans="19:34" ht="14.25" customHeight="1" x14ac:dyDescent="0.3">
      <c r="S54" s="51" t="s">
        <v>134</v>
      </c>
      <c r="T54" s="7">
        <f>IF(L4&lt;T19,L4,T19)</f>
        <v>55</v>
      </c>
      <c r="X54" s="7" t="s">
        <v>135</v>
      </c>
      <c r="Y54" s="7">
        <v>15</v>
      </c>
    </row>
    <row r="55" spans="19:34" ht="14.25" customHeight="1" x14ac:dyDescent="0.3">
      <c r="X55" s="7" t="s">
        <v>136</v>
      </c>
      <c r="Y55" s="7">
        <v>20</v>
      </c>
    </row>
    <row r="56" spans="19:34" ht="14.25" customHeight="1" x14ac:dyDescent="0.3">
      <c r="S56" s="45" t="s">
        <v>137</v>
      </c>
      <c r="T56" s="46"/>
      <c r="U56" s="47"/>
      <c r="X56" s="8" t="s">
        <v>52</v>
      </c>
      <c r="Y56" s="7">
        <f>IF(L8&lt;100, 12, IF(L8&lt;150,15,20))</f>
        <v>20</v>
      </c>
    </row>
    <row r="57" spans="19:34" ht="14.25" customHeight="1" x14ac:dyDescent="0.3">
      <c r="S57" s="8" t="s">
        <v>43</v>
      </c>
      <c r="T57" s="8" t="s">
        <v>138</v>
      </c>
      <c r="U57" s="42" t="s">
        <v>100</v>
      </c>
    </row>
    <row r="58" spans="19:34" ht="14.25" customHeight="1" x14ac:dyDescent="0.3">
      <c r="S58" s="52" t="s">
        <v>114</v>
      </c>
      <c r="T58" s="7" t="e">
        <f>VLOOKUP(TRUE,Tablas!$I$31:$L$42,2,FALSE)</f>
        <v>#N/A</v>
      </c>
      <c r="U58" s="15" t="e">
        <f>VLOOKUP(TRUE,Tablas!$I$31:$L$42,4,FALSE)</f>
        <v>#N/A</v>
      </c>
    </row>
    <row r="59" spans="19:34" ht="14.25" customHeight="1" x14ac:dyDescent="0.3">
      <c r="S59" s="7" t="s">
        <v>115</v>
      </c>
      <c r="T59" s="7" t="e">
        <f>VLOOKUP(TRUE,Tablas!P3:$S$15,2,FALSE)</f>
        <v>#N/A</v>
      </c>
      <c r="U59" s="7" t="e">
        <f>VLOOKUP(TRUE,Tablas!P3:$S$15,4,FALSE)</f>
        <v>#N/A</v>
      </c>
    </row>
    <row r="60" spans="19:34" ht="14.25" customHeight="1" x14ac:dyDescent="0.3">
      <c r="S60" s="7" t="s">
        <v>118</v>
      </c>
      <c r="T60" s="7" t="e">
        <f>VLOOKUP(TRUE,Tablas!P19:$S$31,2,FALSE)</f>
        <v>#N/A</v>
      </c>
      <c r="U60" s="7" t="e">
        <f>VLOOKUP(TRUE,Tablas!P19:$S$31,4,FALSE)</f>
        <v>#N/A</v>
      </c>
    </row>
    <row r="61" spans="19:34" ht="14.25" customHeight="1" x14ac:dyDescent="0.3">
      <c r="S61" s="7" t="s">
        <v>120</v>
      </c>
      <c r="T61" s="7" t="e">
        <f>VLOOKUP(TRUE,Tablas!P35:$S$47,2,FALSE)</f>
        <v>#N/A</v>
      </c>
      <c r="U61" s="7" t="e">
        <f>VLOOKUP(TRUE,Tablas!P35:$S$47,4,FALSE)</f>
        <v>#N/A</v>
      </c>
    </row>
    <row r="62" spans="19:34" ht="14.25" customHeight="1" x14ac:dyDescent="0.3"/>
    <row r="63" spans="19:34" ht="14.25" customHeight="1" x14ac:dyDescent="0.3"/>
    <row r="64" spans="19:3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AD44:AG44"/>
    <mergeCell ref="C22:D22"/>
    <mergeCell ref="X3:Y3"/>
    <mergeCell ref="A22:B22"/>
    <mergeCell ref="X4:Y4"/>
    <mergeCell ref="A21:B21"/>
    <mergeCell ref="J2:L2"/>
    <mergeCell ref="J12:K12"/>
    <mergeCell ref="C21:D21"/>
  </mergeCells>
  <conditionalFormatting sqref="A19:E19">
    <cfRule type="expression" dxfId="2" priority="1">
      <formula>$K$14&lt;&gt;"General Electric"</formula>
    </cfRule>
  </conditionalFormatting>
  <conditionalFormatting sqref="C6:C11">
    <cfRule type="expression" dxfId="1" priority="2">
      <formula>$K$14&lt;&gt;"Medias Cañas"</formula>
    </cfRule>
  </conditionalFormatting>
  <conditionalFormatting sqref="D6:D11">
    <cfRule type="expression" dxfId="0" priority="3">
      <formula>$T$33=1</formula>
    </cfRule>
  </conditionalFormatting>
  <dataValidations count="2">
    <dataValidation type="list" allowBlank="1" showErrorMessage="1" sqref="K18" xr:uid="{00000000-0002-0000-0000-000000000000}">
      <formula1>$AB$11:$AB$15</formula1>
    </dataValidation>
    <dataValidation type="list" allowBlank="1" showErrorMessage="1" sqref="K14" xr:uid="{00000000-0002-0000-0000-000001000000}">
      <formula1>Bandas</formula1>
    </dataValidation>
  </dataValidations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sqref="A1:D1"/>
    </sheetView>
  </sheetViews>
  <sheetFormatPr baseColWidth="10" defaultColWidth="14.44140625" defaultRowHeight="15" customHeight="1" x14ac:dyDescent="0.3"/>
  <cols>
    <col min="1" max="1" width="8.44140625" customWidth="1"/>
    <col min="2" max="2" width="13.44140625" customWidth="1"/>
    <col min="3" max="3" width="13.88671875" customWidth="1"/>
    <col min="4" max="5" width="10.88671875" customWidth="1"/>
    <col min="6" max="6" width="13.44140625" customWidth="1"/>
    <col min="7" max="7" width="15.5546875" customWidth="1"/>
    <col min="8" max="9" width="14.109375" customWidth="1"/>
    <col min="10" max="10" width="10.88671875" customWidth="1"/>
    <col min="11" max="11" width="15.5546875" customWidth="1"/>
    <col min="12" max="12" width="12.44140625" customWidth="1"/>
    <col min="13" max="15" width="10.88671875" customWidth="1"/>
    <col min="16" max="16" width="14.44140625" customWidth="1"/>
    <col min="17" max="17" width="14.109375" customWidth="1"/>
    <col min="18" max="18" width="15" customWidth="1"/>
    <col min="19" max="26" width="10.88671875" customWidth="1"/>
  </cols>
  <sheetData>
    <row r="1" spans="1:19" ht="14.25" customHeight="1" x14ac:dyDescent="0.3">
      <c r="A1" s="66" t="s">
        <v>139</v>
      </c>
      <c r="B1" s="67"/>
      <c r="C1" s="67"/>
      <c r="D1" s="61"/>
      <c r="F1" s="66" t="s">
        <v>140</v>
      </c>
      <c r="G1" s="61"/>
      <c r="H1" s="53"/>
      <c r="I1" s="66" t="s">
        <v>141</v>
      </c>
      <c r="J1" s="67"/>
      <c r="K1" s="67"/>
      <c r="L1" s="61"/>
      <c r="M1" s="3"/>
      <c r="P1" s="54" t="s">
        <v>142</v>
      </c>
      <c r="Q1" s="54"/>
      <c r="R1" s="54"/>
      <c r="S1" s="33"/>
    </row>
    <row r="2" spans="1:19" ht="14.25" customHeight="1" x14ac:dyDescent="0.3">
      <c r="A2" s="55" t="s">
        <v>127</v>
      </c>
      <c r="B2" s="55" t="s">
        <v>143</v>
      </c>
      <c r="C2" s="55" t="s">
        <v>144</v>
      </c>
      <c r="D2" s="55" t="s">
        <v>145</v>
      </c>
      <c r="F2" s="55" t="s">
        <v>144</v>
      </c>
      <c r="G2" s="55" t="s">
        <v>146</v>
      </c>
      <c r="H2" s="56"/>
      <c r="I2" s="7" t="s">
        <v>16</v>
      </c>
      <c r="J2" s="7" t="s">
        <v>127</v>
      </c>
      <c r="K2" s="7" t="s">
        <v>147</v>
      </c>
      <c r="L2" s="7" t="s">
        <v>100</v>
      </c>
      <c r="M2" s="57"/>
      <c r="P2" s="40" t="s">
        <v>148</v>
      </c>
      <c r="Q2" s="7" t="s">
        <v>149</v>
      </c>
      <c r="R2" s="7" t="s">
        <v>150</v>
      </c>
      <c r="S2" s="7" t="s">
        <v>100</v>
      </c>
    </row>
    <row r="3" spans="1:19" ht="14.25" customHeight="1" x14ac:dyDescent="0.3">
      <c r="A3" s="55">
        <v>1</v>
      </c>
      <c r="B3" s="55">
        <v>7.34</v>
      </c>
      <c r="C3" s="55">
        <v>2.6499999999999999E-2</v>
      </c>
      <c r="D3" s="55">
        <v>2.85</v>
      </c>
      <c r="F3" s="55">
        <v>2</v>
      </c>
      <c r="G3" s="7">
        <v>3</v>
      </c>
      <c r="I3" s="7" t="b">
        <f t="shared" ref="I3:I42" si="0">IF(AND(L3&lt;=1.5,L3&gt;=1.1),TRUE,FALSE)</f>
        <v>0</v>
      </c>
      <c r="J3" s="55">
        <v>1</v>
      </c>
      <c r="K3" s="7">
        <f>Bandas!$B$11/C3</f>
        <v>7042.296197523925</v>
      </c>
      <c r="L3" s="7">
        <f>(Bandas!$T$7/K3)-B3</f>
        <v>-7.3344547204877308</v>
      </c>
      <c r="P3" s="7" t="b">
        <f t="shared" ref="P3:P15" si="1">IF(AND(S3&lt;=3*G3,S3&gt;=1.5*G3),TRUE,FALSE)</f>
        <v>0</v>
      </c>
      <c r="Q3" s="55">
        <v>2</v>
      </c>
      <c r="R3" s="21">
        <f>Bandas!$V$48/F3</f>
        <v>1312.7272727272727</v>
      </c>
      <c r="S3" s="21">
        <f>(Bandas!$T$7/R3)-G3</f>
        <v>-2.9702516267965318</v>
      </c>
    </row>
    <row r="4" spans="1:19" ht="14.25" customHeight="1" x14ac:dyDescent="0.3">
      <c r="A4" s="55">
        <v>2</v>
      </c>
      <c r="B4" s="55">
        <v>6.55</v>
      </c>
      <c r="C4" s="55">
        <v>3.32E-2</v>
      </c>
      <c r="D4" s="55">
        <v>3.56</v>
      </c>
      <c r="F4" s="55">
        <v>3</v>
      </c>
      <c r="G4" s="7">
        <v>2.8</v>
      </c>
      <c r="I4" s="7" t="b">
        <f t="shared" si="0"/>
        <v>0</v>
      </c>
      <c r="J4" s="55">
        <v>2</v>
      </c>
      <c r="K4" s="7">
        <f>Bandas!$B$11/C4</f>
        <v>5621.1099166983131</v>
      </c>
      <c r="L4" s="7">
        <f>(Bandas!$T$7/K4)-B4</f>
        <v>-6.5430527064223645</v>
      </c>
      <c r="P4" s="7" t="b">
        <f t="shared" si="1"/>
        <v>0</v>
      </c>
      <c r="Q4" s="55">
        <v>3</v>
      </c>
      <c r="R4" s="21">
        <f>Bandas!$V$48/F4</f>
        <v>875.15151515151513</v>
      </c>
      <c r="S4" s="21">
        <f>(Bandas!$T$7/R4)-G4</f>
        <v>-2.7553774401947972</v>
      </c>
    </row>
    <row r="5" spans="1:19" ht="14.25" customHeight="1" x14ac:dyDescent="0.3">
      <c r="A5" s="55">
        <v>3</v>
      </c>
      <c r="B5" s="55">
        <v>5.82</v>
      </c>
      <c r="C5" s="55">
        <v>4.2099999999999999E-2</v>
      </c>
      <c r="D5" s="55">
        <v>4.53</v>
      </c>
      <c r="F5" s="55">
        <v>4</v>
      </c>
      <c r="G5" s="7">
        <v>2.2999999999999998</v>
      </c>
      <c r="I5" s="7" t="b">
        <f t="shared" si="0"/>
        <v>0</v>
      </c>
      <c r="J5" s="55">
        <v>3</v>
      </c>
      <c r="K5" s="7">
        <f>Bandas!$B$11/C5</f>
        <v>4432.7992692252728</v>
      </c>
      <c r="L5" s="7">
        <f>(Bandas!$T$7/K5)-B5</f>
        <v>-5.8111903295295644</v>
      </c>
      <c r="P5" s="7" t="b">
        <f t="shared" si="1"/>
        <v>0</v>
      </c>
      <c r="Q5" s="55">
        <v>4</v>
      </c>
      <c r="R5" s="21">
        <f>Bandas!$V$48/F5</f>
        <v>656.36363636363637</v>
      </c>
      <c r="S5" s="21">
        <f>(Bandas!$T$7/R5)-G5</f>
        <v>-2.2405032535930629</v>
      </c>
    </row>
    <row r="6" spans="1:19" ht="14.25" customHeight="1" x14ac:dyDescent="0.3">
      <c r="A6" s="55">
        <v>4</v>
      </c>
      <c r="B6" s="55">
        <v>5.18</v>
      </c>
      <c r="C6" s="55">
        <v>5.3100000000000001E-2</v>
      </c>
      <c r="D6" s="55">
        <v>5.72</v>
      </c>
      <c r="F6" s="55">
        <v>5</v>
      </c>
      <c r="G6" s="7">
        <v>2</v>
      </c>
      <c r="I6" s="7" t="b">
        <f t="shared" si="0"/>
        <v>0</v>
      </c>
      <c r="J6" s="55">
        <v>4</v>
      </c>
      <c r="K6" s="7">
        <f>Bandas!$B$11/C6</f>
        <v>3514.5169347341616</v>
      </c>
      <c r="L6" s="7">
        <f>(Bandas!$T$7/K6)-B6</f>
        <v>-5.1688885153923954</v>
      </c>
      <c r="P6" s="7" t="b">
        <f t="shared" si="1"/>
        <v>0</v>
      </c>
      <c r="Q6" s="55">
        <v>5</v>
      </c>
      <c r="R6" s="21">
        <f>Bandas!$V$48/F6</f>
        <v>525.09090909090912</v>
      </c>
      <c r="S6" s="21">
        <f>(Bandas!$T$7/R6)-G6</f>
        <v>-1.925629066991329</v>
      </c>
    </row>
    <row r="7" spans="1:19" ht="14.25" customHeight="1" x14ac:dyDescent="0.3">
      <c r="A7" s="55">
        <v>5</v>
      </c>
      <c r="B7" s="55">
        <v>4.62</v>
      </c>
      <c r="C7" s="55">
        <v>6.6799999999999998E-2</v>
      </c>
      <c r="D7" s="55">
        <v>7.19</v>
      </c>
      <c r="F7" s="55">
        <v>6</v>
      </c>
      <c r="G7" s="7">
        <v>1.5</v>
      </c>
      <c r="I7" s="7" t="b">
        <f t="shared" si="0"/>
        <v>0</v>
      </c>
      <c r="J7" s="55">
        <v>5</v>
      </c>
      <c r="K7" s="7">
        <f>Bandas!$B$11/C7</f>
        <v>2793.7252879398802</v>
      </c>
      <c r="L7" s="7">
        <f>(Bandas!$T$7/K7)-B7</f>
        <v>-4.6060217105124686</v>
      </c>
      <c r="P7" s="7" t="b">
        <f t="shared" si="1"/>
        <v>0</v>
      </c>
      <c r="Q7" s="55">
        <v>6</v>
      </c>
      <c r="R7" s="21">
        <f>Bandas!$V$48/F7</f>
        <v>437.57575757575756</v>
      </c>
      <c r="S7" s="21">
        <f>(Bandas!$T$7/R7)-G7</f>
        <v>-1.4107548803895946</v>
      </c>
    </row>
    <row r="8" spans="1:19" ht="14.25" customHeight="1" x14ac:dyDescent="0.3">
      <c r="A8" s="55">
        <v>6</v>
      </c>
      <c r="B8" s="55">
        <v>4.1100000000000003</v>
      </c>
      <c r="C8" s="55">
        <v>8.4400000000000003E-2</v>
      </c>
      <c r="D8" s="55">
        <v>9.08</v>
      </c>
      <c r="F8" s="55">
        <v>7</v>
      </c>
      <c r="G8" s="7">
        <v>1.5</v>
      </c>
      <c r="I8" s="7" t="b">
        <f t="shared" si="0"/>
        <v>0</v>
      </c>
      <c r="J8" s="55">
        <v>6</v>
      </c>
      <c r="K8" s="7">
        <f>Bandas!$B$11/C8</f>
        <v>2211.1475027770616</v>
      </c>
      <c r="L8" s="7">
        <f>(Bandas!$T$7/K8)-B8</f>
        <v>-4.0923388078929985</v>
      </c>
      <c r="P8" s="7" t="b">
        <f t="shared" si="1"/>
        <v>0</v>
      </c>
      <c r="Q8" s="55">
        <v>7</v>
      </c>
      <c r="R8" s="21">
        <f>Bandas!$V$48/F8</f>
        <v>375.06493506493507</v>
      </c>
      <c r="S8" s="21">
        <f>(Bandas!$T$7/R8)-G8</f>
        <v>-1.3958806937878605</v>
      </c>
    </row>
    <row r="9" spans="1:19" ht="14.25" customHeight="1" x14ac:dyDescent="0.3">
      <c r="A9" s="55">
        <v>7</v>
      </c>
      <c r="B9" s="55">
        <v>3.66</v>
      </c>
      <c r="C9" s="55">
        <v>0.106</v>
      </c>
      <c r="D9" s="55">
        <v>11.45</v>
      </c>
      <c r="F9" s="55">
        <v>8</v>
      </c>
      <c r="G9" s="7">
        <v>1.5</v>
      </c>
      <c r="I9" s="7" t="b">
        <f t="shared" si="0"/>
        <v>0</v>
      </c>
      <c r="J9" s="55">
        <v>7</v>
      </c>
      <c r="K9" s="7">
        <f>Bandas!$B$11/C9</f>
        <v>1760.5740493809813</v>
      </c>
      <c r="L9" s="7">
        <f>(Bandas!$T$7/K9)-B9</f>
        <v>-3.6378188819509223</v>
      </c>
      <c r="P9" s="7" t="b">
        <f t="shared" si="1"/>
        <v>0</v>
      </c>
      <c r="Q9" s="55">
        <v>8</v>
      </c>
      <c r="R9" s="21">
        <f>Bandas!$V$48/F9</f>
        <v>328.18181818181819</v>
      </c>
      <c r="S9" s="21">
        <f>(Bandas!$T$7/R9)-G9</f>
        <v>-1.3810065071861262</v>
      </c>
    </row>
    <row r="10" spans="1:19" ht="14.25" customHeight="1" x14ac:dyDescent="0.3">
      <c r="A10" s="55">
        <v>8</v>
      </c>
      <c r="B10" s="55">
        <v>3.26</v>
      </c>
      <c r="C10" s="55">
        <v>0.13400000000000001</v>
      </c>
      <c r="D10" s="55">
        <v>14.43</v>
      </c>
      <c r="F10" s="55">
        <v>11</v>
      </c>
      <c r="G10" s="7">
        <v>1.5</v>
      </c>
      <c r="I10" s="7" t="b">
        <f t="shared" si="0"/>
        <v>0</v>
      </c>
      <c r="J10" s="55">
        <v>8</v>
      </c>
      <c r="K10" s="7">
        <f>Bandas!$B$11/C10</f>
        <v>1392.6929047342089</v>
      </c>
      <c r="L10" s="7">
        <f>(Bandas!$T$7/K10)-B10</f>
        <v>-3.2319597186926754</v>
      </c>
      <c r="P10" s="7" t="b">
        <f t="shared" si="1"/>
        <v>0</v>
      </c>
      <c r="Q10" s="55">
        <v>11</v>
      </c>
      <c r="R10" s="21">
        <f>Bandas!$V$48/F10</f>
        <v>238.67768595041323</v>
      </c>
      <c r="S10" s="21">
        <f>(Bandas!$T$7/R10)-G10</f>
        <v>-1.3363839473809236</v>
      </c>
    </row>
    <row r="11" spans="1:19" ht="14.25" customHeight="1" x14ac:dyDescent="0.3">
      <c r="A11" s="55">
        <v>9</v>
      </c>
      <c r="B11" s="55">
        <v>2.91</v>
      </c>
      <c r="C11" s="55">
        <v>0.16800000000000001</v>
      </c>
      <c r="D11" s="55">
        <v>18.12</v>
      </c>
      <c r="F11" s="55">
        <v>14</v>
      </c>
      <c r="G11" s="7">
        <v>1</v>
      </c>
      <c r="I11" s="7" t="b">
        <f t="shared" si="0"/>
        <v>0</v>
      </c>
      <c r="J11" s="55">
        <v>9</v>
      </c>
      <c r="K11" s="7">
        <f>Bandas!$B$11/C11</f>
        <v>1110.8383882999046</v>
      </c>
      <c r="L11" s="7">
        <f>(Bandas!$T$7/K11)-B11</f>
        <v>-2.8748450204505187</v>
      </c>
      <c r="P11" s="7" t="b">
        <f t="shared" si="1"/>
        <v>0</v>
      </c>
      <c r="Q11" s="55">
        <v>14</v>
      </c>
      <c r="R11" s="21">
        <f>Bandas!$V$48/F11</f>
        <v>187.53246753246754</v>
      </c>
      <c r="S11" s="21">
        <f>(Bandas!$T$7/R11)-G11</f>
        <v>-0.7917613875757209</v>
      </c>
    </row>
    <row r="12" spans="1:19" ht="14.25" customHeight="1" x14ac:dyDescent="0.3">
      <c r="A12" s="55">
        <v>10</v>
      </c>
      <c r="B12" s="55">
        <v>2.59</v>
      </c>
      <c r="C12" s="55">
        <v>0.21199999999999999</v>
      </c>
      <c r="D12" s="55">
        <v>22.87</v>
      </c>
      <c r="F12" s="55">
        <v>15</v>
      </c>
      <c r="G12" s="7">
        <v>1</v>
      </c>
      <c r="I12" s="7" t="b">
        <f t="shared" si="0"/>
        <v>0</v>
      </c>
      <c r="J12" s="55">
        <v>10</v>
      </c>
      <c r="K12" s="7">
        <f>Bandas!$B$11/C12</f>
        <v>880.28702469049063</v>
      </c>
      <c r="L12" s="7">
        <f>(Bandas!$T$7/K12)-B12</f>
        <v>-2.5456377639018446</v>
      </c>
      <c r="P12" s="7" t="b">
        <f t="shared" si="1"/>
        <v>0</v>
      </c>
      <c r="Q12" s="55">
        <v>15</v>
      </c>
      <c r="R12" s="21">
        <f>Bandas!$V$48/F12</f>
        <v>175.03030303030303</v>
      </c>
      <c r="S12" s="21">
        <f>(Bandas!$T$7/R12)-G12</f>
        <v>-0.77688720097398667</v>
      </c>
    </row>
    <row r="13" spans="1:19" ht="14.25" customHeight="1" x14ac:dyDescent="0.3">
      <c r="A13" s="55">
        <v>11</v>
      </c>
      <c r="B13" s="55">
        <v>2.2999999999999998</v>
      </c>
      <c r="C13" s="55">
        <v>0.26900000000000002</v>
      </c>
      <c r="D13" s="55">
        <v>29</v>
      </c>
      <c r="F13" s="55">
        <v>16</v>
      </c>
      <c r="G13" s="7">
        <v>1</v>
      </c>
      <c r="I13" s="7" t="b">
        <f t="shared" si="0"/>
        <v>0</v>
      </c>
      <c r="J13" s="55">
        <v>11</v>
      </c>
      <c r="K13" s="7">
        <f>Bandas!$B$11/C13</f>
        <v>693.75780384529367</v>
      </c>
      <c r="L13" s="7">
        <f>(Bandas!$T$7/K13)-B13</f>
        <v>-2.2437101815546989</v>
      </c>
      <c r="P13" s="7" t="b">
        <f t="shared" si="1"/>
        <v>0</v>
      </c>
      <c r="Q13" s="55">
        <v>16</v>
      </c>
      <c r="R13" s="21">
        <f>Bandas!$V$48/F13</f>
        <v>164.09090909090909</v>
      </c>
      <c r="S13" s="21">
        <f>(Bandas!$T$7/R13)-G13</f>
        <v>-0.76201301437225255</v>
      </c>
    </row>
    <row r="14" spans="1:19" ht="14.25" customHeight="1" x14ac:dyDescent="0.3">
      <c r="A14" s="55">
        <v>12</v>
      </c>
      <c r="B14" s="55">
        <v>2.0499999999999998</v>
      </c>
      <c r="C14" s="55">
        <v>0.33900000000000002</v>
      </c>
      <c r="D14" s="55">
        <v>36.5</v>
      </c>
      <c r="F14" s="55">
        <v>19</v>
      </c>
      <c r="G14" s="7">
        <v>1</v>
      </c>
      <c r="I14" s="7" t="b">
        <f t="shared" si="0"/>
        <v>0</v>
      </c>
      <c r="J14" s="55">
        <v>12</v>
      </c>
      <c r="K14" s="7">
        <f>Bandas!$B$11/C14</f>
        <v>550.50398004243061</v>
      </c>
      <c r="L14" s="7">
        <f>(Bandas!$T$7/K14)-B14</f>
        <v>-1.9790622734090817</v>
      </c>
      <c r="P14" s="7" t="b">
        <f t="shared" si="1"/>
        <v>0</v>
      </c>
      <c r="Q14" s="55">
        <v>19</v>
      </c>
      <c r="R14" s="21">
        <f>Bandas!$V$48/F14</f>
        <v>138.18181818181819</v>
      </c>
      <c r="S14" s="21">
        <f>(Bandas!$T$7/R14)-G14</f>
        <v>-0.71739045456704986</v>
      </c>
    </row>
    <row r="15" spans="1:19" ht="14.25" customHeight="1" x14ac:dyDescent="0.3">
      <c r="A15" s="55">
        <v>13</v>
      </c>
      <c r="B15" s="55">
        <v>1.83</v>
      </c>
      <c r="C15" s="55">
        <v>0.42499999999999999</v>
      </c>
      <c r="D15" s="55">
        <v>45.81</v>
      </c>
      <c r="F15" s="55">
        <v>24</v>
      </c>
      <c r="G15" s="7">
        <v>0.5</v>
      </c>
      <c r="I15" s="7" t="b">
        <f t="shared" si="0"/>
        <v>0</v>
      </c>
      <c r="J15" s="55">
        <v>13</v>
      </c>
      <c r="K15" s="7">
        <f>Bandas!$B$11/C15</f>
        <v>439.10788055149175</v>
      </c>
      <c r="L15" s="7">
        <f>(Bandas!$T$7/K15)-B15</f>
        <v>-1.7410662719730379</v>
      </c>
      <c r="P15" s="7" t="b">
        <f t="shared" si="1"/>
        <v>0</v>
      </c>
      <c r="Q15" s="55">
        <v>24</v>
      </c>
      <c r="R15" s="21">
        <f>Bandas!$V$48/F15</f>
        <v>109.39393939393939</v>
      </c>
      <c r="S15" s="21">
        <f>(Bandas!$T$7/R15)-G15</f>
        <v>-0.14301952155837871</v>
      </c>
    </row>
    <row r="16" spans="1:19" ht="14.25" customHeight="1" x14ac:dyDescent="0.3">
      <c r="A16" s="55">
        <v>14</v>
      </c>
      <c r="B16" s="55">
        <v>1.63</v>
      </c>
      <c r="C16" s="55">
        <v>0.53600000000000003</v>
      </c>
      <c r="D16" s="55">
        <v>57.74</v>
      </c>
      <c r="I16" s="7" t="b">
        <f t="shared" si="0"/>
        <v>0</v>
      </c>
      <c r="J16" s="55">
        <v>14</v>
      </c>
      <c r="K16" s="7">
        <f>Bandas!$B$11/C16</f>
        <v>348.17322618355223</v>
      </c>
      <c r="L16" s="7">
        <f>(Bandas!$T$7/K16)-B16</f>
        <v>-1.5178388747707017</v>
      </c>
    </row>
    <row r="17" spans="1:19" ht="14.25" customHeight="1" x14ac:dyDescent="0.3">
      <c r="A17" s="55">
        <v>15</v>
      </c>
      <c r="B17" s="55">
        <v>1.45</v>
      </c>
      <c r="C17" s="55">
        <v>0.67800000000000005</v>
      </c>
      <c r="D17" s="55">
        <v>72.959999999999994</v>
      </c>
      <c r="I17" s="7" t="b">
        <f t="shared" si="0"/>
        <v>0</v>
      </c>
      <c r="J17" s="55">
        <v>15</v>
      </c>
      <c r="K17" s="7">
        <f>Bandas!$B$11/C17</f>
        <v>275.25199002121531</v>
      </c>
      <c r="L17" s="7">
        <f>(Bandas!$T$7/K17)-B17</f>
        <v>-1.3081245468181637</v>
      </c>
      <c r="P17" s="54" t="s">
        <v>151</v>
      </c>
      <c r="Q17" s="54"/>
      <c r="R17" s="54"/>
      <c r="S17" s="33"/>
    </row>
    <row r="18" spans="1:19" ht="14.25" customHeight="1" x14ac:dyDescent="0.3">
      <c r="A18" s="55">
        <v>16</v>
      </c>
      <c r="B18" s="55">
        <v>1.29</v>
      </c>
      <c r="C18" s="55">
        <v>0.85599999999999998</v>
      </c>
      <c r="D18" s="55">
        <v>92.18</v>
      </c>
      <c r="I18" s="7" t="b">
        <f t="shared" si="0"/>
        <v>0</v>
      </c>
      <c r="J18" s="55">
        <v>16</v>
      </c>
      <c r="K18" s="7">
        <f>Bandas!$B$11/C18</f>
        <v>218.01501078783178</v>
      </c>
      <c r="L18" s="7">
        <f>(Bandas!$T$7/K18)-B18</f>
        <v>-1.1108770089621653</v>
      </c>
      <c r="P18" s="40" t="s">
        <v>148</v>
      </c>
      <c r="Q18" s="7" t="s">
        <v>149</v>
      </c>
      <c r="R18" s="7" t="s">
        <v>150</v>
      </c>
      <c r="S18" s="7" t="s">
        <v>100</v>
      </c>
    </row>
    <row r="19" spans="1:19" ht="14.25" customHeight="1" x14ac:dyDescent="0.3">
      <c r="A19" s="55">
        <v>17</v>
      </c>
      <c r="B19" s="55">
        <v>1.1499999999999999</v>
      </c>
      <c r="C19" s="55">
        <v>1.07</v>
      </c>
      <c r="D19" s="55">
        <v>115</v>
      </c>
      <c r="I19" s="7" t="b">
        <f t="shared" si="0"/>
        <v>0</v>
      </c>
      <c r="J19" s="55">
        <v>17</v>
      </c>
      <c r="K19" s="7">
        <f>Bandas!$B$11/C19</f>
        <v>174.4120086302654</v>
      </c>
      <c r="L19" s="7">
        <f>(Bandas!$T$7/K19)-B19</f>
        <v>-0.92609626120270661</v>
      </c>
      <c r="P19" s="7" t="b">
        <f t="shared" ref="P19:P31" si="2">IF(AND(S19&lt;=6*G19,S19&gt;=4*G19),TRUE,FALSE)</f>
        <v>0</v>
      </c>
      <c r="Q19" s="55">
        <v>2</v>
      </c>
      <c r="R19" s="21">
        <f t="shared" ref="R19:S31" si="3">R3</f>
        <v>1312.7272727272727</v>
      </c>
      <c r="S19" s="21">
        <f t="shared" si="3"/>
        <v>-2.9702516267965318</v>
      </c>
    </row>
    <row r="20" spans="1:19" ht="14.25" customHeight="1" x14ac:dyDescent="0.3">
      <c r="A20" s="55">
        <v>18</v>
      </c>
      <c r="B20" s="55">
        <v>1.03</v>
      </c>
      <c r="C20" s="55">
        <v>1.34</v>
      </c>
      <c r="D20" s="55">
        <v>144</v>
      </c>
      <c r="I20" s="7" t="b">
        <f t="shared" si="0"/>
        <v>0</v>
      </c>
      <c r="J20" s="55">
        <v>18</v>
      </c>
      <c r="K20" s="7">
        <f>Bandas!$B$11/C20</f>
        <v>139.26929047342088</v>
      </c>
      <c r="L20" s="7">
        <f>(Bandas!$T$7/K20)-B20</f>
        <v>-0.74959718692675426</v>
      </c>
      <c r="P20" s="7" t="b">
        <f t="shared" si="2"/>
        <v>0</v>
      </c>
      <c r="Q20" s="55">
        <v>3</v>
      </c>
      <c r="R20" s="21">
        <f t="shared" si="3"/>
        <v>875.15151515151513</v>
      </c>
      <c r="S20" s="21">
        <f t="shared" si="3"/>
        <v>-2.7553774401947972</v>
      </c>
    </row>
    <row r="21" spans="1:19" ht="14.25" customHeight="1" x14ac:dyDescent="0.3">
      <c r="A21" s="55">
        <v>19</v>
      </c>
      <c r="B21" s="55">
        <v>0.91200000000000003</v>
      </c>
      <c r="C21" s="55">
        <v>1.71</v>
      </c>
      <c r="D21" s="55">
        <v>184</v>
      </c>
      <c r="I21" s="7" t="b">
        <f t="shared" si="0"/>
        <v>0</v>
      </c>
      <c r="J21" s="55">
        <v>19</v>
      </c>
      <c r="K21" s="7">
        <f>Bandas!$B$11/C21</f>
        <v>109.13499955227134</v>
      </c>
      <c r="L21" s="7">
        <f>(Bandas!$T$7/K21)-B21</f>
        <v>-0.55417252958563412</v>
      </c>
      <c r="P21" s="7" t="b">
        <f t="shared" si="2"/>
        <v>0</v>
      </c>
      <c r="Q21" s="55">
        <v>4</v>
      </c>
      <c r="R21" s="21">
        <f t="shared" si="3"/>
        <v>656.36363636363637</v>
      </c>
      <c r="S21" s="21">
        <f t="shared" si="3"/>
        <v>-2.2405032535930629</v>
      </c>
    </row>
    <row r="22" spans="1:19" ht="14.25" customHeight="1" x14ac:dyDescent="0.3">
      <c r="A22" s="55">
        <v>20</v>
      </c>
      <c r="B22" s="55">
        <v>0.81299999999999994</v>
      </c>
      <c r="C22" s="55">
        <v>2.15</v>
      </c>
      <c r="D22" s="55">
        <v>232</v>
      </c>
      <c r="I22" s="7" t="b">
        <f t="shared" si="0"/>
        <v>0</v>
      </c>
      <c r="J22" s="55">
        <v>20</v>
      </c>
      <c r="K22" s="7">
        <f>Bandas!$B$11/C22</f>
        <v>86.800394992736742</v>
      </c>
      <c r="L22" s="7">
        <f>(Bandas!$T$7/K22)-B22</f>
        <v>-0.36309996409889667</v>
      </c>
      <c r="P22" s="7" t="b">
        <f t="shared" si="2"/>
        <v>0</v>
      </c>
      <c r="Q22" s="55">
        <v>5</v>
      </c>
      <c r="R22" s="21">
        <f t="shared" si="3"/>
        <v>525.09090909090912</v>
      </c>
      <c r="S22" s="21">
        <f t="shared" si="3"/>
        <v>-1.925629066991329</v>
      </c>
    </row>
    <row r="23" spans="1:19" ht="14.25" customHeight="1" x14ac:dyDescent="0.3">
      <c r="A23" s="55">
        <v>21</v>
      </c>
      <c r="B23" s="55">
        <v>0.72399999999999998</v>
      </c>
      <c r="C23" s="55">
        <v>2.72</v>
      </c>
      <c r="D23" s="55">
        <v>292</v>
      </c>
      <c r="I23" s="7" t="b">
        <f t="shared" si="0"/>
        <v>0</v>
      </c>
      <c r="J23" s="55">
        <v>21</v>
      </c>
      <c r="K23" s="7">
        <f>Bandas!$B$11/C23</f>
        <v>68.610606336170576</v>
      </c>
      <c r="L23" s="7">
        <f>(Bandas!$T$7/K23)-B23</f>
        <v>-0.15482414062744132</v>
      </c>
      <c r="P23" s="7" t="b">
        <f t="shared" si="2"/>
        <v>0</v>
      </c>
      <c r="Q23" s="55">
        <v>6</v>
      </c>
      <c r="R23" s="21">
        <f t="shared" si="3"/>
        <v>437.57575757575756</v>
      </c>
      <c r="S23" s="21">
        <f t="shared" si="3"/>
        <v>-1.4107548803895946</v>
      </c>
    </row>
    <row r="24" spans="1:19" ht="14.25" customHeight="1" x14ac:dyDescent="0.3">
      <c r="A24" s="55">
        <v>22</v>
      </c>
      <c r="B24" s="55">
        <v>0.64400000000000002</v>
      </c>
      <c r="C24" s="55">
        <v>3.43</v>
      </c>
      <c r="D24" s="55">
        <v>369</v>
      </c>
      <c r="I24" s="7" t="b">
        <f t="shared" si="0"/>
        <v>0</v>
      </c>
      <c r="J24" s="55">
        <v>22</v>
      </c>
      <c r="K24" s="7">
        <f>Bandas!$B$11/C24</f>
        <v>54.408410855505537</v>
      </c>
      <c r="L24" s="7">
        <f>(Bandas!$T$7/K24)-B24</f>
        <v>7.3747499135248473E-2</v>
      </c>
      <c r="P24" s="7" t="b">
        <f t="shared" si="2"/>
        <v>0</v>
      </c>
      <c r="Q24" s="55">
        <v>7</v>
      </c>
      <c r="R24" s="21">
        <f t="shared" si="3"/>
        <v>375.06493506493507</v>
      </c>
      <c r="S24" s="21">
        <f t="shared" si="3"/>
        <v>-1.3958806937878605</v>
      </c>
    </row>
    <row r="25" spans="1:19" ht="14.25" customHeight="1" x14ac:dyDescent="0.3">
      <c r="A25" s="55">
        <v>23</v>
      </c>
      <c r="B25" s="55">
        <v>0.57399999999999995</v>
      </c>
      <c r="C25" s="55">
        <v>4.32</v>
      </c>
      <c r="D25" s="55">
        <v>465</v>
      </c>
      <c r="I25" s="7" t="b">
        <f t="shared" si="0"/>
        <v>0</v>
      </c>
      <c r="J25" s="55">
        <v>23</v>
      </c>
      <c r="K25" s="7">
        <f>Bandas!$B$11/C25</f>
        <v>43.199270656107402</v>
      </c>
      <c r="L25" s="7">
        <f>(Bandas!$T$7/K25)-B25</f>
        <v>0.32998518841524027</v>
      </c>
      <c r="P25" s="7" t="b">
        <f t="shared" si="2"/>
        <v>0</v>
      </c>
      <c r="Q25" s="55">
        <v>8</v>
      </c>
      <c r="R25" s="21">
        <f t="shared" si="3"/>
        <v>328.18181818181819</v>
      </c>
      <c r="S25" s="21">
        <f t="shared" si="3"/>
        <v>-1.3810065071861262</v>
      </c>
    </row>
    <row r="26" spans="1:19" ht="14.25" customHeight="1" x14ac:dyDescent="0.3">
      <c r="A26" s="55">
        <v>24</v>
      </c>
      <c r="B26" s="55">
        <v>0.51100000000000001</v>
      </c>
      <c r="C26" s="55">
        <v>5.46</v>
      </c>
      <c r="D26" s="55">
        <v>587</v>
      </c>
      <c r="I26" s="7" t="b">
        <f t="shared" si="0"/>
        <v>0</v>
      </c>
      <c r="J26" s="55">
        <v>24</v>
      </c>
      <c r="K26" s="7">
        <f>Bandas!$B$11/C26</f>
        <v>34.179642716920149</v>
      </c>
      <c r="L26" s="7">
        <f>(Bandas!$T$7/K26)-B26</f>
        <v>0.63153683535815064</v>
      </c>
      <c r="P26" s="7" t="b">
        <f t="shared" si="2"/>
        <v>0</v>
      </c>
      <c r="Q26" s="55">
        <v>11</v>
      </c>
      <c r="R26" s="21">
        <f t="shared" si="3"/>
        <v>238.67768595041323</v>
      </c>
      <c r="S26" s="21">
        <f t="shared" si="3"/>
        <v>-1.3363839473809236</v>
      </c>
    </row>
    <row r="27" spans="1:19" ht="14.25" customHeight="1" x14ac:dyDescent="0.3">
      <c r="A27" s="55">
        <v>25</v>
      </c>
      <c r="B27" s="55">
        <v>0.45500000000000002</v>
      </c>
      <c r="C27" s="55">
        <v>6.88</v>
      </c>
      <c r="D27" s="55">
        <v>740</v>
      </c>
      <c r="I27" s="7" t="b">
        <f t="shared" si="0"/>
        <v>0</v>
      </c>
      <c r="J27" s="55">
        <v>25</v>
      </c>
      <c r="K27" s="7">
        <f>Bandas!$B$11/C27</f>
        <v>27.125123435230233</v>
      </c>
      <c r="L27" s="7">
        <f>(Bandas!$T$7/K27)-B27</f>
        <v>0.98468011488353047</v>
      </c>
      <c r="P27" s="7" t="b">
        <f t="shared" si="2"/>
        <v>0</v>
      </c>
      <c r="Q27" s="55">
        <v>14</v>
      </c>
      <c r="R27" s="21">
        <f t="shared" si="3"/>
        <v>187.53246753246754</v>
      </c>
      <c r="S27" s="21">
        <f t="shared" si="3"/>
        <v>-0.7917613875757209</v>
      </c>
    </row>
    <row r="28" spans="1:19" ht="14.25" customHeight="1" x14ac:dyDescent="0.3">
      <c r="A28" s="55">
        <v>26</v>
      </c>
      <c r="B28" s="55">
        <v>0.45500000000000002</v>
      </c>
      <c r="C28" s="55">
        <v>8.74</v>
      </c>
      <c r="D28" s="55">
        <v>939</v>
      </c>
      <c r="I28" s="7" t="b">
        <f t="shared" si="0"/>
        <v>1</v>
      </c>
      <c r="J28" s="55">
        <v>26</v>
      </c>
      <c r="K28" s="7">
        <f>Bandas!$B$11/C28</f>
        <v>21.352499912400916</v>
      </c>
      <c r="L28" s="7">
        <f>(Bandas!$T$7/K28)-B28</f>
        <v>1.3738959598956477</v>
      </c>
      <c r="P28" s="7" t="b">
        <f t="shared" si="2"/>
        <v>0</v>
      </c>
      <c r="Q28" s="55">
        <v>15</v>
      </c>
      <c r="R28" s="21">
        <f t="shared" si="3"/>
        <v>175.03030303030303</v>
      </c>
      <c r="S28" s="21">
        <f t="shared" si="3"/>
        <v>-0.77688720097398667</v>
      </c>
    </row>
    <row r="29" spans="1:19" ht="14.25" customHeight="1" x14ac:dyDescent="0.3">
      <c r="A29" s="55">
        <v>27</v>
      </c>
      <c r="B29" s="55">
        <v>0.36099999999999999</v>
      </c>
      <c r="C29" s="55">
        <v>10.94</v>
      </c>
      <c r="D29" s="55">
        <v>1177</v>
      </c>
      <c r="I29" s="7" t="b">
        <f t="shared" si="0"/>
        <v>0</v>
      </c>
      <c r="J29" s="55">
        <v>27</v>
      </c>
      <c r="K29" s="7">
        <f>Bandas!$B$11/C29</f>
        <v>17.058578540620111</v>
      </c>
      <c r="L29" s="7">
        <f>(Bandas!$T$7/K29)-B29</f>
        <v>1.9282587873293344</v>
      </c>
      <c r="P29" s="7" t="b">
        <f t="shared" si="2"/>
        <v>0</v>
      </c>
      <c r="Q29" s="55">
        <v>16</v>
      </c>
      <c r="R29" s="21">
        <f t="shared" si="3"/>
        <v>164.09090909090909</v>
      </c>
      <c r="S29" s="21">
        <f t="shared" si="3"/>
        <v>-0.76201301437225255</v>
      </c>
    </row>
    <row r="30" spans="1:19" ht="14.25" customHeight="1" x14ac:dyDescent="0.3">
      <c r="A30" s="55">
        <v>28</v>
      </c>
      <c r="B30" s="55">
        <v>0.32</v>
      </c>
      <c r="C30" s="55">
        <v>13.92</v>
      </c>
      <c r="D30" s="55">
        <v>1498</v>
      </c>
      <c r="I30" s="7" t="b">
        <f t="shared" si="0"/>
        <v>0</v>
      </c>
      <c r="J30" s="55">
        <v>28</v>
      </c>
      <c r="K30" s="7">
        <f>Bandas!$B$11/C30</f>
        <v>13.406670203619541</v>
      </c>
      <c r="L30" s="7">
        <f>(Bandas!$T$7/K30)-B30</f>
        <v>2.5928411626713292</v>
      </c>
      <c r="P30" s="7" t="b">
        <f t="shared" si="2"/>
        <v>0</v>
      </c>
      <c r="Q30" s="55">
        <v>19</v>
      </c>
      <c r="R30" s="21">
        <f t="shared" si="3"/>
        <v>138.18181818181819</v>
      </c>
      <c r="S30" s="21">
        <f t="shared" si="3"/>
        <v>-0.71739045456704986</v>
      </c>
    </row>
    <row r="31" spans="1:19" ht="14.25" customHeight="1" x14ac:dyDescent="0.3">
      <c r="A31" s="58">
        <v>29</v>
      </c>
      <c r="B31" s="58">
        <v>0.28699999999999998</v>
      </c>
      <c r="C31" s="58">
        <v>17.309999999999999</v>
      </c>
      <c r="D31" s="58">
        <v>1862</v>
      </c>
      <c r="I31" s="7" t="b">
        <f t="shared" si="0"/>
        <v>0</v>
      </c>
      <c r="J31" s="7">
        <v>29</v>
      </c>
      <c r="K31" s="7">
        <f>Bandas!$B$11/C31</f>
        <v>10.781100475700983</v>
      </c>
      <c r="L31" s="7">
        <f>(Bandas!$T$7/K31)-B31</f>
        <v>3.3352184285805104</v>
      </c>
      <c r="P31" s="7" t="b">
        <f t="shared" si="2"/>
        <v>0</v>
      </c>
      <c r="Q31" s="55">
        <v>24</v>
      </c>
      <c r="R31" s="21">
        <f t="shared" si="3"/>
        <v>109.39393939393939</v>
      </c>
      <c r="S31" s="21">
        <f t="shared" si="3"/>
        <v>-0.14301952155837871</v>
      </c>
    </row>
    <row r="32" spans="1:19" ht="14.25" customHeight="1" x14ac:dyDescent="0.3">
      <c r="A32" s="58">
        <v>30</v>
      </c>
      <c r="B32" s="58">
        <v>0.254</v>
      </c>
      <c r="C32" s="58">
        <v>21.5</v>
      </c>
      <c r="D32" s="58"/>
      <c r="I32" s="7" t="b">
        <f t="shared" si="0"/>
        <v>0</v>
      </c>
      <c r="J32" s="7">
        <v>30</v>
      </c>
      <c r="K32" s="7">
        <f>Bandas!$B$11/C32</f>
        <v>8.6800394992736738</v>
      </c>
      <c r="L32" s="7">
        <f>(Bandas!$T$7/K32)-B32</f>
        <v>4.2450003590110335</v>
      </c>
    </row>
    <row r="33" spans="1:19" ht="14.25" customHeight="1" x14ac:dyDescent="0.3">
      <c r="A33" s="58">
        <v>31</v>
      </c>
      <c r="B33" s="58">
        <v>0.24</v>
      </c>
      <c r="C33" s="58">
        <v>27</v>
      </c>
      <c r="D33" s="58"/>
      <c r="I33" s="7" t="b">
        <f t="shared" si="0"/>
        <v>0</v>
      </c>
      <c r="J33" s="7">
        <v>31</v>
      </c>
      <c r="K33" s="7">
        <f>Bandas!$B$11/C33</f>
        <v>6.9118833049771853</v>
      </c>
      <c r="L33" s="7">
        <f>(Bandas!$T$7/K33)-B33</f>
        <v>5.4099074275952503</v>
      </c>
      <c r="P33" s="54" t="s">
        <v>152</v>
      </c>
      <c r="Q33" s="54"/>
      <c r="R33" s="54"/>
      <c r="S33" s="33"/>
    </row>
    <row r="34" spans="1:19" ht="14.25" customHeight="1" x14ac:dyDescent="0.3">
      <c r="A34" s="58">
        <v>32</v>
      </c>
      <c r="B34" s="58">
        <v>0.222</v>
      </c>
      <c r="C34" s="58">
        <v>35</v>
      </c>
      <c r="D34" s="58"/>
      <c r="I34" s="7" t="b">
        <f t="shared" si="0"/>
        <v>0</v>
      </c>
      <c r="J34" s="7">
        <v>32</v>
      </c>
      <c r="K34" s="7">
        <f>Bandas!$B$11/C34</f>
        <v>5.3320242638395428</v>
      </c>
      <c r="L34" s="7">
        <f>(Bandas!$T$7/K34)-B34</f>
        <v>7.1019540728086579</v>
      </c>
      <c r="P34" s="40" t="s">
        <v>148</v>
      </c>
      <c r="Q34" s="7" t="s">
        <v>149</v>
      </c>
      <c r="R34" s="7" t="s">
        <v>150</v>
      </c>
      <c r="S34" s="7" t="s">
        <v>100</v>
      </c>
    </row>
    <row r="35" spans="1:19" ht="14.25" customHeight="1" x14ac:dyDescent="0.3">
      <c r="A35" s="58">
        <v>33</v>
      </c>
      <c r="B35" s="58">
        <v>0.21</v>
      </c>
      <c r="C35" s="58">
        <v>41</v>
      </c>
      <c r="D35" s="58"/>
      <c r="I35" s="7" t="b">
        <f t="shared" si="0"/>
        <v>0</v>
      </c>
      <c r="J35" s="7">
        <v>33</v>
      </c>
      <c r="K35" s="7">
        <f>Bandas!$B$11/C35</f>
        <v>4.5517280301069265</v>
      </c>
      <c r="L35" s="7">
        <f>(Bandas!$T$7/K35)-B35</f>
        <v>8.369489056718713</v>
      </c>
      <c r="P35" s="7" t="b">
        <f t="shared" ref="P35:P47" si="4">IF(AND(S35&lt;=9*G35,S35&gt;=6*G35),TRUE,FALSE)</f>
        <v>0</v>
      </c>
      <c r="Q35" s="55">
        <v>2</v>
      </c>
      <c r="R35" s="21">
        <f t="shared" ref="R35:S47" si="5">R19</f>
        <v>1312.7272727272727</v>
      </c>
      <c r="S35" s="21">
        <f t="shared" si="5"/>
        <v>-2.9702516267965318</v>
      </c>
    </row>
    <row r="36" spans="1:19" ht="14.25" customHeight="1" x14ac:dyDescent="0.3">
      <c r="A36" s="58">
        <v>34</v>
      </c>
      <c r="B36" s="58">
        <v>0.2</v>
      </c>
      <c r="C36" s="58">
        <v>53</v>
      </c>
      <c r="D36" s="58"/>
      <c r="I36" s="7" t="b">
        <f t="shared" si="0"/>
        <v>0</v>
      </c>
      <c r="J36" s="7">
        <v>34</v>
      </c>
      <c r="K36" s="7">
        <f>Bandas!$B$11/C36</f>
        <v>3.5211480987619623</v>
      </c>
      <c r="L36" s="7">
        <f>(Bandas!$T$7/K36)-B36</f>
        <v>10.890559024538826</v>
      </c>
      <c r="P36" s="7" t="b">
        <f t="shared" si="4"/>
        <v>0</v>
      </c>
      <c r="Q36" s="55">
        <v>3</v>
      </c>
      <c r="R36" s="21">
        <f t="shared" si="5"/>
        <v>875.15151515151513</v>
      </c>
      <c r="S36" s="21">
        <f t="shared" si="5"/>
        <v>-2.7553774401947972</v>
      </c>
    </row>
    <row r="37" spans="1:19" ht="14.25" customHeight="1" x14ac:dyDescent="0.3">
      <c r="A37" s="58">
        <v>35</v>
      </c>
      <c r="B37" s="58">
        <v>0.15</v>
      </c>
      <c r="C37" s="58">
        <v>65</v>
      </c>
      <c r="D37" s="58"/>
      <c r="I37" s="7" t="b">
        <f t="shared" si="0"/>
        <v>0</v>
      </c>
      <c r="J37" s="7">
        <v>35</v>
      </c>
      <c r="K37" s="7">
        <f>Bandas!$B$11/C37</f>
        <v>2.8710899882212924</v>
      </c>
      <c r="L37" s="7">
        <f>(Bandas!$T$7/K37)-B37</f>
        <v>13.451628992358936</v>
      </c>
      <c r="P37" s="7" t="b">
        <f t="shared" si="4"/>
        <v>0</v>
      </c>
      <c r="Q37" s="55">
        <v>4</v>
      </c>
      <c r="R37" s="21">
        <f t="shared" si="5"/>
        <v>656.36363636363637</v>
      </c>
      <c r="S37" s="21">
        <f t="shared" si="5"/>
        <v>-2.2405032535930629</v>
      </c>
    </row>
    <row r="38" spans="1:19" ht="14.25" customHeight="1" x14ac:dyDescent="0.3">
      <c r="A38" s="58">
        <v>36</v>
      </c>
      <c r="B38" s="58">
        <v>0.13</v>
      </c>
      <c r="C38" s="58">
        <v>82</v>
      </c>
      <c r="D38" s="58"/>
      <c r="I38" s="7" t="b">
        <f t="shared" si="0"/>
        <v>0</v>
      </c>
      <c r="J38" s="7">
        <v>36</v>
      </c>
      <c r="K38" s="7">
        <f>Bandas!$B$11/C38</f>
        <v>2.2758640150534633</v>
      </c>
      <c r="L38" s="7">
        <f>(Bandas!$T$7/K38)-B38</f>
        <v>17.028978113437429</v>
      </c>
      <c r="P38" s="7" t="b">
        <f t="shared" si="4"/>
        <v>0</v>
      </c>
      <c r="Q38" s="55">
        <v>5</v>
      </c>
      <c r="R38" s="21">
        <f t="shared" si="5"/>
        <v>525.09090909090912</v>
      </c>
      <c r="S38" s="21">
        <f t="shared" si="5"/>
        <v>-1.925629066991329</v>
      </c>
    </row>
    <row r="39" spans="1:19" ht="14.25" customHeight="1" x14ac:dyDescent="0.3">
      <c r="A39" s="58">
        <v>37</v>
      </c>
      <c r="B39" s="58">
        <v>0.11</v>
      </c>
      <c r="C39" s="58">
        <v>104</v>
      </c>
      <c r="D39" s="58"/>
      <c r="I39" s="7" t="b">
        <f t="shared" si="0"/>
        <v>0</v>
      </c>
      <c r="J39" s="7">
        <v>37</v>
      </c>
      <c r="K39" s="7">
        <f>Bandas!$B$11/C39</f>
        <v>1.7944312426383076</v>
      </c>
      <c r="L39" s="7">
        <f>(Bandas!$T$7/K39)-B39</f>
        <v>21.652606387774298</v>
      </c>
      <c r="P39" s="7" t="b">
        <f t="shared" si="4"/>
        <v>0</v>
      </c>
      <c r="Q39" s="55">
        <v>6</v>
      </c>
      <c r="R39" s="21">
        <f t="shared" si="5"/>
        <v>437.57575757575756</v>
      </c>
      <c r="S39" s="21">
        <f t="shared" si="5"/>
        <v>-1.4107548803895946</v>
      </c>
    </row>
    <row r="40" spans="1:19" ht="14.25" customHeight="1" x14ac:dyDescent="0.3">
      <c r="A40" s="58">
        <v>38</v>
      </c>
      <c r="B40" s="58">
        <v>0.1</v>
      </c>
      <c r="C40" s="58">
        <v>140</v>
      </c>
      <c r="D40" s="58"/>
      <c r="I40" s="7" t="b">
        <f t="shared" si="0"/>
        <v>0</v>
      </c>
      <c r="J40" s="7">
        <v>38</v>
      </c>
      <c r="K40" s="7">
        <f>Bandas!$B$11/C40</f>
        <v>1.3330060659598857</v>
      </c>
      <c r="L40" s="7">
        <f>(Bandas!$T$7/K40)-B40</f>
        <v>29.195816291234632</v>
      </c>
      <c r="P40" s="7" t="b">
        <f t="shared" si="4"/>
        <v>0</v>
      </c>
      <c r="Q40" s="55">
        <v>7</v>
      </c>
      <c r="R40" s="21">
        <f t="shared" si="5"/>
        <v>375.06493506493507</v>
      </c>
      <c r="S40" s="21">
        <f t="shared" si="5"/>
        <v>-1.3958806937878605</v>
      </c>
    </row>
    <row r="41" spans="1:19" ht="14.25" customHeight="1" x14ac:dyDescent="0.3">
      <c r="A41" s="58">
        <v>39</v>
      </c>
      <c r="B41" s="58">
        <v>0.09</v>
      </c>
      <c r="C41" s="58">
        <v>173</v>
      </c>
      <c r="D41" s="58"/>
      <c r="I41" s="7" t="b">
        <f t="shared" si="0"/>
        <v>0</v>
      </c>
      <c r="J41" s="7">
        <v>39</v>
      </c>
      <c r="K41" s="7">
        <f>Bandas!$B$11/C41</f>
        <v>1.0787332325686936</v>
      </c>
      <c r="L41" s="7">
        <f>(Bandas!$T$7/K41)-B41</f>
        <v>36.111258702739939</v>
      </c>
      <c r="P41" s="7" t="b">
        <f t="shared" si="4"/>
        <v>0</v>
      </c>
      <c r="Q41" s="55">
        <v>8</v>
      </c>
      <c r="R41" s="21">
        <f t="shared" si="5"/>
        <v>328.18181818181819</v>
      </c>
      <c r="S41" s="21">
        <f t="shared" si="5"/>
        <v>-1.3810065071861262</v>
      </c>
    </row>
    <row r="42" spans="1:19" ht="14.25" customHeight="1" x14ac:dyDescent="0.3">
      <c r="A42" s="58">
        <v>40</v>
      </c>
      <c r="B42" s="58">
        <v>7.9000000000000001E-2</v>
      </c>
      <c r="C42" s="58">
        <v>222</v>
      </c>
      <c r="D42" s="58"/>
      <c r="I42" s="7" t="b">
        <f t="shared" si="0"/>
        <v>0</v>
      </c>
      <c r="J42" s="7">
        <v>40</v>
      </c>
      <c r="K42" s="7">
        <f>Bandas!$B$11/C42</f>
        <v>0.84063445601073872</v>
      </c>
      <c r="L42" s="7">
        <f>(Bandas!$T$7/K42)-B42</f>
        <v>46.375794404672057</v>
      </c>
      <c r="P42" s="7" t="b">
        <f t="shared" si="4"/>
        <v>0</v>
      </c>
      <c r="Q42" s="55">
        <v>11</v>
      </c>
      <c r="R42" s="21">
        <f t="shared" si="5"/>
        <v>238.67768595041323</v>
      </c>
      <c r="S42" s="21">
        <f t="shared" si="5"/>
        <v>-1.3363839473809236</v>
      </c>
    </row>
    <row r="43" spans="1:19" ht="14.25" customHeight="1" x14ac:dyDescent="0.3">
      <c r="P43" s="7" t="b">
        <f t="shared" si="4"/>
        <v>0</v>
      </c>
      <c r="Q43" s="55">
        <v>14</v>
      </c>
      <c r="R43" s="21">
        <f t="shared" si="5"/>
        <v>187.53246753246754</v>
      </c>
      <c r="S43" s="21">
        <f t="shared" si="5"/>
        <v>-0.7917613875757209</v>
      </c>
    </row>
    <row r="44" spans="1:19" ht="14.25" customHeight="1" x14ac:dyDescent="0.3">
      <c r="M44" s="3"/>
      <c r="N44" s="3"/>
      <c r="O44" s="3"/>
      <c r="P44" s="7" t="b">
        <f t="shared" si="4"/>
        <v>0</v>
      </c>
      <c r="Q44" s="55">
        <v>15</v>
      </c>
      <c r="R44" s="21">
        <f t="shared" si="5"/>
        <v>175.03030303030303</v>
      </c>
      <c r="S44" s="21">
        <f t="shared" si="5"/>
        <v>-0.77688720097398667</v>
      </c>
    </row>
    <row r="45" spans="1:19" ht="14.25" customHeight="1" x14ac:dyDescent="0.3">
      <c r="P45" s="7" t="b">
        <f t="shared" si="4"/>
        <v>0</v>
      </c>
      <c r="Q45" s="55">
        <v>16</v>
      </c>
      <c r="R45" s="21">
        <f t="shared" si="5"/>
        <v>164.09090909090909</v>
      </c>
      <c r="S45" s="21">
        <f t="shared" si="5"/>
        <v>-0.76201301437225255</v>
      </c>
    </row>
    <row r="46" spans="1:19" ht="14.25" customHeight="1" x14ac:dyDescent="0.3">
      <c r="P46" s="7" t="b">
        <f t="shared" si="4"/>
        <v>0</v>
      </c>
      <c r="Q46" s="55">
        <v>19</v>
      </c>
      <c r="R46" s="21">
        <f t="shared" si="5"/>
        <v>138.18181818181819</v>
      </c>
      <c r="S46" s="21">
        <f t="shared" si="5"/>
        <v>-0.71739045456704986</v>
      </c>
    </row>
    <row r="47" spans="1:19" ht="14.25" customHeight="1" x14ac:dyDescent="0.3">
      <c r="P47" s="7" t="b">
        <f t="shared" si="4"/>
        <v>0</v>
      </c>
      <c r="Q47" s="55">
        <v>24</v>
      </c>
      <c r="R47" s="21">
        <f t="shared" si="5"/>
        <v>109.39393939393939</v>
      </c>
      <c r="S47" s="21">
        <f t="shared" si="5"/>
        <v>-0.14301952155837871</v>
      </c>
    </row>
    <row r="48" spans="1:1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I1:L1"/>
    <mergeCell ref="A1:D1"/>
    <mergeCell ref="F1:G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11.5546875" customWidth="1"/>
    <col min="2" max="2" width="62" customWidth="1"/>
    <col min="3" max="26" width="10.88671875" customWidth="1"/>
  </cols>
  <sheetData>
    <row r="1" spans="1:2" ht="179.25" customHeight="1" x14ac:dyDescent="0.3">
      <c r="A1" s="7" t="s">
        <v>153</v>
      </c>
      <c r="B1" s="7"/>
    </row>
    <row r="2" spans="1:2" ht="175.5" customHeight="1" x14ac:dyDescent="0.3">
      <c r="A2" s="7" t="s">
        <v>154</v>
      </c>
      <c r="B2" s="7"/>
    </row>
    <row r="3" spans="1:2" ht="183.75" customHeight="1" x14ac:dyDescent="0.3">
      <c r="A3" s="7" t="s">
        <v>155</v>
      </c>
      <c r="B3" s="7"/>
    </row>
    <row r="4" spans="1:2" ht="183" customHeight="1" x14ac:dyDescent="0.3">
      <c r="A4" s="7" t="s">
        <v>156</v>
      </c>
      <c r="B4" s="7"/>
    </row>
    <row r="5" spans="1:2" ht="181.5" customHeight="1" x14ac:dyDescent="0.3">
      <c r="A5" s="7" t="s">
        <v>157</v>
      </c>
      <c r="B5" s="7"/>
    </row>
    <row r="6" spans="1:2" ht="181.5" customHeight="1" x14ac:dyDescent="0.3">
      <c r="A6" s="7" t="s">
        <v>158</v>
      </c>
      <c r="B6" s="7"/>
    </row>
    <row r="7" spans="1:2" ht="184.5" customHeight="1" x14ac:dyDescent="0.3">
      <c r="A7" s="7" t="s">
        <v>159</v>
      </c>
      <c r="B7" s="7"/>
    </row>
    <row r="8" spans="1:2" ht="180.75" customHeight="1" x14ac:dyDescent="0.3">
      <c r="A8" s="7" t="s">
        <v>160</v>
      </c>
      <c r="B8" s="7"/>
    </row>
    <row r="9" spans="1:2" ht="183.75" customHeight="1" x14ac:dyDescent="0.3">
      <c r="A9" s="7" t="s">
        <v>161</v>
      </c>
      <c r="B9" s="7"/>
    </row>
    <row r="10" spans="1:2" ht="184.5" customHeight="1" x14ac:dyDescent="0.3">
      <c r="A10" s="7" t="s">
        <v>162</v>
      </c>
      <c r="B10" s="7"/>
    </row>
    <row r="11" spans="1:2" ht="183.75" customHeight="1" x14ac:dyDescent="0.3">
      <c r="A11" s="7" t="s">
        <v>163</v>
      </c>
      <c r="B11" s="7"/>
    </row>
    <row r="12" spans="1:2" ht="183" customHeight="1" x14ac:dyDescent="0.3">
      <c r="A12" s="7" t="s">
        <v>164</v>
      </c>
      <c r="B12" s="7"/>
    </row>
    <row r="13" spans="1:2" ht="186" customHeight="1" x14ac:dyDescent="0.3">
      <c r="A13" s="7" t="s">
        <v>165</v>
      </c>
      <c r="B13" s="7"/>
    </row>
    <row r="14" spans="1:2" ht="181.5" customHeight="1" x14ac:dyDescent="0.3">
      <c r="A14" s="7" t="s">
        <v>166</v>
      </c>
      <c r="B14" s="7"/>
    </row>
    <row r="15" spans="1:2" ht="181.5" customHeight="1" x14ac:dyDescent="0.3">
      <c r="A15" s="7" t="s">
        <v>167</v>
      </c>
      <c r="B15" s="7"/>
    </row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22.44140625" customWidth="1"/>
    <col min="2" max="2" width="60.5546875" customWidth="1"/>
    <col min="3" max="26" width="10.88671875" customWidth="1"/>
  </cols>
  <sheetData>
    <row r="1" spans="1:2" ht="14.25" customHeight="1" x14ac:dyDescent="0.3">
      <c r="A1" s="8" t="s">
        <v>168</v>
      </c>
    </row>
    <row r="2" spans="1:2" ht="225" customHeight="1" x14ac:dyDescent="0.3">
      <c r="A2" s="8" t="s">
        <v>14</v>
      </c>
      <c r="B2" s="4" t="s">
        <v>169</v>
      </c>
    </row>
    <row r="3" spans="1:2" ht="184.5" customHeight="1" x14ac:dyDescent="0.3">
      <c r="A3" s="7" t="s">
        <v>59</v>
      </c>
      <c r="B3" s="59"/>
    </row>
    <row r="4" spans="1:2" ht="184.5" customHeight="1" x14ac:dyDescent="0.3">
      <c r="A4" s="7" t="s">
        <v>61</v>
      </c>
      <c r="B4" s="59"/>
    </row>
    <row r="5" spans="1:2" ht="184.5" customHeight="1" x14ac:dyDescent="0.3">
      <c r="A5" s="7" t="s">
        <v>69</v>
      </c>
      <c r="B5" s="59"/>
    </row>
    <row r="6" spans="1:2" ht="184.5" customHeight="1" x14ac:dyDescent="0.3">
      <c r="A6" s="7" t="s">
        <v>78</v>
      </c>
      <c r="B6" s="59"/>
    </row>
    <row r="7" spans="1:2" ht="184.5" customHeight="1" x14ac:dyDescent="0.3">
      <c r="A7" s="7" t="s">
        <v>170</v>
      </c>
      <c r="B7" s="59"/>
    </row>
    <row r="8" spans="1:2" ht="184.5" customHeight="1" x14ac:dyDescent="0.3">
      <c r="A8" s="7" t="s">
        <v>171</v>
      </c>
      <c r="B8" s="59"/>
    </row>
    <row r="9" spans="1:2" ht="184.5" customHeight="1" x14ac:dyDescent="0.3">
      <c r="A9" s="7" t="s">
        <v>172</v>
      </c>
      <c r="B9" s="59"/>
    </row>
    <row r="10" spans="1:2" ht="184.5" customHeight="1" x14ac:dyDescent="0.3">
      <c r="A10" s="7" t="s">
        <v>173</v>
      </c>
      <c r="B10" s="59"/>
    </row>
    <row r="11" spans="1:2" ht="184.5" customHeight="1" x14ac:dyDescent="0.3">
      <c r="A11" s="7" t="s">
        <v>174</v>
      </c>
      <c r="B11" s="59"/>
    </row>
    <row r="12" spans="1:2" ht="184.5" customHeight="1" x14ac:dyDescent="0.3">
      <c r="A12" s="7" t="s">
        <v>175</v>
      </c>
      <c r="B12" s="59"/>
    </row>
    <row r="13" spans="1:2" ht="184.5" customHeight="1" x14ac:dyDescent="0.3">
      <c r="A13" s="7" t="s">
        <v>176</v>
      </c>
      <c r="B13" s="59"/>
    </row>
    <row r="14" spans="1:2" ht="184.5" customHeight="1" x14ac:dyDescent="0.3">
      <c r="A14" s="7" t="s">
        <v>177</v>
      </c>
      <c r="B14" s="59"/>
    </row>
    <row r="15" spans="1:2" ht="184.5" customHeight="1" x14ac:dyDescent="0.3">
      <c r="A15" s="7" t="s">
        <v>178</v>
      </c>
      <c r="B15" s="59"/>
    </row>
    <row r="16" spans="1:2" ht="184.5" customHeight="1" x14ac:dyDescent="0.3">
      <c r="A16" s="7" t="s">
        <v>179</v>
      </c>
      <c r="B16" s="59"/>
    </row>
    <row r="17" spans="1:2" ht="184.5" customHeight="1" x14ac:dyDescent="0.3">
      <c r="A17" s="7" t="s">
        <v>180</v>
      </c>
      <c r="B17" s="59"/>
    </row>
    <row r="18" spans="1:2" ht="184.5" customHeight="1" x14ac:dyDescent="0.3">
      <c r="A18" s="7" t="s">
        <v>181</v>
      </c>
      <c r="B18" s="59"/>
    </row>
    <row r="19" spans="1:2" ht="184.5" customHeight="1" x14ac:dyDescent="0.3">
      <c r="A19" s="7" t="s">
        <v>182</v>
      </c>
      <c r="B19" s="59"/>
    </row>
    <row r="20" spans="1:2" ht="184.5" customHeight="1" x14ac:dyDescent="0.3">
      <c r="A20" s="7" t="s">
        <v>183</v>
      </c>
      <c r="B20" s="59"/>
    </row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Bandas</vt:lpstr>
      <vt:lpstr>Tablas</vt:lpstr>
      <vt:lpstr>ImBa</vt:lpstr>
      <vt:lpstr>Imágenes</vt:lpstr>
      <vt:lpstr>Bandas</vt:lpstr>
      <vt:lpstr>Datos</vt:lpstr>
      <vt:lpstr>Term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Díaz</cp:lastModifiedBy>
  <dcterms:created xsi:type="dcterms:W3CDTF">2025-06-19T22:36:12Z</dcterms:created>
  <dcterms:modified xsi:type="dcterms:W3CDTF">2025-06-25T00:08:25Z</dcterms:modified>
</cp:coreProperties>
</file>